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D:\墨\桌面\出让-顺义夏县营\F05——提供成本\"/>
    </mc:Choice>
  </mc:AlternateContent>
  <xr:revisionPtr revIDLastSave="0" documentId="13_ncr:1_{E588EF8B-CEF7-494F-86C8-5508EA0A2BB1}" xr6:coauthVersionLast="45" xr6:coauthVersionMax="45" xr10:uidLastSave="{00000000-0000-0000-0000-000000000000}"/>
  <bookViews>
    <workbookView xWindow="0" yWindow="375" windowWidth="21600" windowHeight="12900" tabRatio="875" firstSheet="17" activeTab="19" xr2:uid="{00000000-000D-0000-FFFF-FFFF0000000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终版)" sheetId="88"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剩余法住宅(待)" sheetId="73" r:id="rId23"/>
    <sheet name="不动产比较法-住宅" sheetId="21" r:id="rId24"/>
    <sheet name="Sheet2" sheetId="89" r:id="rId25"/>
    <sheet name="住宅案例" sheetId="84" r:id="rId26"/>
    <sheet name="基准地价商业" sheetId="77" r:id="rId27"/>
    <sheet name="剩余法商业(待)" sheetId="74" r:id="rId28"/>
    <sheet name="不动产比较法-商业售价" sheetId="86" r:id="rId29"/>
    <sheet name="Sheet1" sheetId="90" r:id="rId30"/>
    <sheet name="商业售价案例" sheetId="87" r:id="rId31"/>
    <sheet name="基准地价公服" sheetId="78" r:id="rId32"/>
    <sheet name="剩余法-现房" sheetId="43" state="hidden" r:id="rId33"/>
    <sheet name="比较法-住宅、综合" sheetId="39" state="hidden" r:id="rId34"/>
    <sheet name="比较法-工业" sheetId="40" state="hidden" r:id="rId35"/>
    <sheet name="基准地价" sheetId="46" state="hidden" r:id="rId36"/>
    <sheet name="修正" sheetId="49" state="hidden" r:id="rId37"/>
    <sheet name="区片价" sheetId="48" state="hidden" r:id="rId38"/>
    <sheet name="区片价-范围" sheetId="71" state="hidden" r:id="rId39"/>
    <sheet name="容积率修正" sheetId="45" state="hidden" r:id="rId40"/>
    <sheet name="因素修正幅度" sheetId="56" state="hidden" r:id="rId41"/>
    <sheet name="地价" sheetId="59" state="hidden" r:id="rId42"/>
    <sheet name="地价-分区" sheetId="70" r:id="rId43"/>
    <sheet name="基准地价（汇总）" sheetId="67" state="hidden" r:id="rId44"/>
    <sheet name="收益还原法" sheetId="44" state="hidden" r:id="rId45"/>
    <sheet name="不动产收益法-商业" sheetId="15" state="hidden" r:id="rId46"/>
    <sheet name="不动产收益法-酒店模型" sheetId="68" state="hidden" r:id="rId47"/>
    <sheet name="成本逼近法" sheetId="11" state="hidden" r:id="rId48"/>
    <sheet name="不动产比较法-商业租金" sheetId="33" state="hidden" r:id="rId49"/>
    <sheet name="商业租金案例" sheetId="83" state="hidden" r:id="rId50"/>
    <sheet name="剩余法公服(待)" sheetId="75" r:id="rId51"/>
    <sheet name="不动产收益法 -公服" sheetId="81" r:id="rId52"/>
    <sheet name="不动产收益法-住宅" sheetId="79" state="hidden" r:id="rId53"/>
    <sheet name="不动产比较法-办公租金" sheetId="34" r:id="rId54"/>
    <sheet name="Sheet3" sheetId="91" r:id="rId55"/>
    <sheet name="办公租金案例" sheetId="82" r:id="rId56"/>
    <sheet name="Sheet4" sheetId="92" r:id="rId57"/>
    <sheet name="Sheet5" sheetId="93"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state="hidden" r:id="rId63"/>
  </sheets>
  <externalReferences>
    <externalReference r:id="rId64"/>
    <externalReference r:id="rId65"/>
    <externalReference r:id="rId66"/>
  </externalReferences>
  <definedNames>
    <definedName name="_xlnm._FilterDatabase" localSheetId="34" hidden="1">'比较法-工业'!$A$1:$L$45</definedName>
    <definedName name="_xlnm._FilterDatabase" localSheetId="33" hidden="1">'比较法-住宅、综合'!$A$1:$L$50</definedName>
    <definedName name="_xlnm._FilterDatabase" localSheetId="53"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28" hidden="1">'不动产比较法-商业售价'!$A$1:$L$49</definedName>
    <definedName name="_xlnm._FilterDatabase" localSheetId="48" hidden="1">'不动产比较法-商业租金'!$A$1:$L$49</definedName>
    <definedName name="_xlnm._FilterDatabase" localSheetId="23"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4">'比较法-工业'!$A$1:$K$62,'比较法-工业'!$A$65:$N$122</definedName>
    <definedName name="_xlnm.Print_Area" localSheetId="33">'比较法-住宅、综合'!$A$1:$K$66,'比较法-住宅、综合'!$A$70:$N$133</definedName>
    <definedName name="_xlnm.Print_Area" localSheetId="53">'不动产比较法-办公租金'!$A$1:$K$55,'不动产比较法-办公租金'!$A$58:$M$132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28">'不动产比较法-商业售价'!$A$1:$K$54,'不动产比较法-商业售价'!$A$57:$M$131</definedName>
    <definedName name="_xlnm.Print_Area" localSheetId="48">'不动产比较法-商业租金'!$A$1:$K$54,'不动产比较法-商业租金'!$A$57:$M$131</definedName>
    <definedName name="_xlnm.Print_Area" localSheetId="23">'不动产比较法-住宅'!$A$1:$K$54,'不动产比较法-住宅'!$A$57:$M$131</definedName>
    <definedName name="_xlnm.Print_Area" localSheetId="51">'不动产收益法 -公服'!$A$1:$F$43,'不动产收益法 -公服'!$H$3:$M$29,'不动产收益法 -公服'!$A$46:$F$70,'不动产收益法 -公服'!$I$46:$M$60</definedName>
    <definedName name="_xlnm.Print_Area" localSheetId="45">'不动产收益法-商业'!$A$1:$F$43,'不动产收益法-商业'!$H$3:$M$29,'不动产收益法-商业'!$A$46:$F$70,'不动产收益法-商业'!$I$46:$M$60</definedName>
    <definedName name="_xlnm.Print_Area" localSheetId="52">'不动产收益法-住宅'!$A$1:$G$43,'不动产收益法-住宅'!$I$46:$L$60</definedName>
    <definedName name="_xlnm.Print_Area" localSheetId="47">成本逼近法!$A$1:$G$23</definedName>
    <definedName name="_xlnm.Print_Area" localSheetId="16">估价对象房地状况!$A$1:$G$24</definedName>
    <definedName name="_xlnm.Print_Area" localSheetId="7">估价师及机构信息!$A$1:$F$23</definedName>
    <definedName name="_xlnm.Print_Area" localSheetId="35">基准地价!$A$1:$J$44,基准地价!$A$47:$N$103,基准地价!$R$1:$V$16</definedName>
    <definedName name="_xlnm.Print_Area" localSheetId="43">'基准地价（汇总）'!$A$1:$F$14</definedName>
    <definedName name="_xlnm.Print_Area" localSheetId="31">基准地价公服!$A$1:$J$44,基准地价公服!$A$47:$N$103,基准地价公服!$R$1:$V$16</definedName>
    <definedName name="_xlnm.Print_Area" localSheetId="26">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50">'剩余法公服(待)'!$A$1:$K$36</definedName>
    <definedName name="_xlnm.Print_Area" localSheetId="27">'剩余法商业(待)'!$A$1:$K$36</definedName>
    <definedName name="_xlnm.Print_Area" localSheetId="32">'剩余法-现房'!$A$1:$K$27</definedName>
    <definedName name="_xlnm.Print_Area" localSheetId="22">'剩余法住宅(待)'!$A$1:$K$37</definedName>
    <definedName name="_xlnm.Print_Area" localSheetId="4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30">'[1]不动产比较法-办公租金'!$B$119:$M$119</definedName>
    <definedName name="办公层高">'不动产比较法-办公租金'!$B$119:$M$119</definedName>
    <definedName name="办公朝向" localSheetId="30">'[1]不动产比较法-办公租金'!$B$91:$M$91</definedName>
    <definedName name="办公朝向">'不动产比较法-办公租金'!$B$91:$M$91</definedName>
    <definedName name="办公道路级别" localSheetId="30">'[1]不动产比较法-办公租金'!$B$87:$M$87</definedName>
    <definedName name="办公道路级别">'不动产比较法-办公租金'!$B$87:$M$87</definedName>
    <definedName name="办公公共部分装修" localSheetId="30">'[1]不动产比较法-办公租金'!$B$108:$M$108</definedName>
    <definedName name="办公公共部分装修">'不动产比较法-办公租金'!$B$108:$M$108</definedName>
    <definedName name="办公基础设施水平" localSheetId="30">'[1]不动产比较法-办公租金'!$B$117:$M$117</definedName>
    <definedName name="办公基础设施水平">'不动产比较法-办公租金'!$B$117:$M$117</definedName>
    <definedName name="办公集聚程度" localSheetId="30">[1]定义!$M$1:$M$6</definedName>
    <definedName name="办公集聚程度">定义!$M$1:$M$6</definedName>
    <definedName name="办公建筑结构" localSheetId="30">'[1]不动产比较法-办公租金'!$B$106:$M$106</definedName>
    <definedName name="办公建筑结构">'不动产比较法-办公租金'!$B$106:$M$106</definedName>
    <definedName name="办公建筑类型" localSheetId="30">'[1]不动产比较法-办公租金'!$B$101:$M$101</definedName>
    <definedName name="办公建筑类型">'不动产比较法-办公租金'!$B$101:$M$101</definedName>
    <definedName name="办公交易情况" localSheetId="30">'[1]不动产比较法-办公租金'!$A$62:$M$62</definedName>
    <definedName name="办公交易情况">'不动产比较法-办公租金'!$A$62:$M$62</definedName>
    <definedName name="办公楼层" localSheetId="30">'[1]不动产比较法-办公租金'!$B$89:$M$89</definedName>
    <definedName name="办公楼层">'不动产比较法-办公租金'!$B$89:$M$89</definedName>
    <definedName name="办公内部装修" localSheetId="30">'[1]不动产比较法-办公租金'!$B$123:$M$123</definedName>
    <definedName name="办公内部装修">'不动产比较法-办公租金'!$B$123:$M$123</definedName>
    <definedName name="办公物业管理" localSheetId="30">'[1]不动产比较法-办公租金'!$B$115:$M$115</definedName>
    <definedName name="办公物业管理">'不动产比较法-办公租金'!$B$115:$M$115</definedName>
    <definedName name="办公用途" localSheetId="30">'[1]不动产比较法-办公租金'!$B$64:$M$64</definedName>
    <definedName name="办公用途">'不动产比较法-办公租金'!$B$64:$M$64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区片价!$K$1:$K$21</definedName>
    <definedName name="二级分类" localSheetId="30">[1]修正!$C$19:$C$51</definedName>
    <definedName name="二级分类">修正!$C$19:$C$51</definedName>
    <definedName name="法定最高年限" localSheetId="30">[1]定义!$G$2:$G$5</definedName>
    <definedName name="法定最高年限">定义!$G$2:$G$5</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1">基准地价公服!$N$19:$AB$19</definedName>
    <definedName name="季度" localSheetId="26">基准地价商业!$N$19:$AB$19</definedName>
    <definedName name="季度" localSheetId="21">基准地价住宅!$N$19:$AB$19</definedName>
    <definedName name="季度">基准地价!$N$19:$AB$19</definedName>
    <definedName name="季度2014">地价!$A$2:$A$41</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区片价!$R$1:$R$51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区片价!$O$1:$O$64</definedName>
    <definedName name="内部装修维护情况" localSheetId="30">[1]定义!$U$1:$U$6</definedName>
    <definedName name="内部装修维护情况">定义!$U$1:$U$6</definedName>
    <definedName name="七级">区片价!$P$1:$P$45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区片价!$L$1:$L$26</definedName>
    <definedName name="商业层高" localSheetId="28">'不动产比较法-商业售价'!$B$116:$M$116</definedName>
    <definedName name="商业层高" localSheetId="30">'[1]不动产比较法-商业租金'!$B$116:$M$116</definedName>
    <definedName name="商业层高">'不动产比较法-商业租金'!$B$116:$M$116</definedName>
    <definedName name="商业成新度" localSheetId="28">'不动产比较法-商业售价'!$B$109:$M$109</definedName>
    <definedName name="商业成新度">'不动产比较法-商业租金'!$B$109:$M$109</definedName>
    <definedName name="商业繁华度" localSheetId="30">[1]定义!$L$1:$L$6</definedName>
    <definedName name="商业繁华度">定义!$L$1:$L$6</definedName>
    <definedName name="商业公共部分装修" localSheetId="28">'不动产比较法-商业售价'!$B$107:$M$107</definedName>
    <definedName name="商业公共部分装修" localSheetId="30">'[1]不动产比较法-商业租金'!$B$107:$M$107</definedName>
    <definedName name="商业公共部分装修">'不动产比较法-商业租金'!$B$107:$M$107</definedName>
    <definedName name="商业基础设施水平" localSheetId="28">'不动产比较法-商业售价'!$B$112:$M$112</definedName>
    <definedName name="商业基础设施水平" localSheetId="30">'[1]不动产比较法-商业租金'!$B$112:$M$112</definedName>
    <definedName name="商业基础设施水平">'不动产比较法-商业租金'!$B$112:$M$112</definedName>
    <definedName name="商业建筑结构" localSheetId="28">'不动产比较法-商业售价'!$B$105:$M$105</definedName>
    <definedName name="商业建筑结构" localSheetId="30">'[1]不动产比较法-商业租金'!$B$105:$M$105</definedName>
    <definedName name="商业建筑结构">'不动产比较法-商业租金'!$B$105:$M$105</definedName>
    <definedName name="商业交易情况" localSheetId="28">'不动产比较法-商业售价'!$A$61:$M$61</definedName>
    <definedName name="商业交易情况" localSheetId="30">'[1]不动产比较法-商业租金'!$A$61:$M$61</definedName>
    <definedName name="商业交易情况">'不动产比较法-商业租金'!$A$61:$M$61</definedName>
    <definedName name="商业街名称" localSheetId="30">[1]修正!$C$71:$C$139</definedName>
    <definedName name="商业街名称">修正!$C$71:$C$139</definedName>
    <definedName name="商业进深比" localSheetId="28">'不动产比较法-商业售价'!$B$120:$M$120</definedName>
    <definedName name="商业进深比" localSheetId="30">'[1]不动产比较法-商业租金'!$B$120:$M$120</definedName>
    <definedName name="商业进深比">'不动产比较法-商业租金'!$B$120:$M$120</definedName>
    <definedName name="商业类型" localSheetId="28">'不动产比较法-商业售价'!$B$100:$M$100</definedName>
    <definedName name="商业类型" localSheetId="30">'[1]不动产比较法-商业租金'!$B$100:$M$100</definedName>
    <definedName name="商业类型">'不动产比较法-商业租金'!$B$100:$M$100</definedName>
    <definedName name="商业临街状况" localSheetId="28">'不动产比较法-商业售价'!$B$86:$M$86</definedName>
    <definedName name="商业临街状况" localSheetId="30">'[1]不动产比较法-商业租金'!$B$86:$M$86</definedName>
    <definedName name="商业临街状况">'不动产比较法-商业租金'!$B$86:$M$86</definedName>
    <definedName name="商业楼层" localSheetId="28">'不动产比较法-商业售价'!$B$92:$M$92</definedName>
    <definedName name="商业楼层" localSheetId="30">'[1]不动产比较法-商业租金'!$B$92:$M$92</definedName>
    <definedName name="商业楼层">'不动产比较法-商业租金'!$B$92:$M$92</definedName>
    <definedName name="商业内部装修" localSheetId="28">'不动产比较法-商业售价'!$B$122:$M$122</definedName>
    <definedName name="商业内部装修" localSheetId="30">'[1]不动产比较法-商业租金'!$B$122:$M$122</definedName>
    <definedName name="商业内部装修">'不动产比较法-商业租金'!$B$122:$M$122</definedName>
    <definedName name="商业人流量" localSheetId="28">'不动产比较法-商业售价'!$B$90:$M$90</definedName>
    <definedName name="商业人流量" localSheetId="30">'[1]不动产比较法-商业租金'!$B$90:$M$90</definedName>
    <definedName name="商业人流量">'不动产比较法-商业租金'!$B$90:$M$90</definedName>
    <definedName name="商业业态" localSheetId="28">'不动产比较法-商业售价'!$B$114:$M$114</definedName>
    <definedName name="商业业态" localSheetId="30">'[1]不动产比较法-商业租金'!$B$114:$M$114</definedName>
    <definedName name="商业业态">'不动产比较法-商业租金'!$B$114:$M$114</definedName>
    <definedName name="商业用途" localSheetId="28">'不动产比较法-商业售价'!$B$63:$M$63</definedName>
    <definedName name="商业用途" localSheetId="30">'[1]不动产比较法-商业租金'!$B$63:$M$63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区片价!$M$1:$M$33</definedName>
    <definedName name="套工工程地质条件" localSheetId="30">'[1]比较法-工业'!$B$115:$M$115</definedName>
    <definedName name="套工工程地质条件">'比较法-工业'!$B$115:$M$115</definedName>
    <definedName name="套工交易情况" localSheetId="30">'[1]比较法-住宅、综合'!$A$74:$M$74</definedName>
    <definedName name="套工交易情况">'比较法-住宅、综合'!$A$74:$M$74</definedName>
    <definedName name="套工开发程度" localSheetId="30">'[1]比较法-工业'!$B$113:$M$113</definedName>
    <definedName name="套工开发程度">'比较法-工业'!$B$113:$M$113</definedName>
    <definedName name="套工临街等级" localSheetId="30">'[1]比较法-工业'!$B$98:$M$98</definedName>
    <definedName name="套工临街等级">'比较法-工业'!$B$98:$M$98</definedName>
    <definedName name="套工土地级别" localSheetId="30">'[1]比较法-工业'!$B$100:$M$100</definedName>
    <definedName name="套工土地级别">'比较法-工业'!$B$100:$M$100</definedName>
    <definedName name="套工用途" localSheetId="30">'[1]比较法-工业'!$B$71:$M$71</definedName>
    <definedName name="套工用途">'比较法-工业'!$B$71:$M$71</definedName>
    <definedName name="套工宗地形状" localSheetId="30">'[1]比较法-工业'!$B$111:$M$111</definedName>
    <definedName name="套工宗地形状">'比较法-工业'!$B$111:$M$111</definedName>
    <definedName name="套综道路等级" localSheetId="30">'[1]比较法-住宅、综合'!$B$107:$M$107</definedName>
    <definedName name="套综道路等级">'比较法-住宅、综合'!$B$107:$M$107</definedName>
    <definedName name="套综工程地质条件" localSheetId="30">'[1]比较法-住宅、综合'!$B$126:$M$126</definedName>
    <definedName name="套综工程地质条件">'比较法-住宅、综合'!$B$126:$M$126</definedName>
    <definedName name="套综交易情况" localSheetId="30">'[1]比较法-住宅、综合'!$A$74:$M$74</definedName>
    <definedName name="套综交易情况">'比较法-住宅、综合'!$A$74:$M$74</definedName>
    <definedName name="套综临街宽度及深度" localSheetId="30">'[1]比较法-住宅、综合'!$B$122:$M$122</definedName>
    <definedName name="套综临街宽度及深度">'比较法-住宅、综合'!$B$122:$M$122</definedName>
    <definedName name="套综土地级别" localSheetId="30">'[1]比较法-住宅、综合'!$B$109:$M$109</definedName>
    <definedName name="套综土地级别">'比较法-住宅、综合'!$B$109:$M$109</definedName>
    <definedName name="套综用途" localSheetId="30">'[1]比较法-住宅、综合'!$B$76:$M$76</definedName>
    <definedName name="套综用途">'比较法-住宅、综合'!$B$76:$M$76</definedName>
    <definedName name="套综宗地内开发程度" localSheetId="30">'[1]比较法-住宅、综合'!$B$124:$M$124</definedName>
    <definedName name="套综宗地内开发程度">'比较法-住宅、综合'!$B$124:$M$124</definedName>
    <definedName name="套综宗地形状" localSheetId="30">'[1]比较法-住宅、综合'!$B$120:$M$120</definedName>
    <definedName name="套综宗地形状">'比较法-住宅、综合'!$B$120:$M$120</definedName>
    <definedName name="土地估价师" localSheetId="30">[1]估价师及机构信息!$D$3:$D$17</definedName>
    <definedName name="土地估价师">估价师及机构信息!$D$3:$D$17</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区片价!$N$1:$N$41</definedName>
    <definedName name="项目类型" localSheetId="46">'[2]数据-汇总表'!$C$17:$C$26</definedName>
    <definedName name="项目类型" localSheetId="30">'[1]数据-汇总表'!$C$17:$C$26</definedName>
    <definedName name="项目类型">'数据-汇总表'!$C$17:$C$26</definedName>
    <definedName name="写字楼等级" localSheetId="30">'[1]不动产比较法-办公租金'!$B$113:$M$113</definedName>
    <definedName name="写字楼等级">'不动产比较法-办公租金'!$B$113:$M$113</definedName>
    <definedName name="一级">区片价!$J$1:$J$6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[1]定义!$F$1:$F$12</definedName>
    <definedName name="主用途">定义!$F$1:$F$12</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9" i="91" l="1"/>
  <c r="R19" i="91"/>
  <c r="Q19" i="91"/>
  <c r="S18" i="91"/>
  <c r="R18" i="91"/>
  <c r="Q18" i="91"/>
  <c r="S17" i="91"/>
  <c r="R17" i="91"/>
  <c r="Q17" i="91"/>
  <c r="S16" i="91"/>
  <c r="R16" i="91"/>
  <c r="Q16" i="91"/>
  <c r="S15" i="91"/>
  <c r="R15" i="91"/>
  <c r="Q15" i="91"/>
  <c r="S14" i="91"/>
  <c r="R14" i="91"/>
  <c r="Q14" i="91"/>
  <c r="S13" i="91"/>
  <c r="R13" i="91"/>
  <c r="Q13" i="91"/>
  <c r="S12" i="91"/>
  <c r="R12" i="91"/>
  <c r="Q12" i="91"/>
  <c r="S11" i="91"/>
  <c r="R11" i="91"/>
  <c r="Q11" i="91"/>
  <c r="S10" i="91"/>
  <c r="R10" i="91"/>
  <c r="Q10" i="91"/>
  <c r="R9" i="91"/>
  <c r="Q9" i="91"/>
  <c r="S8" i="91"/>
  <c r="R8" i="91"/>
  <c r="Q8" i="91"/>
  <c r="S7" i="91"/>
  <c r="R7" i="91"/>
  <c r="Q7" i="91"/>
  <c r="L8" i="91"/>
  <c r="M8" i="91"/>
  <c r="N8" i="91"/>
  <c r="L9" i="91"/>
  <c r="L20" i="91" s="1"/>
  <c r="L22" i="91" s="1"/>
  <c r="L10" i="91"/>
  <c r="M10" i="91"/>
  <c r="N10" i="91"/>
  <c r="L11" i="91"/>
  <c r="M11" i="91"/>
  <c r="N11" i="91"/>
  <c r="L12" i="91"/>
  <c r="M12" i="91"/>
  <c r="N12" i="91"/>
  <c r="L13" i="91"/>
  <c r="M13" i="91"/>
  <c r="N13" i="91"/>
  <c r="L14" i="91"/>
  <c r="M14" i="91"/>
  <c r="N14" i="91"/>
  <c r="L15" i="91"/>
  <c r="M15" i="91"/>
  <c r="N15" i="91"/>
  <c r="L16" i="91"/>
  <c r="M16" i="91"/>
  <c r="N16" i="91"/>
  <c r="L17" i="91"/>
  <c r="M17" i="91"/>
  <c r="N17" i="91"/>
  <c r="L18" i="91"/>
  <c r="M18" i="91"/>
  <c r="N18" i="91"/>
  <c r="L19" i="91"/>
  <c r="M19" i="91"/>
  <c r="N19" i="91"/>
  <c r="N7" i="91"/>
  <c r="M7" i="91"/>
  <c r="L7" i="91"/>
  <c r="J9" i="91"/>
  <c r="S9" i="91" s="1"/>
  <c r="H9" i="91"/>
  <c r="M9" i="91" s="1"/>
  <c r="M20" i="91" l="1"/>
  <c r="M22" i="91" s="1"/>
  <c r="N9" i="91"/>
  <c r="N20" i="91"/>
  <c r="N22" i="91" s="1"/>
  <c r="M23" i="91" s="1"/>
  <c r="Q8" i="90"/>
  <c r="R8" i="90"/>
  <c r="S8" i="90"/>
  <c r="Q9" i="90"/>
  <c r="R9" i="90"/>
  <c r="S9" i="90"/>
  <c r="Q10" i="90"/>
  <c r="R10" i="90"/>
  <c r="S10" i="90"/>
  <c r="Q11" i="90"/>
  <c r="R11" i="90"/>
  <c r="S11" i="90"/>
  <c r="Q12" i="90"/>
  <c r="R12" i="90"/>
  <c r="S12" i="90"/>
  <c r="Q13" i="90"/>
  <c r="R13" i="90"/>
  <c r="S13" i="90"/>
  <c r="Q14" i="90"/>
  <c r="R14" i="90"/>
  <c r="S14" i="90"/>
  <c r="Q15" i="90"/>
  <c r="R15" i="90"/>
  <c r="S15" i="90"/>
  <c r="Q16" i="90"/>
  <c r="R16" i="90"/>
  <c r="S16" i="90"/>
  <c r="Q17" i="90"/>
  <c r="R17" i="90"/>
  <c r="S17" i="90"/>
  <c r="Q18" i="90"/>
  <c r="R18" i="90"/>
  <c r="S18" i="90"/>
  <c r="Q19" i="90"/>
  <c r="R19" i="90"/>
  <c r="S19" i="90"/>
  <c r="Q20" i="90"/>
  <c r="R20" i="90"/>
  <c r="S20" i="90"/>
  <c r="Q21" i="90"/>
  <c r="R21" i="90"/>
  <c r="S21" i="90"/>
  <c r="Q22" i="90"/>
  <c r="R22" i="90"/>
  <c r="S22" i="90"/>
  <c r="S7" i="90"/>
  <c r="R7" i="90"/>
  <c r="Q7" i="90"/>
  <c r="M8" i="90"/>
  <c r="N8" i="90"/>
  <c r="M9" i="90"/>
  <c r="N9" i="90"/>
  <c r="M10" i="90"/>
  <c r="N10" i="90"/>
  <c r="M11" i="90"/>
  <c r="N11" i="90"/>
  <c r="M12" i="90"/>
  <c r="N12" i="90"/>
  <c r="M13" i="90"/>
  <c r="N13" i="90"/>
  <c r="M14" i="90"/>
  <c r="N14" i="90"/>
  <c r="M15" i="90"/>
  <c r="N15" i="90"/>
  <c r="M16" i="90"/>
  <c r="N16" i="90"/>
  <c r="M17" i="90"/>
  <c r="N17" i="90"/>
  <c r="M18" i="90"/>
  <c r="N18" i="90"/>
  <c r="M19" i="90"/>
  <c r="N19" i="90"/>
  <c r="M20" i="90"/>
  <c r="N20" i="90"/>
  <c r="M21" i="90"/>
  <c r="N21" i="90"/>
  <c r="M22" i="90"/>
  <c r="N22" i="90"/>
  <c r="L8" i="90"/>
  <c r="L9" i="90"/>
  <c r="L10" i="90"/>
  <c r="L11" i="90"/>
  <c r="L12" i="90"/>
  <c r="L13" i="90"/>
  <c r="L14" i="90"/>
  <c r="L15" i="90"/>
  <c r="L16" i="90"/>
  <c r="L17" i="90"/>
  <c r="L18" i="90"/>
  <c r="L19" i="90"/>
  <c r="L20" i="90"/>
  <c r="L21" i="90"/>
  <c r="L22" i="90"/>
  <c r="N7" i="90"/>
  <c r="M7" i="90"/>
  <c r="L7" i="90"/>
  <c r="M23" i="90" l="1"/>
  <c r="M25" i="90" s="1"/>
  <c r="N23" i="90"/>
  <c r="N25" i="90" s="1"/>
  <c r="L23" i="90"/>
  <c r="L25" i="90" s="1"/>
  <c r="G48" i="34"/>
  <c r="E48" i="34"/>
  <c r="I48" i="34"/>
  <c r="I34" i="34"/>
  <c r="G34" i="34"/>
  <c r="E34" i="34"/>
  <c r="I7" i="34"/>
  <c r="G7" i="34"/>
  <c r="I5" i="34"/>
  <c r="G5" i="34"/>
  <c r="I47" i="86"/>
  <c r="G47" i="86"/>
  <c r="E47" i="86"/>
  <c r="I5" i="86"/>
  <c r="I7" i="21"/>
  <c r="I47" i="21"/>
  <c r="G47" i="21"/>
  <c r="G7" i="21"/>
  <c r="E47" i="21"/>
  <c r="E7" i="21"/>
  <c r="M26" i="90" l="1"/>
  <c r="D8" i="80"/>
  <c r="F4" i="80" l="1"/>
  <c r="F5" i="80"/>
  <c r="F3" i="80"/>
  <c r="I13" i="3" s="1"/>
  <c r="AD13" i="3" s="1"/>
  <c r="F7" i="80" l="1"/>
  <c r="F8" i="80"/>
  <c r="D4" i="88" s="1"/>
  <c r="K25" i="88" l="1"/>
  <c r="D7" i="88"/>
  <c r="K14" i="88"/>
  <c r="E104" i="21"/>
  <c r="F104" i="21" s="1"/>
  <c r="G104" i="21" s="1"/>
  <c r="H104" i="21" s="1"/>
  <c r="I104" i="21" s="1"/>
  <c r="J104" i="21" s="1"/>
  <c r="D104" i="21"/>
  <c r="D103" i="21"/>
  <c r="E103" i="21" s="1"/>
  <c r="F103" i="21" s="1"/>
  <c r="G103" i="21" s="1"/>
  <c r="H103" i="21" s="1"/>
  <c r="I103" i="21" s="1"/>
  <c r="J103" i="21" s="1"/>
  <c r="G33" i="21"/>
  <c r="D103" i="86"/>
  <c r="E103" i="86" s="1"/>
  <c r="F103" i="86" s="1"/>
  <c r="G103" i="86" s="1"/>
  <c r="H103" i="86" s="1"/>
  <c r="K15" i="88" l="1"/>
  <c r="S15" i="88" s="1"/>
  <c r="T15" i="88" s="1"/>
  <c r="U15" i="88" s="1"/>
  <c r="K16" i="88"/>
  <c r="S16" i="88" s="1"/>
  <c r="T16" i="88" s="1"/>
  <c r="U16" i="88" s="1"/>
  <c r="K19" i="88"/>
  <c r="S19" i="88" s="1"/>
  <c r="T19" i="88" s="1"/>
  <c r="U19" i="88" s="1"/>
  <c r="S14" i="88"/>
  <c r="T14" i="88" s="1"/>
  <c r="L14" i="88"/>
  <c r="O14" i="88" s="1"/>
  <c r="D8" i="88"/>
  <c r="L25" i="88"/>
  <c r="O25" i="88" s="1"/>
  <c r="S25" i="88" s="1"/>
  <c r="D10" i="88" s="1"/>
  <c r="M13" i="3" s="1"/>
  <c r="D104" i="34"/>
  <c r="E104" i="34" s="1"/>
  <c r="F104" i="34" s="1"/>
  <c r="G104" i="34" s="1"/>
  <c r="H104" i="34" s="1"/>
  <c r="H103" i="34" s="1"/>
  <c r="D104" i="86"/>
  <c r="E104" i="86" s="1"/>
  <c r="F104" i="86" s="1"/>
  <c r="G104" i="86" s="1"/>
  <c r="H104" i="86" s="1"/>
  <c r="E8" i="80"/>
  <c r="C57" i="77"/>
  <c r="C100" i="78" s="1"/>
  <c r="C99" i="78"/>
  <c r="C96" i="78"/>
  <c r="C58" i="77"/>
  <c r="C101" i="78" s="1"/>
  <c r="C56" i="77"/>
  <c r="C55" i="77"/>
  <c r="C98" i="78" s="1"/>
  <c r="C54" i="77"/>
  <c r="C97" i="78" s="1"/>
  <c r="C52" i="77"/>
  <c r="C95" i="78" s="1"/>
  <c r="C51" i="77"/>
  <c r="C94" i="78" s="1"/>
  <c r="D23" i="73"/>
  <c r="L15" i="1"/>
  <c r="L8" i="1"/>
  <c r="L7" i="1"/>
  <c r="G2" i="76"/>
  <c r="O21" i="76" s="1"/>
  <c r="K21" i="76"/>
  <c r="D78" i="34"/>
  <c r="E78" i="34" s="1"/>
  <c r="F25" i="34"/>
  <c r="AA25" i="34" s="1"/>
  <c r="D112" i="34"/>
  <c r="E112" i="34" s="1"/>
  <c r="F112" i="34" s="1"/>
  <c r="G112" i="34" s="1"/>
  <c r="D80" i="34"/>
  <c r="R48" i="34"/>
  <c r="B2" i="1"/>
  <c r="C7" i="34" s="1"/>
  <c r="C59" i="34" s="1"/>
  <c r="F8" i="34"/>
  <c r="AA8" i="34" s="1"/>
  <c r="C64" i="34"/>
  <c r="F9" i="34" s="1"/>
  <c r="AA9" i="34" s="1"/>
  <c r="F10" i="34"/>
  <c r="AA10" i="34" s="1"/>
  <c r="F11" i="34"/>
  <c r="AA11" i="34" s="1"/>
  <c r="B71" i="34"/>
  <c r="F12" i="34" s="1"/>
  <c r="AA12" i="34" s="1"/>
  <c r="B73" i="34"/>
  <c r="F13" i="34" s="1"/>
  <c r="AA13" i="34" s="1"/>
  <c r="B75" i="34"/>
  <c r="F14" i="34"/>
  <c r="AA14" i="34" s="1"/>
  <c r="D82" i="34"/>
  <c r="E82" i="34" s="1"/>
  <c r="D84" i="34"/>
  <c r="E84" i="34" s="1"/>
  <c r="F21" i="34"/>
  <c r="AA21" i="34" s="1"/>
  <c r="D86" i="34"/>
  <c r="E86" i="34" s="1"/>
  <c r="B89" i="34"/>
  <c r="F27" i="34" s="1"/>
  <c r="AA27" i="34" s="1"/>
  <c r="B91" i="34"/>
  <c r="F28" i="34" s="1"/>
  <c r="AA28" i="34" s="1"/>
  <c r="B93" i="34"/>
  <c r="F29" i="34" s="1"/>
  <c r="AA29" i="34" s="1"/>
  <c r="B95" i="34"/>
  <c r="F30" i="34"/>
  <c r="AA30" i="34" s="1"/>
  <c r="B97" i="34"/>
  <c r="F31" i="34"/>
  <c r="AA31" i="34" s="1"/>
  <c r="B99" i="34"/>
  <c r="F32" i="34" s="1"/>
  <c r="AA32" i="34" s="1"/>
  <c r="F33" i="34"/>
  <c r="AA33" i="34" s="1"/>
  <c r="D105" i="34"/>
  <c r="E105" i="34" s="1"/>
  <c r="F105" i="34" s="1"/>
  <c r="G105" i="34" s="1"/>
  <c r="F35" i="34"/>
  <c r="AA35" i="34" s="1"/>
  <c r="F36" i="34"/>
  <c r="AA36" i="34" s="1"/>
  <c r="F38" i="34"/>
  <c r="AA38" i="34"/>
  <c r="F39" i="34"/>
  <c r="AA39" i="34" s="1"/>
  <c r="F40" i="34"/>
  <c r="AA40" i="34" s="1"/>
  <c r="F41" i="34"/>
  <c r="AA41" i="34" s="1"/>
  <c r="F42" i="34"/>
  <c r="AA42" i="34" s="1"/>
  <c r="F43" i="34"/>
  <c r="AA43" i="34" s="1"/>
  <c r="F44" i="34"/>
  <c r="AA44" i="34" s="1"/>
  <c r="B127" i="34"/>
  <c r="F45" i="34" s="1"/>
  <c r="AA45" i="34" s="1"/>
  <c r="B129" i="34"/>
  <c r="F46" i="34" s="1"/>
  <c r="AA46" i="34" s="1"/>
  <c r="B131" i="34"/>
  <c r="F47" i="34" s="1"/>
  <c r="AA47" i="34" s="1"/>
  <c r="H25" i="34"/>
  <c r="AB25" i="34" s="1"/>
  <c r="T48" i="34"/>
  <c r="H8" i="34"/>
  <c r="AB8" i="34" s="1"/>
  <c r="H10" i="34"/>
  <c r="AB10" i="34" s="1"/>
  <c r="H11" i="34"/>
  <c r="AB11" i="34" s="1"/>
  <c r="H12" i="34"/>
  <c r="AB12" i="34" s="1"/>
  <c r="H14" i="34"/>
  <c r="AB14" i="34" s="1"/>
  <c r="H21" i="34"/>
  <c r="AB21" i="34" s="1"/>
  <c r="H29" i="34"/>
  <c r="AB29" i="34" s="1"/>
  <c r="H30" i="34"/>
  <c r="AB30" i="34" s="1"/>
  <c r="H31" i="34"/>
  <c r="AB31" i="34" s="1"/>
  <c r="H33" i="34"/>
  <c r="AB33" i="34" s="1"/>
  <c r="H35" i="34"/>
  <c r="AB35" i="34" s="1"/>
  <c r="H36" i="34"/>
  <c r="AB36" i="34" s="1"/>
  <c r="H38" i="34"/>
  <c r="AB38" i="34" s="1"/>
  <c r="H39" i="34"/>
  <c r="AB39" i="34" s="1"/>
  <c r="H40" i="34"/>
  <c r="AB40" i="34" s="1"/>
  <c r="H41" i="34"/>
  <c r="AB41" i="34"/>
  <c r="H42" i="34"/>
  <c r="AB42" i="34" s="1"/>
  <c r="H43" i="34"/>
  <c r="AB43" i="34" s="1"/>
  <c r="H44" i="34"/>
  <c r="AB44" i="34" s="1"/>
  <c r="J25" i="34"/>
  <c r="AC25" i="34" s="1"/>
  <c r="V48" i="34"/>
  <c r="J8" i="34"/>
  <c r="AC8" i="34" s="1"/>
  <c r="J9" i="34"/>
  <c r="AC9" i="34" s="1"/>
  <c r="J10" i="34"/>
  <c r="AC10" i="34" s="1"/>
  <c r="J11" i="34"/>
  <c r="AC11" i="34" s="1"/>
  <c r="J12" i="34"/>
  <c r="AC12" i="34" s="1"/>
  <c r="J13" i="34"/>
  <c r="AC13" i="34"/>
  <c r="J14" i="34"/>
  <c r="AC14" i="34" s="1"/>
  <c r="J21" i="34"/>
  <c r="AC21" i="34" s="1"/>
  <c r="J27" i="34"/>
  <c r="AC27" i="34" s="1"/>
  <c r="J28" i="34"/>
  <c r="AC28" i="34" s="1"/>
  <c r="J29" i="34"/>
  <c r="AC29" i="34" s="1"/>
  <c r="J30" i="34"/>
  <c r="AC30" i="34" s="1"/>
  <c r="J31" i="34"/>
  <c r="AC31" i="34" s="1"/>
  <c r="J32" i="34"/>
  <c r="AC32" i="34" s="1"/>
  <c r="J33" i="34"/>
  <c r="AC33" i="34" s="1"/>
  <c r="J35" i="34"/>
  <c r="AC35" i="34" s="1"/>
  <c r="J36" i="34"/>
  <c r="AC36" i="34" s="1"/>
  <c r="J38" i="34"/>
  <c r="AC38" i="34" s="1"/>
  <c r="J39" i="34"/>
  <c r="AC39" i="34"/>
  <c r="J40" i="34"/>
  <c r="AC40" i="34" s="1"/>
  <c r="J41" i="34"/>
  <c r="AC41" i="34" s="1"/>
  <c r="J42" i="34"/>
  <c r="AC42" i="34" s="1"/>
  <c r="J43" i="34"/>
  <c r="AC43" i="34"/>
  <c r="J44" i="34"/>
  <c r="AC44" i="34" s="1"/>
  <c r="J45" i="34"/>
  <c r="AC45" i="34" s="1"/>
  <c r="J46" i="34"/>
  <c r="AC46" i="34"/>
  <c r="J47" i="34"/>
  <c r="AC47" i="34"/>
  <c r="A6" i="1"/>
  <c r="A7" i="1"/>
  <c r="G1" i="81" s="1"/>
  <c r="A8" i="1"/>
  <c r="C1" i="65"/>
  <c r="N1" i="65" s="1"/>
  <c r="B43" i="1"/>
  <c r="B41" i="1" s="1"/>
  <c r="F32" i="81"/>
  <c r="C42" i="1"/>
  <c r="F33" i="8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L247" i="3" s="1"/>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L355" i="3" s="1"/>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A412" i="3" s="1"/>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L415" i="3" s="1"/>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A443" i="3" s="1"/>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A456" i="3" s="1"/>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A464" i="3" s="1"/>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H14" i="3"/>
  <c r="AC14" i="3"/>
  <c r="H15" i="3"/>
  <c r="AC15" i="3"/>
  <c r="H16" i="3"/>
  <c r="AC16" i="3"/>
  <c r="H17" i="3"/>
  <c r="AC17" i="3"/>
  <c r="H18" i="3"/>
  <c r="AC18" i="3"/>
  <c r="H19" i="3"/>
  <c r="G19" i="3" s="1"/>
  <c r="AC19" i="3"/>
  <c r="H20" i="3"/>
  <c r="AC20" i="3"/>
  <c r="G20" i="3" s="1"/>
  <c r="H21" i="3"/>
  <c r="AC21" i="3"/>
  <c r="H22" i="3"/>
  <c r="AC22" i="3"/>
  <c r="H23" i="3"/>
  <c r="AC23" i="3"/>
  <c r="H24" i="3"/>
  <c r="AC24" i="3"/>
  <c r="H25" i="3"/>
  <c r="AC25" i="3"/>
  <c r="H26" i="3"/>
  <c r="AC26" i="3"/>
  <c r="H27" i="3"/>
  <c r="AC27" i="3"/>
  <c r="G27" i="3" s="1"/>
  <c r="H28" i="3"/>
  <c r="AC28" i="3"/>
  <c r="G28" i="3" s="1"/>
  <c r="H29" i="3"/>
  <c r="G29" i="3" s="1"/>
  <c r="AC29" i="3"/>
  <c r="H30" i="3"/>
  <c r="AC30" i="3"/>
  <c r="H31" i="3"/>
  <c r="G31" i="3" s="1"/>
  <c r="AC31" i="3"/>
  <c r="H32" i="3"/>
  <c r="G32" i="3" s="1"/>
  <c r="AC32" i="3"/>
  <c r="H33" i="3"/>
  <c r="AC33" i="3"/>
  <c r="H34" i="3"/>
  <c r="G34" i="3" s="1"/>
  <c r="AC34" i="3"/>
  <c r="H35" i="3"/>
  <c r="AC35" i="3"/>
  <c r="H36" i="3"/>
  <c r="AC36" i="3"/>
  <c r="H37" i="3"/>
  <c r="G37" i="3" s="1"/>
  <c r="AC37" i="3"/>
  <c r="H38" i="3"/>
  <c r="AC38" i="3"/>
  <c r="H39" i="3"/>
  <c r="G39" i="3" s="1"/>
  <c r="AC39" i="3"/>
  <c r="H40" i="3"/>
  <c r="AC40" i="3"/>
  <c r="H41" i="3"/>
  <c r="G41" i="3" s="1"/>
  <c r="AC41" i="3"/>
  <c r="H42" i="3"/>
  <c r="AC42" i="3"/>
  <c r="H43" i="3"/>
  <c r="G43" i="3" s="1"/>
  <c r="AC43" i="3"/>
  <c r="H44" i="3"/>
  <c r="AC44" i="3"/>
  <c r="H45" i="3"/>
  <c r="AC45" i="3"/>
  <c r="H46" i="3"/>
  <c r="G46" i="3" s="1"/>
  <c r="AC46" i="3"/>
  <c r="H47" i="3"/>
  <c r="AC47" i="3"/>
  <c r="G47" i="3"/>
  <c r="H48" i="3"/>
  <c r="AC48" i="3"/>
  <c r="H49" i="3"/>
  <c r="AC49" i="3"/>
  <c r="H50" i="3"/>
  <c r="AC50" i="3"/>
  <c r="H51" i="3"/>
  <c r="AC51" i="3"/>
  <c r="G51" i="3" s="1"/>
  <c r="H52" i="3"/>
  <c r="AC52" i="3"/>
  <c r="G52" i="3" s="1"/>
  <c r="H53" i="3"/>
  <c r="AC53" i="3"/>
  <c r="H54" i="3"/>
  <c r="AC54" i="3"/>
  <c r="H55" i="3"/>
  <c r="AC55" i="3"/>
  <c r="H56" i="3"/>
  <c r="AC56" i="3"/>
  <c r="G56" i="3" s="1"/>
  <c r="H57" i="3"/>
  <c r="AC57" i="3"/>
  <c r="H58" i="3"/>
  <c r="AC58" i="3"/>
  <c r="H59" i="3"/>
  <c r="AC59" i="3"/>
  <c r="H60" i="3"/>
  <c r="AC60" i="3"/>
  <c r="G60" i="3" s="1"/>
  <c r="H61" i="3"/>
  <c r="AC61" i="3"/>
  <c r="H62" i="3"/>
  <c r="AC62" i="3"/>
  <c r="H63" i="3"/>
  <c r="AC63" i="3"/>
  <c r="G63" i="3" s="1"/>
  <c r="H64" i="3"/>
  <c r="AC64" i="3"/>
  <c r="H65" i="3"/>
  <c r="AC65" i="3"/>
  <c r="H66" i="3"/>
  <c r="G66" i="3" s="1"/>
  <c r="AC66" i="3"/>
  <c r="H67" i="3"/>
  <c r="AC67" i="3"/>
  <c r="G67" i="3"/>
  <c r="H68" i="3"/>
  <c r="AC68" i="3"/>
  <c r="G68" i="3" s="1"/>
  <c r="H69" i="3"/>
  <c r="AC69" i="3"/>
  <c r="H70" i="3"/>
  <c r="AC70" i="3"/>
  <c r="H71" i="3"/>
  <c r="AC71" i="3"/>
  <c r="H72" i="3"/>
  <c r="AC72" i="3"/>
  <c r="H73" i="3"/>
  <c r="AC73" i="3"/>
  <c r="H74" i="3"/>
  <c r="AC74" i="3"/>
  <c r="H75" i="3"/>
  <c r="AC75" i="3"/>
  <c r="G75" i="3" s="1"/>
  <c r="H76" i="3"/>
  <c r="AC76" i="3"/>
  <c r="H77" i="3"/>
  <c r="AC77" i="3"/>
  <c r="H78" i="3"/>
  <c r="AC78" i="3"/>
  <c r="H79" i="3"/>
  <c r="G79" i="3" s="1"/>
  <c r="AC79" i="3"/>
  <c r="H80" i="3"/>
  <c r="AC80" i="3"/>
  <c r="H81" i="3"/>
  <c r="G81" i="3" s="1"/>
  <c r="AC81" i="3"/>
  <c r="H82" i="3"/>
  <c r="AC82" i="3"/>
  <c r="H83" i="3"/>
  <c r="G83" i="3" s="1"/>
  <c r="AC83" i="3"/>
  <c r="H84" i="3"/>
  <c r="AC84" i="3"/>
  <c r="H85" i="3"/>
  <c r="AC85" i="3"/>
  <c r="H86" i="3"/>
  <c r="AC86" i="3"/>
  <c r="H87" i="3"/>
  <c r="AC87" i="3"/>
  <c r="H88" i="3"/>
  <c r="AC88" i="3"/>
  <c r="H89" i="3"/>
  <c r="G89" i="3" s="1"/>
  <c r="AC89" i="3"/>
  <c r="H90" i="3"/>
  <c r="G90" i="3" s="1"/>
  <c r="AC90" i="3"/>
  <c r="H91" i="3"/>
  <c r="AC91" i="3"/>
  <c r="G91" i="3"/>
  <c r="H92" i="3"/>
  <c r="AC92" i="3"/>
  <c r="G92" i="3" s="1"/>
  <c r="H93" i="3"/>
  <c r="AC93" i="3"/>
  <c r="H94" i="3"/>
  <c r="AC94" i="3"/>
  <c r="H95" i="3"/>
  <c r="AC95" i="3"/>
  <c r="H96" i="3"/>
  <c r="AC96" i="3"/>
  <c r="H97" i="3"/>
  <c r="AC97" i="3"/>
  <c r="H98" i="3"/>
  <c r="AC98" i="3"/>
  <c r="H99" i="3"/>
  <c r="AC99" i="3"/>
  <c r="H100" i="3"/>
  <c r="AC100" i="3"/>
  <c r="G100" i="3" s="1"/>
  <c r="H101" i="3"/>
  <c r="AC101" i="3"/>
  <c r="H102" i="3"/>
  <c r="AC102" i="3"/>
  <c r="H103" i="3"/>
  <c r="AC103" i="3"/>
  <c r="G103" i="3" s="1"/>
  <c r="H104" i="3"/>
  <c r="AC104" i="3"/>
  <c r="H105" i="3"/>
  <c r="AC105" i="3"/>
  <c r="H106" i="3"/>
  <c r="AC106" i="3"/>
  <c r="H107" i="3"/>
  <c r="AC107" i="3"/>
  <c r="G107" i="3" s="1"/>
  <c r="H108" i="3"/>
  <c r="AC108" i="3"/>
  <c r="H109" i="3"/>
  <c r="AC109" i="3"/>
  <c r="H110" i="3"/>
  <c r="AC110" i="3"/>
  <c r="H111" i="3"/>
  <c r="G111" i="3" s="1"/>
  <c r="AC111" i="3"/>
  <c r="H112" i="3"/>
  <c r="AC112" i="3"/>
  <c r="H113" i="3"/>
  <c r="G113" i="3" s="1"/>
  <c r="AC113" i="3"/>
  <c r="H114" i="3"/>
  <c r="G114" i="3" s="1"/>
  <c r="AC114" i="3"/>
  <c r="H115" i="3"/>
  <c r="AC115" i="3"/>
  <c r="G115" i="3"/>
  <c r="H116" i="3"/>
  <c r="AC116" i="3"/>
  <c r="G116" i="3" s="1"/>
  <c r="H117" i="3"/>
  <c r="AC117" i="3"/>
  <c r="H118" i="3"/>
  <c r="AC118" i="3"/>
  <c r="H119" i="3"/>
  <c r="AC119" i="3"/>
  <c r="G119" i="3" s="1"/>
  <c r="H120" i="3"/>
  <c r="AC120" i="3"/>
  <c r="H121" i="3"/>
  <c r="AC121" i="3"/>
  <c r="H122" i="3"/>
  <c r="AC122" i="3"/>
  <c r="H123" i="3"/>
  <c r="AC123" i="3"/>
  <c r="H124" i="3"/>
  <c r="AC124" i="3"/>
  <c r="G124" i="3" s="1"/>
  <c r="H125" i="3"/>
  <c r="AC125" i="3"/>
  <c r="H126" i="3"/>
  <c r="AC126" i="3"/>
  <c r="H127" i="3"/>
  <c r="AC127" i="3"/>
  <c r="H128" i="3"/>
  <c r="AC128" i="3"/>
  <c r="H129" i="3"/>
  <c r="G129" i="3" s="1"/>
  <c r="AC129" i="3"/>
  <c r="H130" i="3"/>
  <c r="G130" i="3" s="1"/>
  <c r="AC130" i="3"/>
  <c r="H131" i="3"/>
  <c r="G131" i="3" s="1"/>
  <c r="AC131" i="3"/>
  <c r="H132" i="3"/>
  <c r="AC132" i="3"/>
  <c r="H133" i="3"/>
  <c r="AC133" i="3"/>
  <c r="H134" i="3"/>
  <c r="AC134" i="3"/>
  <c r="H135" i="3"/>
  <c r="AC135" i="3"/>
  <c r="G135" i="3" s="1"/>
  <c r="H136" i="3"/>
  <c r="AC136" i="3"/>
  <c r="H137" i="3"/>
  <c r="AC137" i="3"/>
  <c r="H138" i="3"/>
  <c r="G138" i="3" s="1"/>
  <c r="AC138" i="3"/>
  <c r="H139" i="3"/>
  <c r="AC139" i="3"/>
  <c r="H140" i="3"/>
  <c r="AC140" i="3"/>
  <c r="H141" i="3"/>
  <c r="G141" i="3" s="1"/>
  <c r="AC141" i="3"/>
  <c r="H142" i="3"/>
  <c r="G142" i="3" s="1"/>
  <c r="AC142" i="3"/>
  <c r="H143" i="3"/>
  <c r="G143" i="3" s="1"/>
  <c r="AC143" i="3"/>
  <c r="H144" i="3"/>
  <c r="AC144" i="3"/>
  <c r="H145" i="3"/>
  <c r="G145" i="3" s="1"/>
  <c r="AC145" i="3"/>
  <c r="H146" i="3"/>
  <c r="AC146" i="3"/>
  <c r="H147" i="3"/>
  <c r="G147" i="3" s="1"/>
  <c r="AC147" i="3"/>
  <c r="H148" i="3"/>
  <c r="AC148" i="3"/>
  <c r="H149" i="3"/>
  <c r="G149" i="3" s="1"/>
  <c r="AC149" i="3"/>
  <c r="H150" i="3"/>
  <c r="G150" i="3" s="1"/>
  <c r="AC150" i="3"/>
  <c r="H151" i="3"/>
  <c r="AC151" i="3"/>
  <c r="G151" i="3"/>
  <c r="H152" i="3"/>
  <c r="AC152" i="3"/>
  <c r="H153" i="3"/>
  <c r="AC153" i="3"/>
  <c r="H154" i="3"/>
  <c r="AC154" i="3"/>
  <c r="H155" i="3"/>
  <c r="AC155" i="3"/>
  <c r="G155" i="3" s="1"/>
  <c r="H156" i="3"/>
  <c r="AC156" i="3"/>
  <c r="H157" i="3"/>
  <c r="AC157" i="3"/>
  <c r="H158" i="3"/>
  <c r="AC158" i="3"/>
  <c r="H159" i="3"/>
  <c r="AC159" i="3"/>
  <c r="H160" i="3"/>
  <c r="AC160" i="3"/>
  <c r="G160" i="3" s="1"/>
  <c r="H161" i="3"/>
  <c r="AC161" i="3"/>
  <c r="H162" i="3"/>
  <c r="AC162" i="3"/>
  <c r="H163" i="3"/>
  <c r="AC163" i="3"/>
  <c r="H164" i="3"/>
  <c r="AC164" i="3"/>
  <c r="H165" i="3"/>
  <c r="AC165" i="3"/>
  <c r="H166" i="3"/>
  <c r="AC166" i="3"/>
  <c r="H167" i="3"/>
  <c r="AC167" i="3"/>
  <c r="G167" i="3" s="1"/>
  <c r="H168" i="3"/>
  <c r="AC168" i="3"/>
  <c r="H169" i="3"/>
  <c r="AC169" i="3"/>
  <c r="H170" i="3"/>
  <c r="G170" i="3" s="1"/>
  <c r="AC170" i="3"/>
  <c r="H171" i="3"/>
  <c r="AC171" i="3"/>
  <c r="H172" i="3"/>
  <c r="AC172" i="3"/>
  <c r="H173" i="3"/>
  <c r="G173" i="3" s="1"/>
  <c r="AC173" i="3"/>
  <c r="H174" i="3"/>
  <c r="G174" i="3" s="1"/>
  <c r="AC174" i="3"/>
  <c r="H175" i="3"/>
  <c r="G175" i="3" s="1"/>
  <c r="AC175" i="3"/>
  <c r="H176" i="3"/>
  <c r="AC176" i="3"/>
  <c r="H177" i="3"/>
  <c r="G177" i="3" s="1"/>
  <c r="AC177" i="3"/>
  <c r="H178" i="3"/>
  <c r="AC178" i="3"/>
  <c r="H179" i="3"/>
  <c r="G179" i="3" s="1"/>
  <c r="AC179" i="3"/>
  <c r="H180" i="3"/>
  <c r="AC180" i="3"/>
  <c r="H181" i="3"/>
  <c r="G181" i="3" s="1"/>
  <c r="AC181" i="3"/>
  <c r="H182" i="3"/>
  <c r="G182" i="3" s="1"/>
  <c r="AC182" i="3"/>
  <c r="H183" i="3"/>
  <c r="AC183" i="3"/>
  <c r="G183" i="3"/>
  <c r="H184" i="3"/>
  <c r="AC184" i="3"/>
  <c r="H185" i="3"/>
  <c r="AC185" i="3"/>
  <c r="H186" i="3"/>
  <c r="AC186" i="3"/>
  <c r="H187" i="3"/>
  <c r="AC187" i="3"/>
  <c r="G187" i="3" s="1"/>
  <c r="H188" i="3"/>
  <c r="AC188" i="3"/>
  <c r="H189" i="3"/>
  <c r="AC189" i="3"/>
  <c r="H190" i="3"/>
  <c r="AC190" i="3"/>
  <c r="H191" i="3"/>
  <c r="AC191" i="3"/>
  <c r="H192" i="3"/>
  <c r="AC192" i="3"/>
  <c r="G192" i="3" s="1"/>
  <c r="H193" i="3"/>
  <c r="AC193" i="3"/>
  <c r="H194" i="3"/>
  <c r="AC194" i="3"/>
  <c r="H195" i="3"/>
  <c r="AC195" i="3"/>
  <c r="H196" i="3"/>
  <c r="AC196" i="3"/>
  <c r="H197" i="3"/>
  <c r="AC197" i="3"/>
  <c r="H198" i="3"/>
  <c r="AC198" i="3"/>
  <c r="H199" i="3"/>
  <c r="AC199" i="3"/>
  <c r="G199" i="3" s="1"/>
  <c r="H200" i="3"/>
  <c r="AC200" i="3"/>
  <c r="H201" i="3"/>
  <c r="AC201" i="3"/>
  <c r="H202" i="3"/>
  <c r="AC202" i="3"/>
  <c r="H203" i="3"/>
  <c r="G203" i="3" s="1"/>
  <c r="AC203" i="3"/>
  <c r="H204" i="3"/>
  <c r="AC204" i="3"/>
  <c r="H205" i="3"/>
  <c r="G205" i="3" s="1"/>
  <c r="AC205" i="3"/>
  <c r="H206" i="3"/>
  <c r="AC206" i="3"/>
  <c r="H207" i="3"/>
  <c r="G207" i="3" s="1"/>
  <c r="AC207" i="3"/>
  <c r="H208" i="3"/>
  <c r="AC208" i="3"/>
  <c r="H209" i="3"/>
  <c r="AC209" i="3"/>
  <c r="H210" i="3"/>
  <c r="G210" i="3" s="1"/>
  <c r="AC210" i="3"/>
  <c r="H211" i="3"/>
  <c r="AC211" i="3"/>
  <c r="G211" i="3"/>
  <c r="H212" i="3"/>
  <c r="AC212" i="3"/>
  <c r="H213" i="3"/>
  <c r="AC213" i="3"/>
  <c r="H214" i="3"/>
  <c r="AC214" i="3"/>
  <c r="H215" i="3"/>
  <c r="AC215" i="3"/>
  <c r="G215" i="3" s="1"/>
  <c r="H216" i="3"/>
  <c r="AC216" i="3"/>
  <c r="H217" i="3"/>
  <c r="AC217" i="3"/>
  <c r="H218" i="3"/>
  <c r="AC218" i="3"/>
  <c r="H219" i="3"/>
  <c r="G219" i="3" s="1"/>
  <c r="AC219" i="3"/>
  <c r="H220" i="3"/>
  <c r="AC220" i="3"/>
  <c r="H221" i="3"/>
  <c r="G221" i="3" s="1"/>
  <c r="AC221" i="3"/>
  <c r="H222" i="3"/>
  <c r="AC222" i="3"/>
  <c r="H223" i="3"/>
  <c r="G223" i="3" s="1"/>
  <c r="AC223" i="3"/>
  <c r="H224" i="3"/>
  <c r="AC224" i="3"/>
  <c r="H225" i="3"/>
  <c r="AC225" i="3"/>
  <c r="H226" i="3"/>
  <c r="AC226" i="3"/>
  <c r="H227" i="3"/>
  <c r="AC227" i="3"/>
  <c r="G227" i="3"/>
  <c r="H228" i="3"/>
  <c r="AC228" i="3"/>
  <c r="H229" i="3"/>
  <c r="AC229" i="3"/>
  <c r="H230" i="3"/>
  <c r="AC230" i="3"/>
  <c r="H231" i="3"/>
  <c r="AC231" i="3"/>
  <c r="G231" i="3" s="1"/>
  <c r="H232" i="3"/>
  <c r="AC232" i="3"/>
  <c r="H233" i="3"/>
  <c r="AC233" i="3"/>
  <c r="H234" i="3"/>
  <c r="AC234" i="3"/>
  <c r="H235" i="3"/>
  <c r="G235" i="3" s="1"/>
  <c r="AC235" i="3"/>
  <c r="H236" i="3"/>
  <c r="AC236" i="3"/>
  <c r="H237" i="3"/>
  <c r="G237" i="3" s="1"/>
  <c r="AC237" i="3"/>
  <c r="H238" i="3"/>
  <c r="AC238" i="3"/>
  <c r="H239" i="3"/>
  <c r="G239" i="3" s="1"/>
  <c r="AC239" i="3"/>
  <c r="H240" i="3"/>
  <c r="AC240" i="3"/>
  <c r="H241" i="3"/>
  <c r="AC241" i="3"/>
  <c r="H242" i="3"/>
  <c r="AC242" i="3"/>
  <c r="H243" i="3"/>
  <c r="AC243" i="3"/>
  <c r="G243" i="3"/>
  <c r="H244" i="3"/>
  <c r="AC244" i="3"/>
  <c r="H245" i="3"/>
  <c r="AC245" i="3"/>
  <c r="H246" i="3"/>
  <c r="AC246" i="3"/>
  <c r="H247" i="3"/>
  <c r="AC247" i="3"/>
  <c r="G247" i="3" s="1"/>
  <c r="H248" i="3"/>
  <c r="AC248" i="3"/>
  <c r="H249" i="3"/>
  <c r="AC249" i="3"/>
  <c r="H250" i="3"/>
  <c r="AC250" i="3"/>
  <c r="H251" i="3"/>
  <c r="G251" i="3" s="1"/>
  <c r="AC251" i="3"/>
  <c r="H252" i="3"/>
  <c r="AC252" i="3"/>
  <c r="H253" i="3"/>
  <c r="G253" i="3" s="1"/>
  <c r="AC253" i="3"/>
  <c r="H254" i="3"/>
  <c r="AC254" i="3"/>
  <c r="H255" i="3"/>
  <c r="G255" i="3" s="1"/>
  <c r="AC255" i="3"/>
  <c r="H256" i="3"/>
  <c r="AC256" i="3"/>
  <c r="H257" i="3"/>
  <c r="AC257" i="3"/>
  <c r="H258" i="3"/>
  <c r="AC258" i="3"/>
  <c r="H259" i="3"/>
  <c r="AC259" i="3"/>
  <c r="G259" i="3"/>
  <c r="H260" i="3"/>
  <c r="AC260" i="3"/>
  <c r="H261" i="3"/>
  <c r="AC261" i="3"/>
  <c r="H262" i="3"/>
  <c r="AC262" i="3"/>
  <c r="H263" i="3"/>
  <c r="AC263" i="3"/>
  <c r="G263" i="3" s="1"/>
  <c r="H264" i="3"/>
  <c r="AC264" i="3"/>
  <c r="H265" i="3"/>
  <c r="AC265" i="3"/>
  <c r="H266" i="3"/>
  <c r="AC266" i="3"/>
  <c r="H267" i="3"/>
  <c r="G267" i="3" s="1"/>
  <c r="AC267" i="3"/>
  <c r="H268" i="3"/>
  <c r="AC268" i="3"/>
  <c r="H269" i="3"/>
  <c r="G269" i="3" s="1"/>
  <c r="AC269" i="3"/>
  <c r="H270" i="3"/>
  <c r="AC270" i="3"/>
  <c r="H271" i="3"/>
  <c r="G271" i="3" s="1"/>
  <c r="AC271" i="3"/>
  <c r="H272" i="3"/>
  <c r="AC272" i="3"/>
  <c r="H273" i="3"/>
  <c r="AC273" i="3"/>
  <c r="H274" i="3"/>
  <c r="AC274" i="3"/>
  <c r="H275" i="3"/>
  <c r="AC275" i="3"/>
  <c r="G275" i="3"/>
  <c r="H276" i="3"/>
  <c r="AC276" i="3"/>
  <c r="H277" i="3"/>
  <c r="AC277" i="3"/>
  <c r="H278" i="3"/>
  <c r="AC278" i="3"/>
  <c r="H279" i="3"/>
  <c r="AC279" i="3"/>
  <c r="G279" i="3" s="1"/>
  <c r="H280" i="3"/>
  <c r="AC280" i="3"/>
  <c r="H281" i="3"/>
  <c r="AC281" i="3"/>
  <c r="H282" i="3"/>
  <c r="AC282" i="3"/>
  <c r="H283" i="3"/>
  <c r="G283" i="3" s="1"/>
  <c r="AC283" i="3"/>
  <c r="H284" i="3"/>
  <c r="AC284" i="3"/>
  <c r="H285" i="3"/>
  <c r="G285" i="3" s="1"/>
  <c r="AC285" i="3"/>
  <c r="H286" i="3"/>
  <c r="AC286" i="3"/>
  <c r="H287" i="3"/>
  <c r="G287" i="3" s="1"/>
  <c r="AC287" i="3"/>
  <c r="H288" i="3"/>
  <c r="AC288" i="3"/>
  <c r="H289" i="3"/>
  <c r="AC289" i="3"/>
  <c r="H290" i="3"/>
  <c r="AC290" i="3"/>
  <c r="H291" i="3"/>
  <c r="AC291" i="3"/>
  <c r="G291" i="3"/>
  <c r="H292" i="3"/>
  <c r="AC292" i="3"/>
  <c r="H293" i="3"/>
  <c r="AC293" i="3"/>
  <c r="H294" i="3"/>
  <c r="AC294" i="3"/>
  <c r="H295" i="3"/>
  <c r="AC295" i="3"/>
  <c r="G295" i="3" s="1"/>
  <c r="H296" i="3"/>
  <c r="AC296" i="3"/>
  <c r="H297" i="3"/>
  <c r="AC297" i="3"/>
  <c r="H298" i="3"/>
  <c r="AC298" i="3"/>
  <c r="H299" i="3"/>
  <c r="G299" i="3" s="1"/>
  <c r="AC299" i="3"/>
  <c r="H300" i="3"/>
  <c r="AC300" i="3"/>
  <c r="H301" i="3"/>
  <c r="G301" i="3" s="1"/>
  <c r="AC301" i="3"/>
  <c r="H302" i="3"/>
  <c r="AC302" i="3"/>
  <c r="H303" i="3"/>
  <c r="G303" i="3" s="1"/>
  <c r="AC303" i="3"/>
  <c r="H304" i="3"/>
  <c r="AC304" i="3"/>
  <c r="H305" i="3"/>
  <c r="AC305" i="3"/>
  <c r="H306" i="3"/>
  <c r="AC306" i="3"/>
  <c r="H307" i="3"/>
  <c r="AC307" i="3"/>
  <c r="G307" i="3"/>
  <c r="H308" i="3"/>
  <c r="AC308" i="3"/>
  <c r="H309" i="3"/>
  <c r="AC309" i="3"/>
  <c r="H310" i="3"/>
  <c r="AC310" i="3"/>
  <c r="H311" i="3"/>
  <c r="AC311" i="3"/>
  <c r="H312" i="3"/>
  <c r="AC312" i="3"/>
  <c r="H313" i="3"/>
  <c r="AC313" i="3"/>
  <c r="G313" i="3" s="1"/>
  <c r="H314" i="3"/>
  <c r="AC314" i="3"/>
  <c r="H315" i="3"/>
  <c r="AC315" i="3"/>
  <c r="H316" i="3"/>
  <c r="AC316" i="3"/>
  <c r="G316" i="3"/>
  <c r="H317" i="3"/>
  <c r="AC317" i="3"/>
  <c r="H318" i="3"/>
  <c r="AC318" i="3"/>
  <c r="H319" i="3"/>
  <c r="AC319" i="3"/>
  <c r="G319" i="3" s="1"/>
  <c r="H320" i="3"/>
  <c r="AC320" i="3"/>
  <c r="H321" i="3"/>
  <c r="AC321" i="3"/>
  <c r="H322" i="3"/>
  <c r="G322" i="3" s="1"/>
  <c r="AC322" i="3"/>
  <c r="H323" i="3"/>
  <c r="AC323" i="3"/>
  <c r="G323" i="3"/>
  <c r="H324" i="3"/>
  <c r="AC324" i="3"/>
  <c r="G324" i="3" s="1"/>
  <c r="H325" i="3"/>
  <c r="AC325" i="3"/>
  <c r="H326" i="3"/>
  <c r="AC326" i="3"/>
  <c r="H327" i="3"/>
  <c r="AC327" i="3"/>
  <c r="H328" i="3"/>
  <c r="AC328" i="3"/>
  <c r="G328" i="3" s="1"/>
  <c r="H329" i="3"/>
  <c r="AC329" i="3"/>
  <c r="H330" i="3"/>
  <c r="AC330" i="3"/>
  <c r="H331" i="3"/>
  <c r="AC331" i="3"/>
  <c r="H332" i="3"/>
  <c r="AC332" i="3"/>
  <c r="G332" i="3" s="1"/>
  <c r="H333" i="3"/>
  <c r="AC333" i="3"/>
  <c r="H334" i="3"/>
  <c r="AC334" i="3"/>
  <c r="H335" i="3"/>
  <c r="AC335" i="3"/>
  <c r="G335" i="3" s="1"/>
  <c r="H336" i="3"/>
  <c r="AC336" i="3"/>
  <c r="H337" i="3"/>
  <c r="AC337" i="3"/>
  <c r="H338" i="3"/>
  <c r="G338" i="3" s="1"/>
  <c r="AC338" i="3"/>
  <c r="H339" i="3"/>
  <c r="AC339" i="3"/>
  <c r="G339" i="3"/>
  <c r="H340" i="3"/>
  <c r="AC340" i="3"/>
  <c r="G340" i="3" s="1"/>
  <c r="H341" i="3"/>
  <c r="AC341" i="3"/>
  <c r="H342" i="3"/>
  <c r="AC342" i="3"/>
  <c r="H343" i="3"/>
  <c r="G343" i="3" s="1"/>
  <c r="AC343" i="3"/>
  <c r="H344" i="3"/>
  <c r="AC344" i="3"/>
  <c r="H345" i="3"/>
  <c r="G345" i="3" s="1"/>
  <c r="AC345" i="3"/>
  <c r="H346" i="3"/>
  <c r="AC346" i="3"/>
  <c r="H347" i="3"/>
  <c r="G347" i="3" s="1"/>
  <c r="AC347" i="3"/>
  <c r="H348" i="3"/>
  <c r="AC348" i="3"/>
  <c r="H349" i="3"/>
  <c r="AC349" i="3"/>
  <c r="H350" i="3"/>
  <c r="AC350" i="3"/>
  <c r="H351" i="3"/>
  <c r="AC351" i="3"/>
  <c r="G351" i="3"/>
  <c r="H352" i="3"/>
  <c r="AC352" i="3"/>
  <c r="H353" i="3"/>
  <c r="AC353" i="3"/>
  <c r="H354" i="3"/>
  <c r="AC354" i="3"/>
  <c r="H355" i="3"/>
  <c r="AC355" i="3"/>
  <c r="G355" i="3" s="1"/>
  <c r="H356" i="3"/>
  <c r="AC356" i="3"/>
  <c r="H357" i="3"/>
  <c r="AC357" i="3"/>
  <c r="H358" i="3"/>
  <c r="AC358" i="3"/>
  <c r="H359" i="3"/>
  <c r="AC359" i="3"/>
  <c r="G359" i="3" s="1"/>
  <c r="H360" i="3"/>
  <c r="AC360" i="3"/>
  <c r="G360" i="3" s="1"/>
  <c r="H361" i="3"/>
  <c r="G361" i="3" s="1"/>
  <c r="AC361" i="3"/>
  <c r="H362" i="3"/>
  <c r="AC362" i="3"/>
  <c r="H363" i="3"/>
  <c r="AC363" i="3"/>
  <c r="H364" i="3"/>
  <c r="AC364" i="3"/>
  <c r="G364" i="3"/>
  <c r="H365" i="3"/>
  <c r="AC365" i="3"/>
  <c r="H366" i="3"/>
  <c r="AC366" i="3"/>
  <c r="H367" i="3"/>
  <c r="AC367" i="3"/>
  <c r="H368" i="3"/>
  <c r="AC368" i="3"/>
  <c r="H369" i="3"/>
  <c r="AC369" i="3"/>
  <c r="H370" i="3"/>
  <c r="AC370" i="3"/>
  <c r="H371" i="3"/>
  <c r="AC371" i="3"/>
  <c r="G371" i="3" s="1"/>
  <c r="H372" i="3"/>
  <c r="AC372" i="3"/>
  <c r="H373" i="3"/>
  <c r="AC373" i="3"/>
  <c r="H374" i="3"/>
  <c r="AC374" i="3"/>
  <c r="H375" i="3"/>
  <c r="AC375" i="3"/>
  <c r="G375" i="3" s="1"/>
  <c r="H376" i="3"/>
  <c r="AC376" i="3"/>
  <c r="G376" i="3" s="1"/>
  <c r="H377" i="3"/>
  <c r="G377" i="3" s="1"/>
  <c r="AC377" i="3"/>
  <c r="H378" i="3"/>
  <c r="AC378" i="3"/>
  <c r="H379" i="3"/>
  <c r="AC379" i="3"/>
  <c r="H380" i="3"/>
  <c r="AC380" i="3"/>
  <c r="G380" i="3"/>
  <c r="H381" i="3"/>
  <c r="AC381" i="3"/>
  <c r="G381" i="3" s="1"/>
  <c r="H382" i="3"/>
  <c r="G382" i="3" s="1"/>
  <c r="AC382" i="3"/>
  <c r="H383" i="3"/>
  <c r="AC383" i="3"/>
  <c r="H384" i="3"/>
  <c r="AC384" i="3"/>
  <c r="H385" i="3"/>
  <c r="AC385" i="3"/>
  <c r="G385" i="3"/>
  <c r="H386" i="3"/>
  <c r="AC386" i="3"/>
  <c r="H387" i="3"/>
  <c r="AC387" i="3"/>
  <c r="H388" i="3"/>
  <c r="AC388" i="3"/>
  <c r="G388" i="3" s="1"/>
  <c r="H389" i="3"/>
  <c r="AC389" i="3"/>
  <c r="H390" i="3"/>
  <c r="AC390" i="3"/>
  <c r="H391" i="3"/>
  <c r="AC391" i="3"/>
  <c r="H392" i="3"/>
  <c r="AC392" i="3"/>
  <c r="G392" i="3" s="1"/>
  <c r="H393" i="3"/>
  <c r="AC393" i="3"/>
  <c r="H394" i="3"/>
  <c r="AC394" i="3"/>
  <c r="H395" i="3"/>
  <c r="AC395" i="3"/>
  <c r="H396" i="3"/>
  <c r="AC396" i="3"/>
  <c r="H397" i="3"/>
  <c r="AC397" i="3"/>
  <c r="G397" i="3"/>
  <c r="H398" i="3"/>
  <c r="AC398" i="3"/>
  <c r="H399" i="3"/>
  <c r="AC399" i="3"/>
  <c r="H400" i="3"/>
  <c r="AC400" i="3"/>
  <c r="H401" i="3"/>
  <c r="AC401" i="3"/>
  <c r="G401" i="3" s="1"/>
  <c r="H402" i="3"/>
  <c r="G402" i="3" s="1"/>
  <c r="AC402" i="3"/>
  <c r="H403" i="3"/>
  <c r="AC403" i="3"/>
  <c r="H404" i="3"/>
  <c r="AC404" i="3"/>
  <c r="H405" i="3"/>
  <c r="G405" i="3" s="1"/>
  <c r="AC405" i="3"/>
  <c r="H406" i="3"/>
  <c r="AC406" i="3"/>
  <c r="H407" i="3"/>
  <c r="G407" i="3" s="1"/>
  <c r="AC407" i="3"/>
  <c r="H408" i="3"/>
  <c r="AC408" i="3"/>
  <c r="H409" i="3"/>
  <c r="G409" i="3" s="1"/>
  <c r="AC409" i="3"/>
  <c r="H410" i="3"/>
  <c r="AC410" i="3"/>
  <c r="H411" i="3"/>
  <c r="G411" i="3" s="1"/>
  <c r="AC411" i="3"/>
  <c r="H412" i="3"/>
  <c r="AC412" i="3"/>
  <c r="H413" i="3"/>
  <c r="AC413" i="3"/>
  <c r="G413" i="3"/>
  <c r="H414" i="3"/>
  <c r="AC414" i="3"/>
  <c r="H415" i="3"/>
  <c r="AC415" i="3"/>
  <c r="H416" i="3"/>
  <c r="AC416" i="3"/>
  <c r="H417" i="3"/>
  <c r="AC417" i="3"/>
  <c r="G417" i="3" s="1"/>
  <c r="H418" i="3"/>
  <c r="G418" i="3" s="1"/>
  <c r="AC418" i="3"/>
  <c r="H419" i="3"/>
  <c r="AC419" i="3"/>
  <c r="H420" i="3"/>
  <c r="AC420" i="3"/>
  <c r="H421" i="3"/>
  <c r="G421" i="3" s="1"/>
  <c r="AC421" i="3"/>
  <c r="H422" i="3"/>
  <c r="AC422" i="3"/>
  <c r="H423" i="3"/>
  <c r="G423" i="3" s="1"/>
  <c r="AC423" i="3"/>
  <c r="H424" i="3"/>
  <c r="AC424" i="3"/>
  <c r="H425" i="3"/>
  <c r="G425" i="3" s="1"/>
  <c r="AC425" i="3"/>
  <c r="H426" i="3"/>
  <c r="AC426" i="3"/>
  <c r="H427" i="3"/>
  <c r="AC427" i="3"/>
  <c r="G427" i="3"/>
  <c r="H428" i="3"/>
  <c r="AC428" i="3"/>
  <c r="H429" i="3"/>
  <c r="AC429" i="3"/>
  <c r="H430" i="3"/>
  <c r="AC430" i="3"/>
  <c r="H431" i="3"/>
  <c r="AC431" i="3"/>
  <c r="G431" i="3" s="1"/>
  <c r="H432" i="3"/>
  <c r="G432" i="3" s="1"/>
  <c r="AC432" i="3"/>
  <c r="H433" i="3"/>
  <c r="AC433" i="3"/>
  <c r="H434" i="3"/>
  <c r="AC434" i="3"/>
  <c r="H435" i="3"/>
  <c r="G435" i="3" s="1"/>
  <c r="AC435" i="3"/>
  <c r="H436" i="3"/>
  <c r="AC436" i="3"/>
  <c r="H437" i="3"/>
  <c r="G437" i="3" s="1"/>
  <c r="AC437" i="3"/>
  <c r="H438" i="3"/>
  <c r="AC438" i="3"/>
  <c r="H439" i="3"/>
  <c r="G439" i="3" s="1"/>
  <c r="AC439" i="3"/>
  <c r="H440" i="3"/>
  <c r="AC440" i="3"/>
  <c r="H441" i="3"/>
  <c r="G441" i="3" s="1"/>
  <c r="AC441" i="3"/>
  <c r="H442" i="3"/>
  <c r="AC442" i="3"/>
  <c r="H443" i="3"/>
  <c r="AC443" i="3"/>
  <c r="G443" i="3"/>
  <c r="H444" i="3"/>
  <c r="AC444" i="3"/>
  <c r="H445" i="3"/>
  <c r="AC445" i="3"/>
  <c r="H446" i="3"/>
  <c r="AC446" i="3"/>
  <c r="H447" i="3"/>
  <c r="AC447" i="3"/>
  <c r="G447" i="3" s="1"/>
  <c r="H448" i="3"/>
  <c r="G448" i="3" s="1"/>
  <c r="AC448" i="3"/>
  <c r="H449" i="3"/>
  <c r="AC449" i="3"/>
  <c r="H450" i="3"/>
  <c r="AC450" i="3"/>
  <c r="H451" i="3"/>
  <c r="G451" i="3" s="1"/>
  <c r="AC451" i="3"/>
  <c r="H452" i="3"/>
  <c r="AC452" i="3"/>
  <c r="H453" i="3"/>
  <c r="G453" i="3" s="1"/>
  <c r="AC453" i="3"/>
  <c r="H454" i="3"/>
  <c r="AC454" i="3"/>
  <c r="H455" i="3"/>
  <c r="G455" i="3" s="1"/>
  <c r="AC455" i="3"/>
  <c r="H456" i="3"/>
  <c r="AC456" i="3"/>
  <c r="H457" i="3"/>
  <c r="G457" i="3" s="1"/>
  <c r="AC457" i="3"/>
  <c r="H458" i="3"/>
  <c r="AC458" i="3"/>
  <c r="H459" i="3"/>
  <c r="AC459" i="3"/>
  <c r="G459" i="3"/>
  <c r="H460" i="3"/>
  <c r="AC460" i="3"/>
  <c r="H461" i="3"/>
  <c r="AC461" i="3"/>
  <c r="H462" i="3"/>
  <c r="AC462" i="3"/>
  <c r="H463" i="3"/>
  <c r="AC463" i="3"/>
  <c r="G463" i="3" s="1"/>
  <c r="H464" i="3"/>
  <c r="G464" i="3" s="1"/>
  <c r="AC464" i="3"/>
  <c r="H465" i="3"/>
  <c r="AC465" i="3"/>
  <c r="H466" i="3"/>
  <c r="AC466" i="3"/>
  <c r="H467" i="3"/>
  <c r="G467" i="3" s="1"/>
  <c r="AC467" i="3"/>
  <c r="H468" i="3"/>
  <c r="AC468" i="3"/>
  <c r="H469" i="3"/>
  <c r="G469" i="3" s="1"/>
  <c r="AC469" i="3"/>
  <c r="H470" i="3"/>
  <c r="AC470" i="3"/>
  <c r="H471" i="3"/>
  <c r="G471" i="3" s="1"/>
  <c r="AC471" i="3"/>
  <c r="H472" i="3"/>
  <c r="AC472" i="3"/>
  <c r="H473" i="3"/>
  <c r="G473" i="3" s="1"/>
  <c r="AC473" i="3"/>
  <c r="H474" i="3"/>
  <c r="AC474" i="3"/>
  <c r="H475" i="3"/>
  <c r="AC475" i="3"/>
  <c r="G475" i="3"/>
  <c r="H476" i="3"/>
  <c r="AC476" i="3"/>
  <c r="H477" i="3"/>
  <c r="AC477" i="3"/>
  <c r="H478" i="3"/>
  <c r="AC478" i="3"/>
  <c r="H479" i="3"/>
  <c r="AC479" i="3"/>
  <c r="G479" i="3" s="1"/>
  <c r="H480" i="3"/>
  <c r="G480" i="3" s="1"/>
  <c r="AC480" i="3"/>
  <c r="H481" i="3"/>
  <c r="AC481" i="3"/>
  <c r="H482" i="3"/>
  <c r="AC482" i="3"/>
  <c r="H483" i="3"/>
  <c r="G483" i="3" s="1"/>
  <c r="AC483" i="3"/>
  <c r="H484" i="3"/>
  <c r="AC484" i="3"/>
  <c r="H485" i="3"/>
  <c r="G485" i="3" s="1"/>
  <c r="AC485" i="3"/>
  <c r="H486" i="3"/>
  <c r="AC486" i="3"/>
  <c r="H487" i="3"/>
  <c r="G487" i="3" s="1"/>
  <c r="AC487" i="3"/>
  <c r="H488" i="3"/>
  <c r="AC488" i="3"/>
  <c r="H489" i="3"/>
  <c r="G489" i="3" s="1"/>
  <c r="AC489" i="3"/>
  <c r="H490" i="3"/>
  <c r="AC490" i="3"/>
  <c r="H491" i="3"/>
  <c r="AC491" i="3"/>
  <c r="G491" i="3"/>
  <c r="H492" i="3"/>
  <c r="AC492" i="3"/>
  <c r="H493" i="3"/>
  <c r="AC493" i="3"/>
  <c r="H494" i="3"/>
  <c r="AC494" i="3"/>
  <c r="H495" i="3"/>
  <c r="AC495" i="3"/>
  <c r="G495" i="3" s="1"/>
  <c r="H496" i="3"/>
  <c r="G496" i="3" s="1"/>
  <c r="AC496" i="3"/>
  <c r="H497" i="3"/>
  <c r="AC497" i="3"/>
  <c r="H498" i="3"/>
  <c r="AC498" i="3"/>
  <c r="H499" i="3"/>
  <c r="G499" i="3" s="1"/>
  <c r="AC499" i="3"/>
  <c r="H500" i="3"/>
  <c r="AC500" i="3"/>
  <c r="H501" i="3"/>
  <c r="G501" i="3" s="1"/>
  <c r="AC501" i="3"/>
  <c r="H502" i="3"/>
  <c r="AC502" i="3"/>
  <c r="H503" i="3"/>
  <c r="G503" i="3" s="1"/>
  <c r="AC503" i="3"/>
  <c r="H504" i="3"/>
  <c r="AC504" i="3"/>
  <c r="H505" i="3"/>
  <c r="G505" i="3" s="1"/>
  <c r="AC505" i="3"/>
  <c r="H506" i="3"/>
  <c r="AC506" i="3"/>
  <c r="H507" i="3"/>
  <c r="AC507" i="3"/>
  <c r="G507" i="3"/>
  <c r="H508" i="3"/>
  <c r="AC508" i="3"/>
  <c r="H509" i="3"/>
  <c r="AC509" i="3"/>
  <c r="H510" i="3"/>
  <c r="AC510" i="3"/>
  <c r="H511" i="3"/>
  <c r="AC511" i="3"/>
  <c r="G511" i="3" s="1"/>
  <c r="H512" i="3"/>
  <c r="G512" i="3" s="1"/>
  <c r="AC512" i="3"/>
  <c r="H513" i="3"/>
  <c r="AC513" i="3"/>
  <c r="H514" i="3"/>
  <c r="AC514" i="3"/>
  <c r="H515" i="3"/>
  <c r="G515" i="3" s="1"/>
  <c r="AC515" i="3"/>
  <c r="H516" i="3"/>
  <c r="AC516" i="3"/>
  <c r="H517" i="3"/>
  <c r="G517" i="3" s="1"/>
  <c r="AC517" i="3"/>
  <c r="H518" i="3"/>
  <c r="AC518" i="3"/>
  <c r="H519" i="3"/>
  <c r="G519" i="3" s="1"/>
  <c r="AC519" i="3"/>
  <c r="H520" i="3"/>
  <c r="AC520" i="3"/>
  <c r="H521" i="3"/>
  <c r="AC521" i="3"/>
  <c r="G521" i="3"/>
  <c r="H522" i="3"/>
  <c r="AC522" i="3"/>
  <c r="H523" i="3"/>
  <c r="AC523" i="3"/>
  <c r="H524" i="3"/>
  <c r="AC524" i="3"/>
  <c r="H525" i="3"/>
  <c r="AC525" i="3"/>
  <c r="G525" i="3" s="1"/>
  <c r="H526" i="3"/>
  <c r="AC526" i="3"/>
  <c r="H527" i="3"/>
  <c r="G527" i="3" s="1"/>
  <c r="AC527" i="3"/>
  <c r="H528" i="3"/>
  <c r="AC528" i="3"/>
  <c r="H529" i="3"/>
  <c r="G529" i="3" s="1"/>
  <c r="AC529" i="3"/>
  <c r="H530" i="3"/>
  <c r="AC530" i="3"/>
  <c r="H531" i="3"/>
  <c r="G531" i="3" s="1"/>
  <c r="AC531" i="3"/>
  <c r="H532" i="3"/>
  <c r="AC532" i="3"/>
  <c r="H533" i="3"/>
  <c r="G533" i="3" s="1"/>
  <c r="AC533" i="3"/>
  <c r="H534" i="3"/>
  <c r="AC534" i="3"/>
  <c r="H535" i="3"/>
  <c r="AC535" i="3"/>
  <c r="G535" i="3"/>
  <c r="H536" i="3"/>
  <c r="AC536" i="3"/>
  <c r="H537" i="3"/>
  <c r="AC537" i="3"/>
  <c r="H538" i="3"/>
  <c r="AC538" i="3"/>
  <c r="H539" i="3"/>
  <c r="AC539" i="3"/>
  <c r="G539" i="3" s="1"/>
  <c r="H540" i="3"/>
  <c r="G540" i="3" s="1"/>
  <c r="AC540" i="3"/>
  <c r="H541" i="3"/>
  <c r="AC541" i="3"/>
  <c r="H542" i="3"/>
  <c r="AC542" i="3"/>
  <c r="H543" i="3"/>
  <c r="G543" i="3" s="1"/>
  <c r="AC543" i="3"/>
  <c r="H544" i="3"/>
  <c r="AC544" i="3"/>
  <c r="H545" i="3"/>
  <c r="G545" i="3" s="1"/>
  <c r="AC545" i="3"/>
  <c r="H546" i="3"/>
  <c r="AC546" i="3"/>
  <c r="H547" i="3"/>
  <c r="G547" i="3" s="1"/>
  <c r="AC547" i="3"/>
  <c r="H548" i="3"/>
  <c r="AC548" i="3"/>
  <c r="H549" i="3"/>
  <c r="G549" i="3" s="1"/>
  <c r="AC549" i="3"/>
  <c r="H550" i="3"/>
  <c r="AC550" i="3"/>
  <c r="H551" i="3"/>
  <c r="AC551" i="3"/>
  <c r="G551" i="3"/>
  <c r="H552" i="3"/>
  <c r="AC552" i="3"/>
  <c r="H553" i="3"/>
  <c r="AC553" i="3"/>
  <c r="H554" i="3"/>
  <c r="AC554" i="3"/>
  <c r="H555" i="3"/>
  <c r="AC555" i="3"/>
  <c r="G555" i="3" s="1"/>
  <c r="H556" i="3"/>
  <c r="G556" i="3" s="1"/>
  <c r="AC556" i="3"/>
  <c r="H557" i="3"/>
  <c r="AC557" i="3"/>
  <c r="H558" i="3"/>
  <c r="AC558" i="3"/>
  <c r="H559" i="3"/>
  <c r="G559" i="3" s="1"/>
  <c r="AC559" i="3"/>
  <c r="H560" i="3"/>
  <c r="AC560" i="3"/>
  <c r="H561" i="3"/>
  <c r="G561" i="3" s="1"/>
  <c r="AC561" i="3"/>
  <c r="H562" i="3"/>
  <c r="AC562" i="3"/>
  <c r="H563" i="3"/>
  <c r="G563" i="3" s="1"/>
  <c r="AC563" i="3"/>
  <c r="H564" i="3"/>
  <c r="AC564" i="3"/>
  <c r="H565" i="3"/>
  <c r="G565" i="3" s="1"/>
  <c r="AC565" i="3"/>
  <c r="H566" i="3"/>
  <c r="AC566" i="3"/>
  <c r="H567" i="3"/>
  <c r="AC567" i="3"/>
  <c r="G567" i="3"/>
  <c r="H568" i="3"/>
  <c r="AC568" i="3"/>
  <c r="H569" i="3"/>
  <c r="AC569" i="3"/>
  <c r="H570" i="3"/>
  <c r="AC570" i="3"/>
  <c r="H571" i="3"/>
  <c r="AC571" i="3"/>
  <c r="G571" i="3" s="1"/>
  <c r="H572" i="3"/>
  <c r="G572" i="3" s="1"/>
  <c r="AC572" i="3"/>
  <c r="F19" i="6"/>
  <c r="BQ5" i="3"/>
  <c r="BS5" i="3"/>
  <c r="BR5" i="3"/>
  <c r="BT5" i="3"/>
  <c r="G28" i="6" s="1"/>
  <c r="F20" i="6"/>
  <c r="E22" i="6"/>
  <c r="E23" i="6"/>
  <c r="E24" i="6"/>
  <c r="E25" i="6"/>
  <c r="E26" i="6"/>
  <c r="L21" i="6"/>
  <c r="B52" i="1"/>
  <c r="F34" i="81" s="1"/>
  <c r="T4" i="1"/>
  <c r="A9" i="1"/>
  <c r="S9" i="1"/>
  <c r="A10" i="1"/>
  <c r="S10" i="1" s="1"/>
  <c r="A11" i="1"/>
  <c r="S11" i="1" s="1"/>
  <c r="A12" i="1"/>
  <c r="S12" i="1" s="1"/>
  <c r="A13" i="1"/>
  <c r="S13" i="1"/>
  <c r="F15" i="81"/>
  <c r="F17" i="81"/>
  <c r="F18" i="81"/>
  <c r="F20" i="81"/>
  <c r="F23" i="75" s="1"/>
  <c r="H1" i="65"/>
  <c r="F13" i="65"/>
  <c r="B22" i="1"/>
  <c r="C2" i="65" s="1"/>
  <c r="F23" i="81"/>
  <c r="D24" i="81" s="1"/>
  <c r="F21" i="81"/>
  <c r="F24" i="75" s="1"/>
  <c r="F28" i="81"/>
  <c r="C28" i="81" s="1"/>
  <c r="I19" i="4"/>
  <c r="F8" i="1" s="1"/>
  <c r="M47" i="81"/>
  <c r="L46" i="81" s="1"/>
  <c r="J50" i="81"/>
  <c r="J51" i="81" s="1"/>
  <c r="K1" i="75"/>
  <c r="F14" i="75"/>
  <c r="F17" i="75"/>
  <c r="E16" i="75"/>
  <c r="E22" i="75"/>
  <c r="B24" i="1"/>
  <c r="C29" i="75"/>
  <c r="F25" i="75"/>
  <c r="C25" i="75" s="1"/>
  <c r="K98" i="78"/>
  <c r="J98" i="78" s="1"/>
  <c r="D98" i="78" s="1"/>
  <c r="K95" i="78"/>
  <c r="D95" i="78" s="1"/>
  <c r="M94" i="78"/>
  <c r="D96" i="78"/>
  <c r="K97" i="78"/>
  <c r="D97" i="78" s="1"/>
  <c r="D99" i="78"/>
  <c r="D101" i="78"/>
  <c r="G2" i="78"/>
  <c r="H21" i="78" s="1"/>
  <c r="I2" i="78"/>
  <c r="M9" i="78" s="1"/>
  <c r="C5" i="72"/>
  <c r="J21" i="78"/>
  <c r="O21" i="78"/>
  <c r="K1" i="74"/>
  <c r="F14" i="74"/>
  <c r="F17" i="74"/>
  <c r="E16" i="74"/>
  <c r="F23" i="74"/>
  <c r="E22" i="74"/>
  <c r="F24" i="74"/>
  <c r="D77" i="86"/>
  <c r="E77" i="86" s="1"/>
  <c r="F77" i="86" s="1"/>
  <c r="D79" i="86"/>
  <c r="E79" i="86" s="1"/>
  <c r="R47" i="86"/>
  <c r="C7" i="86"/>
  <c r="C58" i="86"/>
  <c r="F8" i="86"/>
  <c r="AA8" i="86" s="1"/>
  <c r="C63" i="86"/>
  <c r="H9" i="86" s="1"/>
  <c r="F10" i="86"/>
  <c r="AA10" i="86" s="1"/>
  <c r="F11" i="86"/>
  <c r="AA11" i="86" s="1"/>
  <c r="B70" i="86"/>
  <c r="F12" i="86" s="1"/>
  <c r="AA12" i="86" s="1"/>
  <c r="B72" i="86"/>
  <c r="F13" i="86" s="1"/>
  <c r="B74" i="86"/>
  <c r="F14" i="86" s="1"/>
  <c r="AA14" i="86"/>
  <c r="D81" i="86"/>
  <c r="E81" i="86" s="1"/>
  <c r="D83" i="86"/>
  <c r="E83" i="86" s="1"/>
  <c r="F83" i="86" s="1"/>
  <c r="G83" i="86" s="1"/>
  <c r="F21" i="86"/>
  <c r="AA21" i="86" s="1"/>
  <c r="D85" i="86"/>
  <c r="E85" i="86" s="1"/>
  <c r="D87" i="86"/>
  <c r="E87" i="86" s="1"/>
  <c r="F25" i="86" s="1"/>
  <c r="AA25" i="86" s="1"/>
  <c r="B88" i="86"/>
  <c r="F26" i="86" s="1"/>
  <c r="B90" i="86"/>
  <c r="D91" i="86"/>
  <c r="B92" i="86"/>
  <c r="F28" i="86" s="1"/>
  <c r="S28" i="86" s="1"/>
  <c r="B94" i="86"/>
  <c r="F29" i="86" s="1"/>
  <c r="B96" i="86"/>
  <c r="F30" i="86" s="1"/>
  <c r="AA30" i="86" s="1"/>
  <c r="B98" i="86"/>
  <c r="F31" i="86" s="1"/>
  <c r="D101" i="86"/>
  <c r="E33" i="86"/>
  <c r="F34" i="86"/>
  <c r="AA34" i="86" s="1"/>
  <c r="F35" i="86"/>
  <c r="AA35" i="86" s="1"/>
  <c r="D111" i="86"/>
  <c r="E111" i="86" s="1"/>
  <c r="F111" i="86" s="1"/>
  <c r="F37" i="86"/>
  <c r="AA37" i="86" s="1"/>
  <c r="F38" i="86"/>
  <c r="AA38" i="86" s="1"/>
  <c r="F39" i="86"/>
  <c r="AA39" i="86" s="1"/>
  <c r="F40" i="86"/>
  <c r="AA40" i="86" s="1"/>
  <c r="F41" i="86"/>
  <c r="AA41" i="86" s="1"/>
  <c r="F42" i="86"/>
  <c r="AA42" i="86" s="1"/>
  <c r="F43" i="86"/>
  <c r="AA43" i="86" s="1"/>
  <c r="B126" i="86"/>
  <c r="J44" i="86" s="1"/>
  <c r="W44" i="86" s="1"/>
  <c r="B128" i="86"/>
  <c r="F45" i="86" s="1"/>
  <c r="B130" i="86"/>
  <c r="T47" i="86"/>
  <c r="H8" i="86"/>
  <c r="AB8" i="86" s="1"/>
  <c r="H10" i="86"/>
  <c r="AB10" i="86" s="1"/>
  <c r="H11" i="86"/>
  <c r="AB11" i="86" s="1"/>
  <c r="H12" i="86"/>
  <c r="AB12" i="86" s="1"/>
  <c r="H21" i="86"/>
  <c r="AB21" i="86" s="1"/>
  <c r="H29" i="86"/>
  <c r="AB29" i="86" s="1"/>
  <c r="G33" i="86"/>
  <c r="H34" i="86"/>
  <c r="AB34" i="86"/>
  <c r="H35" i="86"/>
  <c r="AB35" i="86" s="1"/>
  <c r="H37" i="86"/>
  <c r="AB37" i="86" s="1"/>
  <c r="H38" i="86"/>
  <c r="AB38" i="86" s="1"/>
  <c r="H39" i="86"/>
  <c r="AB39" i="86"/>
  <c r="H40" i="86"/>
  <c r="AB40" i="86" s="1"/>
  <c r="H41" i="86"/>
  <c r="AB41" i="86" s="1"/>
  <c r="H42" i="86"/>
  <c r="AB42" i="86" s="1"/>
  <c r="H43" i="86"/>
  <c r="AB43" i="86"/>
  <c r="V47" i="86"/>
  <c r="J8" i="86"/>
  <c r="AC8" i="86"/>
  <c r="J10" i="86"/>
  <c r="AC10" i="86"/>
  <c r="J11" i="86"/>
  <c r="AC11" i="86" s="1"/>
  <c r="J13" i="86"/>
  <c r="AC13" i="86" s="1"/>
  <c r="J14" i="86"/>
  <c r="AC14" i="86" s="1"/>
  <c r="J21" i="86"/>
  <c r="AC21" i="86" s="1"/>
  <c r="J26" i="86"/>
  <c r="AC26" i="86" s="1"/>
  <c r="J29" i="86"/>
  <c r="AC29" i="86"/>
  <c r="J30" i="86"/>
  <c r="AC30" i="86" s="1"/>
  <c r="J31" i="86"/>
  <c r="AC31" i="86" s="1"/>
  <c r="J34" i="86"/>
  <c r="AC34" i="86" s="1"/>
  <c r="J35" i="86"/>
  <c r="AC35" i="86" s="1"/>
  <c r="J37" i="86"/>
  <c r="AC37" i="86" s="1"/>
  <c r="J38" i="86"/>
  <c r="AC38" i="86" s="1"/>
  <c r="J39" i="86"/>
  <c r="AC39" i="86" s="1"/>
  <c r="J40" i="86"/>
  <c r="W40" i="86" s="1"/>
  <c r="J41" i="86"/>
  <c r="AC41" i="86" s="1"/>
  <c r="J42" i="86"/>
  <c r="AC42" i="86" s="1"/>
  <c r="J43" i="86"/>
  <c r="AC43" i="86" s="1"/>
  <c r="J46" i="86"/>
  <c r="AC46" i="86" s="1"/>
  <c r="F29" i="74"/>
  <c r="F25" i="74"/>
  <c r="C25" i="74" s="1"/>
  <c r="K55" i="77"/>
  <c r="J55" i="77"/>
  <c r="D55" i="77" s="1"/>
  <c r="K52" i="77"/>
  <c r="D52" i="77" s="1"/>
  <c r="M51" i="77"/>
  <c r="D51" i="77" s="1"/>
  <c r="D53" i="77"/>
  <c r="K54" i="77"/>
  <c r="D54" i="77" s="1"/>
  <c r="D56" i="77"/>
  <c r="D58" i="77"/>
  <c r="G2" i="77"/>
  <c r="J21" i="77" s="1"/>
  <c r="I2" i="77"/>
  <c r="M9" i="77" s="1"/>
  <c r="C7" i="77"/>
  <c r="C17" i="77"/>
  <c r="C4" i="72" s="1"/>
  <c r="L21" i="77"/>
  <c r="K1" i="73"/>
  <c r="F14" i="73"/>
  <c r="F17" i="73"/>
  <c r="BM5" i="3"/>
  <c r="BO5" i="3"/>
  <c r="BN5" i="3"/>
  <c r="G29" i="6" s="1"/>
  <c r="BP5" i="3"/>
  <c r="E16" i="73"/>
  <c r="F24" i="73"/>
  <c r="E21" i="73"/>
  <c r="E22" i="73"/>
  <c r="C22" i="73" s="1"/>
  <c r="D83" i="21"/>
  <c r="E83" i="21" s="1"/>
  <c r="F21" i="21"/>
  <c r="AA21" i="21" s="1"/>
  <c r="D85" i="21"/>
  <c r="D77" i="21"/>
  <c r="E77" i="21" s="1"/>
  <c r="D69" i="21"/>
  <c r="E69" i="21" s="1"/>
  <c r="F69" i="21" s="1"/>
  <c r="G69" i="21" s="1"/>
  <c r="H69" i="21" s="1"/>
  <c r="I69" i="21" s="1"/>
  <c r="J69" i="21" s="1"/>
  <c r="K69" i="21" s="1"/>
  <c r="L69" i="21" s="1"/>
  <c r="M69" i="21" s="1"/>
  <c r="E11" i="21"/>
  <c r="R47" i="21"/>
  <c r="F34" i="21"/>
  <c r="AA34" i="21"/>
  <c r="F35" i="21"/>
  <c r="AA35" i="21" s="1"/>
  <c r="F36" i="21"/>
  <c r="AA36" i="21" s="1"/>
  <c r="F38" i="21"/>
  <c r="AA38" i="21" s="1"/>
  <c r="F39" i="21"/>
  <c r="AA39" i="21"/>
  <c r="D79" i="21"/>
  <c r="E79" i="21" s="1"/>
  <c r="D81" i="21"/>
  <c r="E81" i="21" s="1"/>
  <c r="F81" i="21" s="1"/>
  <c r="G81" i="21" s="1"/>
  <c r="E33" i="21"/>
  <c r="C33" i="21"/>
  <c r="F33" i="21" s="1"/>
  <c r="AA33" i="21" s="1"/>
  <c r="C7" i="21"/>
  <c r="C58" i="21" s="1"/>
  <c r="F8" i="21"/>
  <c r="AA8" i="21" s="1"/>
  <c r="C63" i="21"/>
  <c r="F9" i="21" s="1"/>
  <c r="AA9" i="21" s="1"/>
  <c r="F10" i="21"/>
  <c r="AA10" i="21" s="1"/>
  <c r="B70" i="21"/>
  <c r="F12" i="21" s="1"/>
  <c r="AA12" i="21" s="1"/>
  <c r="B72" i="21"/>
  <c r="F13" i="21" s="1"/>
  <c r="AA13" i="21" s="1"/>
  <c r="B74" i="21"/>
  <c r="F14" i="21" s="1"/>
  <c r="AA14" i="21" s="1"/>
  <c r="F25" i="21"/>
  <c r="AA25" i="21" s="1"/>
  <c r="F26" i="21"/>
  <c r="AA26" i="21" s="1"/>
  <c r="B90" i="21"/>
  <c r="F27" i="21" s="1"/>
  <c r="AA27" i="21" s="1"/>
  <c r="B92" i="21"/>
  <c r="F28" i="21"/>
  <c r="AA28" i="21" s="1"/>
  <c r="B94" i="21"/>
  <c r="F29" i="21" s="1"/>
  <c r="AA29" i="21" s="1"/>
  <c r="B96" i="21"/>
  <c r="F30" i="21" s="1"/>
  <c r="AA30" i="21" s="1"/>
  <c r="B98" i="21"/>
  <c r="F31" i="21" s="1"/>
  <c r="AA31" i="21" s="1"/>
  <c r="D101" i="21"/>
  <c r="F32" i="21" s="1"/>
  <c r="D113" i="21"/>
  <c r="E113" i="21" s="1"/>
  <c r="F113" i="21" s="1"/>
  <c r="G113" i="21" s="1"/>
  <c r="F40" i="21"/>
  <c r="AA40" i="21" s="1"/>
  <c r="F41" i="21"/>
  <c r="AA41" i="21" s="1"/>
  <c r="F42" i="21"/>
  <c r="AA42" i="21" s="1"/>
  <c r="F43" i="21"/>
  <c r="AA43" i="21" s="1"/>
  <c r="B126" i="21"/>
  <c r="F44" i="21" s="1"/>
  <c r="AA44" i="21" s="1"/>
  <c r="B128" i="21"/>
  <c r="F45" i="21"/>
  <c r="AA45" i="21" s="1"/>
  <c r="B130" i="21"/>
  <c r="F46" i="21" s="1"/>
  <c r="AA46" i="21" s="1"/>
  <c r="H21" i="21"/>
  <c r="AB21" i="21" s="1"/>
  <c r="G11" i="21"/>
  <c r="H34" i="21"/>
  <c r="AB34" i="21" s="1"/>
  <c r="H35" i="21"/>
  <c r="AB35" i="21" s="1"/>
  <c r="H36" i="21"/>
  <c r="AB36" i="21" s="1"/>
  <c r="H38" i="21"/>
  <c r="AB38" i="21" s="1"/>
  <c r="H39" i="21"/>
  <c r="AB39" i="21" s="1"/>
  <c r="T47" i="21"/>
  <c r="H8" i="21"/>
  <c r="AB8" i="21" s="1"/>
  <c r="H9" i="21"/>
  <c r="AB9" i="21" s="1"/>
  <c r="H10" i="21"/>
  <c r="AB10" i="21" s="1"/>
  <c r="H12" i="21"/>
  <c r="AB12" i="21" s="1"/>
  <c r="H25" i="21"/>
  <c r="AB25" i="21" s="1"/>
  <c r="H26" i="21"/>
  <c r="AB26" i="21" s="1"/>
  <c r="H28" i="21"/>
  <c r="AB28" i="21" s="1"/>
  <c r="H29" i="21"/>
  <c r="AB29" i="21" s="1"/>
  <c r="H31" i="21"/>
  <c r="AB31" i="21" s="1"/>
  <c r="H40" i="21"/>
  <c r="AB40" i="21" s="1"/>
  <c r="H41" i="21"/>
  <c r="AB41" i="21" s="1"/>
  <c r="H42" i="21"/>
  <c r="AB42" i="21" s="1"/>
  <c r="H43" i="21"/>
  <c r="AB43" i="21" s="1"/>
  <c r="H44" i="21"/>
  <c r="AB44" i="21" s="1"/>
  <c r="H45" i="21"/>
  <c r="AB45" i="21" s="1"/>
  <c r="J21" i="21"/>
  <c r="AC21" i="21" s="1"/>
  <c r="I11" i="21"/>
  <c r="J34" i="21"/>
  <c r="AC34" i="21" s="1"/>
  <c r="J35" i="21"/>
  <c r="AC35" i="21" s="1"/>
  <c r="J36" i="21"/>
  <c r="AC36" i="21" s="1"/>
  <c r="J38" i="21"/>
  <c r="AC38" i="21" s="1"/>
  <c r="J39" i="21"/>
  <c r="AC39" i="21" s="1"/>
  <c r="V47" i="21"/>
  <c r="I33" i="21"/>
  <c r="J8" i="21"/>
  <c r="AC8" i="21" s="1"/>
  <c r="J9" i="21"/>
  <c r="AC9" i="21" s="1"/>
  <c r="J10" i="21"/>
  <c r="AC10" i="21" s="1"/>
  <c r="J12" i="21"/>
  <c r="AC12" i="21" s="1"/>
  <c r="J13" i="21"/>
  <c r="AC13" i="21" s="1"/>
  <c r="J25" i="21"/>
  <c r="AC25" i="21" s="1"/>
  <c r="J26" i="21"/>
  <c r="AC26" i="21" s="1"/>
  <c r="J28" i="21"/>
  <c r="AC28" i="21" s="1"/>
  <c r="J31" i="21"/>
  <c r="AC31" i="21" s="1"/>
  <c r="J32" i="21"/>
  <c r="AC32" i="21" s="1"/>
  <c r="J40" i="21"/>
  <c r="AC40" i="21" s="1"/>
  <c r="J41" i="21"/>
  <c r="AC41" i="21" s="1"/>
  <c r="J42" i="21"/>
  <c r="AC42" i="21" s="1"/>
  <c r="J43" i="21"/>
  <c r="AC43" i="21" s="1"/>
  <c r="J44" i="21"/>
  <c r="AC44" i="21" s="1"/>
  <c r="J45" i="21"/>
  <c r="AC45" i="21" s="1"/>
  <c r="F25" i="73"/>
  <c r="F30" i="73"/>
  <c r="F26" i="73"/>
  <c r="C26" i="73" s="1"/>
  <c r="K78" i="76"/>
  <c r="J78" i="76" s="1"/>
  <c r="D78" i="76" s="1"/>
  <c r="K74" i="76"/>
  <c r="D74" i="76" s="1"/>
  <c r="M73" i="76"/>
  <c r="D73" i="76" s="1"/>
  <c r="D72" i="76"/>
  <c r="K75" i="76"/>
  <c r="D75" i="76" s="1"/>
  <c r="D76" i="76"/>
  <c r="D79" i="76"/>
  <c r="C13" i="76"/>
  <c r="C3" i="72" s="1"/>
  <c r="I2" i="76"/>
  <c r="M9" i="76" s="1"/>
  <c r="C6" i="76" s="1"/>
  <c r="B3" i="72" s="1"/>
  <c r="C22" i="76"/>
  <c r="E3" i="72"/>
  <c r="G23" i="76"/>
  <c r="E5" i="34"/>
  <c r="G5" i="86"/>
  <c r="E5" i="86"/>
  <c r="C19" i="4"/>
  <c r="F6" i="1" s="1"/>
  <c r="I24" i="76" s="1"/>
  <c r="G24" i="76"/>
  <c r="J24" i="76"/>
  <c r="C21" i="76"/>
  <c r="C21" i="78"/>
  <c r="I24" i="78"/>
  <c r="G24" i="78"/>
  <c r="J24" i="78"/>
  <c r="M6" i="77"/>
  <c r="D19" i="4"/>
  <c r="F7" i="1" s="1"/>
  <c r="I24" i="77" s="1"/>
  <c r="C24" i="77" s="1"/>
  <c r="G4" i="72" s="1"/>
  <c r="G24" i="77"/>
  <c r="J24" i="77"/>
  <c r="I5" i="21"/>
  <c r="X28" i="84"/>
  <c r="Q5" i="84" s="1"/>
  <c r="G5" i="21"/>
  <c r="E5" i="21"/>
  <c r="X42" i="84"/>
  <c r="Q4" i="84" s="1"/>
  <c r="X14" i="84"/>
  <c r="Q3" i="84" s="1"/>
  <c r="X7" i="84"/>
  <c r="Q2" i="84" s="1"/>
  <c r="D7" i="80"/>
  <c r="G23" i="77"/>
  <c r="G23" i="78"/>
  <c r="D125" i="86"/>
  <c r="E125" i="86"/>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c r="F115" i="86" s="1"/>
  <c r="G115" i="86" s="1"/>
  <c r="H115" i="86" s="1"/>
  <c r="I115" i="86" s="1"/>
  <c r="J115" i="86" s="1"/>
  <c r="K115" i="86" s="1"/>
  <c r="L115" i="86" s="1"/>
  <c r="M115" i="86" s="1"/>
  <c r="D113" i="86"/>
  <c r="E113" i="86" s="1"/>
  <c r="F113" i="86" s="1"/>
  <c r="G113" i="86" s="1"/>
  <c r="H113" i="86" s="1"/>
  <c r="I113" i="86" s="1"/>
  <c r="J113" i="86" s="1"/>
  <c r="K113" i="86" s="1"/>
  <c r="L113" i="86" s="1"/>
  <c r="M113"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C102" i="86"/>
  <c r="E101" i="86"/>
  <c r="F101" i="86" s="1"/>
  <c r="G101" i="86" s="1"/>
  <c r="H101" i="86" s="1"/>
  <c r="I101" i="86" s="1"/>
  <c r="J101" i="86" s="1"/>
  <c r="K101" i="86" s="1"/>
  <c r="L101" i="86" s="1"/>
  <c r="M101" i="86" s="1"/>
  <c r="E91" i="86"/>
  <c r="F91" i="86" s="1"/>
  <c r="G91" i="86" s="1"/>
  <c r="H91" i="86" s="1"/>
  <c r="I91" i="86" s="1"/>
  <c r="J91" i="86" s="1"/>
  <c r="K91" i="86" s="1"/>
  <c r="L91" i="86" s="1"/>
  <c r="M91" i="86" s="1"/>
  <c r="D69" i="86"/>
  <c r="E69" i="86" s="1"/>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s="1"/>
  <c r="W46" i="86"/>
  <c r="Q45" i="86"/>
  <c r="Z45" i="86" s="1"/>
  <c r="Q44" i="86"/>
  <c r="Z44" i="86"/>
  <c r="Q43" i="86"/>
  <c r="Z43" i="86" s="1"/>
  <c r="U43" i="86"/>
  <c r="S43" i="86"/>
  <c r="Q42" i="86"/>
  <c r="Z42" i="86" s="1"/>
  <c r="U42" i="86"/>
  <c r="S42" i="86"/>
  <c r="Q41" i="86"/>
  <c r="Z41" i="86" s="1"/>
  <c r="W41" i="86"/>
  <c r="U41" i="86"/>
  <c r="S41" i="86"/>
  <c r="Q40" i="86"/>
  <c r="Z40" i="86" s="1"/>
  <c r="U40" i="86"/>
  <c r="S40" i="86"/>
  <c r="Q39" i="86"/>
  <c r="Z39" i="86" s="1"/>
  <c r="U39" i="86"/>
  <c r="S39" i="86"/>
  <c r="Q38" i="86"/>
  <c r="Z38" i="86" s="1"/>
  <c r="W38" i="86"/>
  <c r="U38" i="86"/>
  <c r="S38" i="86"/>
  <c r="Q37" i="86"/>
  <c r="Z37" i="86" s="1"/>
  <c r="W37" i="86"/>
  <c r="U37" i="86"/>
  <c r="S37" i="86"/>
  <c r="Q36" i="86"/>
  <c r="Z36" i="86"/>
  <c r="Q35" i="86"/>
  <c r="Z35" i="86" s="1"/>
  <c r="S35" i="86"/>
  <c r="Q34" i="86"/>
  <c r="Z34" i="86" s="1"/>
  <c r="W34" i="86"/>
  <c r="U34" i="86"/>
  <c r="S34" i="86"/>
  <c r="Q33" i="86"/>
  <c r="Z33" i="86" s="1"/>
  <c r="Q32" i="86"/>
  <c r="Z32" i="86" s="1"/>
  <c r="Q31" i="86"/>
  <c r="Z31" i="86" s="1"/>
  <c r="W31" i="86"/>
  <c r="Q30" i="86"/>
  <c r="Z30" i="86" s="1"/>
  <c r="S30" i="86"/>
  <c r="Q29" i="86"/>
  <c r="Z29" i="86" s="1"/>
  <c r="W29" i="86"/>
  <c r="U29" i="86"/>
  <c r="Q28" i="86"/>
  <c r="Z28" i="86" s="1"/>
  <c r="Q27" i="86"/>
  <c r="Z27" i="86" s="1"/>
  <c r="Q26" i="86"/>
  <c r="Z26" i="86"/>
  <c r="Q25" i="86"/>
  <c r="Z25" i="86" s="1"/>
  <c r="Q23" i="86"/>
  <c r="Z23" i="86" s="1"/>
  <c r="C23" i="86"/>
  <c r="Q21" i="86"/>
  <c r="Z21" i="86" s="1"/>
  <c r="W21" i="86"/>
  <c r="U21" i="86"/>
  <c r="S21" i="86"/>
  <c r="C21" i="86"/>
  <c r="Q19" i="86"/>
  <c r="Z19" i="86"/>
  <c r="C19" i="86"/>
  <c r="Q17" i="86"/>
  <c r="Z17" i="86" s="1"/>
  <c r="C17" i="86"/>
  <c r="Q15" i="86"/>
  <c r="Z15" i="86" s="1"/>
  <c r="C15" i="86"/>
  <c r="Q14" i="86"/>
  <c r="Z14" i="86" s="1"/>
  <c r="W14" i="86"/>
  <c r="S14" i="86"/>
  <c r="Q13" i="86"/>
  <c r="Z13" i="86" s="1"/>
  <c r="W13" i="86"/>
  <c r="Q12" i="86"/>
  <c r="Z12" i="86" s="1"/>
  <c r="U12" i="86"/>
  <c r="S12" i="86"/>
  <c r="Q11" i="86"/>
  <c r="Z11" i="86" s="1"/>
  <c r="U11" i="86"/>
  <c r="S11" i="86"/>
  <c r="Q10" i="86"/>
  <c r="Z10" i="86" s="1"/>
  <c r="W10" i="86"/>
  <c r="U10" i="86"/>
  <c r="S10" i="86"/>
  <c r="Q9" i="86"/>
  <c r="Z9" i="86" s="1"/>
  <c r="W8" i="86"/>
  <c r="U8" i="86"/>
  <c r="S8" i="86"/>
  <c r="E18" i="72"/>
  <c r="D123" i="21"/>
  <c r="D125" i="21"/>
  <c r="K77" i="76"/>
  <c r="J77" i="76" s="1"/>
  <c r="D77" i="76" s="1"/>
  <c r="E16" i="72"/>
  <c r="K100" i="78"/>
  <c r="J100" i="78" s="1"/>
  <c r="L20" i="6"/>
  <c r="F17" i="15"/>
  <c r="J50" i="15"/>
  <c r="J51" i="15" s="1"/>
  <c r="M47" i="15"/>
  <c r="L46" i="15" s="1"/>
  <c r="H105" i="34"/>
  <c r="V47" i="33"/>
  <c r="C7" i="33"/>
  <c r="C58" i="33" s="1"/>
  <c r="D58" i="33" s="1"/>
  <c r="J8" i="33"/>
  <c r="AC8" i="33"/>
  <c r="C63" i="33"/>
  <c r="J9" i="33" s="1"/>
  <c r="AC9" i="33" s="1"/>
  <c r="J10" i="33"/>
  <c r="AC10" i="33" s="1"/>
  <c r="J11" i="33"/>
  <c r="AC11" i="33" s="1"/>
  <c r="B70" i="33"/>
  <c r="J12" i="33" s="1"/>
  <c r="AC12" i="33" s="1"/>
  <c r="B72" i="33"/>
  <c r="J13" i="33" s="1"/>
  <c r="AC13" i="33" s="1"/>
  <c r="B74" i="33"/>
  <c r="J14" i="33" s="1"/>
  <c r="AC14" i="33" s="1"/>
  <c r="D77" i="33"/>
  <c r="E77" i="33" s="1"/>
  <c r="J15" i="33" s="1"/>
  <c r="AC15" i="33" s="1"/>
  <c r="D79" i="33"/>
  <c r="E79" i="33" s="1"/>
  <c r="J19" i="33"/>
  <c r="AC19" i="33" s="1"/>
  <c r="J21" i="33"/>
  <c r="AC21" i="33"/>
  <c r="J23" i="33"/>
  <c r="AC23" i="33" s="1"/>
  <c r="J25" i="33"/>
  <c r="AC25" i="33" s="1"/>
  <c r="B88" i="33"/>
  <c r="B90" i="33"/>
  <c r="J27" i="33" s="1"/>
  <c r="AC27" i="33" s="1"/>
  <c r="B92" i="33"/>
  <c r="B94" i="33"/>
  <c r="J29" i="33" s="1"/>
  <c r="AC29" i="33" s="1"/>
  <c r="B96" i="33"/>
  <c r="J30" i="33"/>
  <c r="AC30" i="33" s="1"/>
  <c r="B98" i="33"/>
  <c r="J31" i="33" s="1"/>
  <c r="AC31" i="33" s="1"/>
  <c r="J32" i="33"/>
  <c r="AC32" i="33" s="1"/>
  <c r="D104" i="33"/>
  <c r="C33" i="33"/>
  <c r="J33" i="33" s="1"/>
  <c r="AC33" i="33" s="1"/>
  <c r="J34" i="33"/>
  <c r="AC34" i="33" s="1"/>
  <c r="J35" i="33"/>
  <c r="AC35" i="33" s="1"/>
  <c r="D111" i="33"/>
  <c r="E111" i="33" s="1"/>
  <c r="F111" i="33" s="1"/>
  <c r="G111" i="33" s="1"/>
  <c r="J37" i="33"/>
  <c r="AC37" i="33"/>
  <c r="J38" i="33"/>
  <c r="AC38" i="33" s="1"/>
  <c r="J39" i="33"/>
  <c r="AC39" i="33" s="1"/>
  <c r="J40" i="33"/>
  <c r="AC40" i="33" s="1"/>
  <c r="J41" i="33"/>
  <c r="AC41" i="33"/>
  <c r="J42" i="33"/>
  <c r="AC42" i="33" s="1"/>
  <c r="J43" i="33"/>
  <c r="AC43" i="33" s="1"/>
  <c r="B126" i="33"/>
  <c r="B128" i="33"/>
  <c r="J45" i="33" s="1"/>
  <c r="AC45" i="33" s="1"/>
  <c r="B130" i="33"/>
  <c r="H46" i="33" s="1"/>
  <c r="AB46" i="33" s="1"/>
  <c r="R47" i="33"/>
  <c r="F8" i="33"/>
  <c r="AA8" i="33" s="1"/>
  <c r="F9" i="33"/>
  <c r="AA9" i="33" s="1"/>
  <c r="F10" i="33"/>
  <c r="AA10" i="33" s="1"/>
  <c r="F11" i="33"/>
  <c r="AA11" i="33" s="1"/>
  <c r="F13" i="33"/>
  <c r="AA13" i="33" s="1"/>
  <c r="F19" i="33"/>
  <c r="AA19" i="33" s="1"/>
  <c r="F21" i="33"/>
  <c r="AA21" i="33" s="1"/>
  <c r="F23" i="33"/>
  <c r="AA23" i="33" s="1"/>
  <c r="F25" i="33"/>
  <c r="AA25" i="33" s="1"/>
  <c r="F26" i="33"/>
  <c r="AA26" i="33" s="1"/>
  <c r="F27" i="33"/>
  <c r="AA27" i="33" s="1"/>
  <c r="F29" i="33"/>
  <c r="AA29" i="33" s="1"/>
  <c r="F30" i="33"/>
  <c r="AA30" i="33" s="1"/>
  <c r="F32" i="33"/>
  <c r="AA32" i="33" s="1"/>
  <c r="F34" i="33"/>
  <c r="AA34" i="33" s="1"/>
  <c r="F35" i="33"/>
  <c r="AA35" i="33" s="1"/>
  <c r="F37" i="33"/>
  <c r="AA37" i="33" s="1"/>
  <c r="F38" i="33"/>
  <c r="AA38" i="33" s="1"/>
  <c r="F39" i="33"/>
  <c r="AA39" i="33" s="1"/>
  <c r="F40" i="33"/>
  <c r="AA40" i="33" s="1"/>
  <c r="F41" i="33"/>
  <c r="AA41" i="33" s="1"/>
  <c r="F42" i="33"/>
  <c r="AA42" i="33" s="1"/>
  <c r="F43" i="33"/>
  <c r="AA43" i="33" s="1"/>
  <c r="F44" i="33"/>
  <c r="AA44" i="33" s="1"/>
  <c r="F45" i="33"/>
  <c r="AA45" i="33" s="1"/>
  <c r="T47" i="33"/>
  <c r="H8" i="33"/>
  <c r="AB8" i="33" s="1"/>
  <c r="H9" i="33"/>
  <c r="AB9" i="33" s="1"/>
  <c r="H10" i="33"/>
  <c r="AB10" i="33" s="1"/>
  <c r="H11" i="33"/>
  <c r="AB11" i="33" s="1"/>
  <c r="H13" i="33"/>
  <c r="AB13" i="33" s="1"/>
  <c r="H14" i="33"/>
  <c r="AB14" i="33" s="1"/>
  <c r="H15" i="33"/>
  <c r="AB15" i="33" s="1"/>
  <c r="H17" i="33"/>
  <c r="AB17" i="33" s="1"/>
  <c r="H19" i="33"/>
  <c r="AB19" i="33" s="1"/>
  <c r="H21" i="33"/>
  <c r="AB21" i="33" s="1"/>
  <c r="H23" i="33"/>
  <c r="AB23" i="33" s="1"/>
  <c r="H25" i="33"/>
  <c r="AB25" i="33" s="1"/>
  <c r="H27" i="33"/>
  <c r="AB27" i="33" s="1"/>
  <c r="H29" i="33"/>
  <c r="AB29" i="33" s="1"/>
  <c r="H30" i="33"/>
  <c r="AB30" i="33" s="1"/>
  <c r="H32" i="33"/>
  <c r="AB32" i="33" s="1"/>
  <c r="E104" i="33"/>
  <c r="H34" i="33"/>
  <c r="AB34" i="33" s="1"/>
  <c r="H35" i="33"/>
  <c r="AB35" i="33" s="1"/>
  <c r="H37" i="33"/>
  <c r="AB37" i="33" s="1"/>
  <c r="H38" i="33"/>
  <c r="AB38" i="33" s="1"/>
  <c r="H39" i="33"/>
  <c r="AB39" i="33" s="1"/>
  <c r="H40" i="33"/>
  <c r="AB40" i="33" s="1"/>
  <c r="H41" i="33"/>
  <c r="AB41" i="33" s="1"/>
  <c r="H42" i="33"/>
  <c r="AB42" i="33" s="1"/>
  <c r="H43" i="33"/>
  <c r="AB43" i="33" s="1"/>
  <c r="H45" i="33"/>
  <c r="AB45" i="33" s="1"/>
  <c r="F15" i="15"/>
  <c r="F18" i="15"/>
  <c r="F20" i="15"/>
  <c r="F23" i="15"/>
  <c r="D22" i="15" s="1"/>
  <c r="F21" i="15"/>
  <c r="F104" i="33"/>
  <c r="D33" i="77"/>
  <c r="D33" i="76"/>
  <c r="D1" i="76" s="1"/>
  <c r="K9" i="1"/>
  <c r="M9" i="1" s="1"/>
  <c r="R9" i="1"/>
  <c r="AE9" i="1"/>
  <c r="K59" i="81"/>
  <c r="Q73" i="81"/>
  <c r="F59" i="81"/>
  <c r="D60" i="81"/>
  <c r="F60" i="81"/>
  <c r="F61" i="81"/>
  <c r="Q60" i="81"/>
  <c r="Q59" i="81"/>
  <c r="F58" i="81"/>
  <c r="Q52" i="81"/>
  <c r="F31" i="81"/>
  <c r="M18" i="81"/>
  <c r="M19" i="81"/>
  <c r="M20" i="81"/>
  <c r="M17" i="81"/>
  <c r="K7" i="80"/>
  <c r="G1" i="79"/>
  <c r="E23" i="73"/>
  <c r="C23" i="73" s="1"/>
  <c r="K10" i="1"/>
  <c r="M10" i="1" s="1"/>
  <c r="K11" i="1"/>
  <c r="M11" i="1" s="1"/>
  <c r="O11" i="1" s="1"/>
  <c r="K12" i="1"/>
  <c r="M12" i="1" s="1"/>
  <c r="K13" i="1"/>
  <c r="M13" i="1" s="1"/>
  <c r="O9" i="1"/>
  <c r="P9" i="1" s="1"/>
  <c r="O13" i="1"/>
  <c r="Q73" i="79"/>
  <c r="Q60" i="79"/>
  <c r="D60" i="79"/>
  <c r="Q59" i="79"/>
  <c r="K59" i="79"/>
  <c r="P75" i="79" s="1"/>
  <c r="Q52" i="79"/>
  <c r="J50" i="79"/>
  <c r="J51" i="79" s="1"/>
  <c r="M47" i="79"/>
  <c r="I54" i="79" s="1"/>
  <c r="F34" i="79"/>
  <c r="F61" i="79" s="1"/>
  <c r="F33" i="79"/>
  <c r="F60" i="79" s="1"/>
  <c r="F32" i="79"/>
  <c r="F59" i="79" s="1"/>
  <c r="F28" i="79"/>
  <c r="C28" i="79" s="1"/>
  <c r="F23" i="79"/>
  <c r="D22" i="79" s="1"/>
  <c r="F21" i="79"/>
  <c r="M20" i="79"/>
  <c r="F20" i="79"/>
  <c r="M19" i="79"/>
  <c r="M18" i="79"/>
  <c r="F18" i="79"/>
  <c r="F17" i="79"/>
  <c r="F15" i="79"/>
  <c r="BC10" i="3"/>
  <c r="BD10" i="3"/>
  <c r="BB10" i="3"/>
  <c r="BD5" i="3"/>
  <c r="BE10" i="3"/>
  <c r="BF10" i="3"/>
  <c r="BG10" i="3"/>
  <c r="BH10" i="3"/>
  <c r="BI10" i="3"/>
  <c r="BJ10" i="3"/>
  <c r="BK10" i="3"/>
  <c r="BE5" i="3"/>
  <c r="BF5" i="3"/>
  <c r="BG5" i="3"/>
  <c r="BH5" i="3"/>
  <c r="BI5" i="3"/>
  <c r="BJ5" i="3"/>
  <c r="BK5" i="3"/>
  <c r="C6" i="43"/>
  <c r="F25" i="43"/>
  <c r="F24" i="43"/>
  <c r="F15" i="43"/>
  <c r="AG6" i="1"/>
  <c r="D6" i="1"/>
  <c r="B10" i="1"/>
  <c r="M17" i="79"/>
  <c r="F31" i="79"/>
  <c r="L46" i="79"/>
  <c r="C6" i="12"/>
  <c r="F29" i="12"/>
  <c r="F24" i="12"/>
  <c r="F15" i="12"/>
  <c r="F58" i="79"/>
  <c r="F25" i="12"/>
  <c r="C25" i="12" s="1"/>
  <c r="C10" i="77"/>
  <c r="C11" i="77" s="1"/>
  <c r="E10" i="77" s="1"/>
  <c r="E8" i="77"/>
  <c r="C9" i="77"/>
  <c r="C22" i="78"/>
  <c r="E5" i="72" s="1"/>
  <c r="C22" i="77"/>
  <c r="E4" i="72" s="1"/>
  <c r="F117" i="78"/>
  <c r="N112" i="78"/>
  <c r="N113" i="78"/>
  <c r="M112" i="78"/>
  <c r="M113" i="78" s="1"/>
  <c r="L112" i="78"/>
  <c r="L113" i="78" s="1"/>
  <c r="K112" i="78"/>
  <c r="K113" i="78" s="1"/>
  <c r="J112" i="78"/>
  <c r="J113" i="78"/>
  <c r="I112" i="78"/>
  <c r="I113" i="78" s="1"/>
  <c r="H112" i="78"/>
  <c r="H113" i="78" s="1"/>
  <c r="G112" i="78"/>
  <c r="G113" i="78" s="1"/>
  <c r="F112" i="78"/>
  <c r="F113" i="78"/>
  <c r="E112" i="78"/>
  <c r="E113" i="78" s="1"/>
  <c r="D112" i="78"/>
  <c r="D113" i="78" s="1"/>
  <c r="C112" i="78"/>
  <c r="C113" i="78" s="1"/>
  <c r="M101" i="78"/>
  <c r="N101" i="78"/>
  <c r="K101" i="78"/>
  <c r="J101" i="78" s="1"/>
  <c r="C20" i="20"/>
  <c r="B69" i="78" s="1"/>
  <c r="M100" i="78"/>
  <c r="N100" i="78" s="1"/>
  <c r="C22" i="20"/>
  <c r="B100" i="78"/>
  <c r="M99" i="78"/>
  <c r="N99" i="78" s="1"/>
  <c r="K99" i="78"/>
  <c r="J99" i="78" s="1"/>
  <c r="C21" i="20"/>
  <c r="B76" i="78" s="1"/>
  <c r="M98" i="78"/>
  <c r="N98" i="78" s="1"/>
  <c r="M97" i="78"/>
  <c r="N97" i="78" s="1"/>
  <c r="J97" i="78"/>
  <c r="B97" i="78"/>
  <c r="M96" i="78"/>
  <c r="N96" i="78" s="1"/>
  <c r="K96" i="78"/>
  <c r="J96" i="78" s="1"/>
  <c r="N9" i="78"/>
  <c r="F93" i="78"/>
  <c r="M95" i="78"/>
  <c r="N95" i="78" s="1"/>
  <c r="J95" i="78"/>
  <c r="B95" i="78"/>
  <c r="N94" i="78"/>
  <c r="K94" i="78"/>
  <c r="J94" i="78" s="1"/>
  <c r="G16" i="20"/>
  <c r="M93" i="78"/>
  <c r="K93" i="78"/>
  <c r="J93" i="78" s="1"/>
  <c r="M90" i="78"/>
  <c r="N90" i="78" s="1"/>
  <c r="K90" i="78"/>
  <c r="J90" i="78" s="1"/>
  <c r="D90" i="78"/>
  <c r="G18" i="20"/>
  <c r="B90" i="78" s="1"/>
  <c r="M89" i="78"/>
  <c r="N89" i="78" s="1"/>
  <c r="K89" i="78"/>
  <c r="J89" i="78" s="1"/>
  <c r="D89" i="78"/>
  <c r="M88" i="78"/>
  <c r="N88" i="78"/>
  <c r="K88" i="78"/>
  <c r="J88" i="78"/>
  <c r="D88" i="78"/>
  <c r="G20" i="20"/>
  <c r="B88" i="77" s="1"/>
  <c r="M87" i="78"/>
  <c r="N87" i="78" s="1"/>
  <c r="K87" i="78"/>
  <c r="J87" i="78" s="1"/>
  <c r="D87" i="78"/>
  <c r="G19" i="20"/>
  <c r="M86" i="78"/>
  <c r="N86" i="78" s="1"/>
  <c r="K86" i="78"/>
  <c r="J86" i="78" s="1"/>
  <c r="D86" i="78"/>
  <c r="B86" i="78"/>
  <c r="M85" i="78"/>
  <c r="N85" i="78" s="1"/>
  <c r="K85" i="78"/>
  <c r="J85" i="78" s="1"/>
  <c r="D85" i="78"/>
  <c r="B85" i="78"/>
  <c r="M84" i="78"/>
  <c r="N84" i="78" s="1"/>
  <c r="K84" i="78"/>
  <c r="J84" i="78" s="1"/>
  <c r="D84" i="78"/>
  <c r="M83" i="78"/>
  <c r="N83" i="78" s="1"/>
  <c r="K83" i="78"/>
  <c r="J83" i="78" s="1"/>
  <c r="F83" i="78"/>
  <c r="H89" i="78"/>
  <c r="D83" i="78"/>
  <c r="G15" i="20"/>
  <c r="B83" i="76" s="1"/>
  <c r="M80" i="78"/>
  <c r="N80" i="78" s="1"/>
  <c r="K80" i="78"/>
  <c r="J80" i="78" s="1"/>
  <c r="D80" i="78"/>
  <c r="M79" i="78"/>
  <c r="N79" i="78" s="1"/>
  <c r="K79" i="78"/>
  <c r="J79" i="78" s="1"/>
  <c r="D79" i="78"/>
  <c r="M78" i="78"/>
  <c r="N78" i="78" s="1"/>
  <c r="K78" i="78"/>
  <c r="J78" i="78" s="1"/>
  <c r="D78" i="78"/>
  <c r="M77" i="78"/>
  <c r="N77" i="78" s="1"/>
  <c r="K77" i="78"/>
  <c r="J77" i="78" s="1"/>
  <c r="D77" i="78"/>
  <c r="B77" i="78"/>
  <c r="M76" i="78"/>
  <c r="N76" i="78" s="1"/>
  <c r="K76" i="78"/>
  <c r="J76" i="78" s="1"/>
  <c r="D76" i="78"/>
  <c r="M75" i="78"/>
  <c r="N75" i="78" s="1"/>
  <c r="K75" i="78"/>
  <c r="J75" i="78" s="1"/>
  <c r="D75" i="78"/>
  <c r="C24" i="20"/>
  <c r="B75" i="76" s="1"/>
  <c r="M74" i="78"/>
  <c r="N74" i="78"/>
  <c r="K74" i="78"/>
  <c r="J74" i="78" s="1"/>
  <c r="D74" i="78"/>
  <c r="B74" i="78"/>
  <c r="M73" i="78"/>
  <c r="N73" i="78" s="1"/>
  <c r="K73" i="78"/>
  <c r="J73" i="78"/>
  <c r="D73" i="78"/>
  <c r="C18" i="20"/>
  <c r="M72" i="78"/>
  <c r="N72" i="78" s="1"/>
  <c r="K72" i="78"/>
  <c r="J72" i="78" s="1"/>
  <c r="F72" i="78"/>
  <c r="H78" i="78" s="1"/>
  <c r="D72" i="78"/>
  <c r="C15" i="20"/>
  <c r="B72" i="78" s="1"/>
  <c r="M69" i="78"/>
  <c r="N69" i="78" s="1"/>
  <c r="K69" i="78"/>
  <c r="J69" i="78"/>
  <c r="D69" i="78"/>
  <c r="M68" i="78"/>
  <c r="N68" i="78"/>
  <c r="K68" i="78"/>
  <c r="J68" i="78" s="1"/>
  <c r="D68" i="78"/>
  <c r="B68" i="78"/>
  <c r="M67" i="78"/>
  <c r="N67" i="78" s="1"/>
  <c r="K67" i="78"/>
  <c r="J67" i="78"/>
  <c r="D67" i="78"/>
  <c r="M66" i="78"/>
  <c r="N66" i="78" s="1"/>
  <c r="K66" i="78"/>
  <c r="J66" i="78"/>
  <c r="D66" i="78"/>
  <c r="M65" i="78"/>
  <c r="N65" i="78" s="1"/>
  <c r="K65" i="78"/>
  <c r="J65" i="78" s="1"/>
  <c r="D65" i="78"/>
  <c r="M64" i="78"/>
  <c r="N64" i="78" s="1"/>
  <c r="K64" i="78"/>
  <c r="J64" i="78" s="1"/>
  <c r="D64" i="78"/>
  <c r="M63" i="78"/>
  <c r="N63" i="78" s="1"/>
  <c r="K63" i="78"/>
  <c r="J63" i="78" s="1"/>
  <c r="D63" i="78"/>
  <c r="B63" i="78"/>
  <c r="M62" i="78"/>
  <c r="N62" i="78" s="1"/>
  <c r="K62" i="78"/>
  <c r="J62" i="78" s="1"/>
  <c r="D62" i="78"/>
  <c r="M61" i="78"/>
  <c r="N61" i="78" s="1"/>
  <c r="K61" i="78"/>
  <c r="J61" i="78" s="1"/>
  <c r="F61" i="78"/>
  <c r="D61" i="78"/>
  <c r="C17" i="20"/>
  <c r="M58" i="78"/>
  <c r="N58" i="78"/>
  <c r="K58" i="78"/>
  <c r="J58" i="78" s="1"/>
  <c r="D58" i="78"/>
  <c r="M57" i="78"/>
  <c r="N57" i="78" s="1"/>
  <c r="K57" i="78"/>
  <c r="J57" i="78" s="1"/>
  <c r="D57" i="78"/>
  <c r="B57" i="78"/>
  <c r="M56" i="78"/>
  <c r="N56" i="78" s="1"/>
  <c r="K56" i="78"/>
  <c r="J56" i="78"/>
  <c r="D56" i="78"/>
  <c r="M55" i="78"/>
  <c r="N55" i="78" s="1"/>
  <c r="K55" i="78"/>
  <c r="J55" i="78" s="1"/>
  <c r="D55" i="78"/>
  <c r="M54" i="78"/>
  <c r="N54" i="78" s="1"/>
  <c r="K54" i="78"/>
  <c r="J54" i="78" s="1"/>
  <c r="D54" i="78"/>
  <c r="M53" i="78"/>
  <c r="N53" i="78" s="1"/>
  <c r="K53" i="78"/>
  <c r="J53" i="78" s="1"/>
  <c r="D53" i="78"/>
  <c r="M52" i="78"/>
  <c r="N52" i="78" s="1"/>
  <c r="K52" i="78"/>
  <c r="J52" i="78" s="1"/>
  <c r="D52" i="78"/>
  <c r="B52" i="78"/>
  <c r="M51" i="78"/>
  <c r="N51" i="78" s="1"/>
  <c r="K51" i="78"/>
  <c r="J51" i="78" s="1"/>
  <c r="D51" i="78"/>
  <c r="M50" i="78"/>
  <c r="N50" i="78" s="1"/>
  <c r="K50" i="78"/>
  <c r="J50" i="78" s="1"/>
  <c r="D50" i="78"/>
  <c r="C16" i="20"/>
  <c r="B50" i="78" s="1"/>
  <c r="H42" i="78"/>
  <c r="H41" i="78"/>
  <c r="H40" i="78"/>
  <c r="H39" i="78"/>
  <c r="H38" i="78"/>
  <c r="H37" i="78"/>
  <c r="E44" i="78"/>
  <c r="C44" i="78" s="1"/>
  <c r="E24" i="78"/>
  <c r="Q32" i="78" s="1"/>
  <c r="M23" i="78"/>
  <c r="I23" i="78"/>
  <c r="I18" i="78"/>
  <c r="G18" i="78"/>
  <c r="E17" i="78"/>
  <c r="G17" i="78"/>
  <c r="C17" i="78"/>
  <c r="C13"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M8" i="78"/>
  <c r="N7" i="78"/>
  <c r="N5" i="78"/>
  <c r="N3" i="78"/>
  <c r="M2" i="78"/>
  <c r="N1" i="78"/>
  <c r="M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M100" i="77"/>
  <c r="N100" i="77" s="1"/>
  <c r="K100" i="77"/>
  <c r="J100" i="77" s="1"/>
  <c r="D100" i="77"/>
  <c r="B100" i="77"/>
  <c r="M99" i="77"/>
  <c r="N99" i="77" s="1"/>
  <c r="K99" i="77"/>
  <c r="J99" i="77" s="1"/>
  <c r="D99" i="77"/>
  <c r="M98" i="77"/>
  <c r="N98" i="77" s="1"/>
  <c r="K98" i="77"/>
  <c r="J98" i="77" s="1"/>
  <c r="D98" i="77"/>
  <c r="M97" i="77"/>
  <c r="N97" i="77"/>
  <c r="K97" i="77"/>
  <c r="J97" i="77" s="1"/>
  <c r="D97" i="77"/>
  <c r="B97" i="77"/>
  <c r="M96" i="77"/>
  <c r="N96" i="77" s="1"/>
  <c r="K96" i="77"/>
  <c r="J96" i="77" s="1"/>
  <c r="D96" i="77"/>
  <c r="M95" i="77"/>
  <c r="N95" i="77" s="1"/>
  <c r="K95" i="77"/>
  <c r="J95" i="77" s="1"/>
  <c r="D95" i="77"/>
  <c r="B95" i="77"/>
  <c r="M94" i="77"/>
  <c r="N94" i="77" s="1"/>
  <c r="K94" i="77"/>
  <c r="J94" i="77" s="1"/>
  <c r="D94" i="77"/>
  <c r="M93" i="77"/>
  <c r="N93" i="77" s="1"/>
  <c r="K93" i="77"/>
  <c r="J93" i="77" s="1"/>
  <c r="F93" i="77"/>
  <c r="H101" i="77" s="1"/>
  <c r="D93" i="77"/>
  <c r="M90" i="77"/>
  <c r="N90" i="77" s="1"/>
  <c r="K90" i="77"/>
  <c r="J90" i="77" s="1"/>
  <c r="D90" i="77"/>
  <c r="B90" i="77"/>
  <c r="M89" i="77"/>
  <c r="N89" i="77" s="1"/>
  <c r="K89" i="77"/>
  <c r="J89" i="77" s="1"/>
  <c r="D89" i="77"/>
  <c r="M88" i="77"/>
  <c r="N88" i="77" s="1"/>
  <c r="K88" i="77"/>
  <c r="J88" i="77" s="1"/>
  <c r="D88" i="77"/>
  <c r="M87" i="77"/>
  <c r="N87" i="77" s="1"/>
  <c r="K87" i="77"/>
  <c r="J87" i="77" s="1"/>
  <c r="D87" i="77"/>
  <c r="M86" i="77"/>
  <c r="N86" i="77" s="1"/>
  <c r="K86" i="77"/>
  <c r="J86" i="77" s="1"/>
  <c r="D86" i="77"/>
  <c r="B86" i="77"/>
  <c r="M85" i="77"/>
  <c r="N85" i="77" s="1"/>
  <c r="K85" i="77"/>
  <c r="J85" i="77" s="1"/>
  <c r="D85" i="77"/>
  <c r="B85" i="77"/>
  <c r="M84" i="77"/>
  <c r="N84" i="77" s="1"/>
  <c r="K84" i="77"/>
  <c r="J84" i="77" s="1"/>
  <c r="D84" i="77"/>
  <c r="M83" i="77"/>
  <c r="N83" i="77" s="1"/>
  <c r="K83" i="77"/>
  <c r="J83" i="77"/>
  <c r="F83" i="77"/>
  <c r="H89" i="77" s="1"/>
  <c r="D83" i="77"/>
  <c r="M80" i="77"/>
  <c r="N80" i="77" s="1"/>
  <c r="K80" i="77"/>
  <c r="J80" i="77" s="1"/>
  <c r="D80" i="77"/>
  <c r="M79" i="77"/>
  <c r="N79" i="77" s="1"/>
  <c r="K79" i="77"/>
  <c r="J79" i="77"/>
  <c r="D79" i="77"/>
  <c r="B79" i="77"/>
  <c r="M78" i="77"/>
  <c r="N78" i="77"/>
  <c r="K78" i="77"/>
  <c r="J78" i="77" s="1"/>
  <c r="D78" i="77"/>
  <c r="M77" i="77"/>
  <c r="N77" i="77"/>
  <c r="K77" i="77"/>
  <c r="J77" i="77" s="1"/>
  <c r="D77" i="77"/>
  <c r="B77" i="77"/>
  <c r="M76" i="77"/>
  <c r="N76" i="77" s="1"/>
  <c r="K76" i="77"/>
  <c r="J76" i="77" s="1"/>
  <c r="D76" i="77"/>
  <c r="M75" i="77"/>
  <c r="N75" i="77" s="1"/>
  <c r="K75" i="77"/>
  <c r="J75" i="77" s="1"/>
  <c r="D75" i="77"/>
  <c r="M74" i="77"/>
  <c r="N74" i="77" s="1"/>
  <c r="K74" i="77"/>
  <c r="J74" i="77" s="1"/>
  <c r="D74" i="77"/>
  <c r="B74" i="77"/>
  <c r="M73" i="77"/>
  <c r="N73" i="77" s="1"/>
  <c r="K73" i="77"/>
  <c r="J73" i="77" s="1"/>
  <c r="D73" i="77"/>
  <c r="B73" i="77"/>
  <c r="M72" i="77"/>
  <c r="N72" i="77" s="1"/>
  <c r="K72" i="77"/>
  <c r="J72" i="77" s="1"/>
  <c r="F72" i="77"/>
  <c r="H78" i="77" s="1"/>
  <c r="D72" i="77"/>
  <c r="E72" i="77" s="1"/>
  <c r="B70" i="77" s="1"/>
  <c r="B72" i="77"/>
  <c r="M69" i="77"/>
  <c r="N69" i="77" s="1"/>
  <c r="K69" i="77"/>
  <c r="J69" i="77" s="1"/>
  <c r="D69" i="77"/>
  <c r="M68" i="77"/>
  <c r="N68" i="77" s="1"/>
  <c r="K68" i="77"/>
  <c r="J68" i="77"/>
  <c r="D68" i="77"/>
  <c r="B68" i="77"/>
  <c r="M67" i="77"/>
  <c r="N67" i="77"/>
  <c r="K67" i="77"/>
  <c r="J67" i="77" s="1"/>
  <c r="D67" i="77"/>
  <c r="M66" i="77"/>
  <c r="N66" i="77" s="1"/>
  <c r="K66" i="77"/>
  <c r="J66" i="77" s="1"/>
  <c r="D66" i="77"/>
  <c r="M65" i="77"/>
  <c r="N65" i="77" s="1"/>
  <c r="K65" i="77"/>
  <c r="J65" i="77" s="1"/>
  <c r="D65" i="77"/>
  <c r="B65" i="77"/>
  <c r="M64" i="77"/>
  <c r="N64" i="77" s="1"/>
  <c r="K64" i="77"/>
  <c r="J64" i="77" s="1"/>
  <c r="D64" i="77"/>
  <c r="M63" i="77"/>
  <c r="N63" i="77" s="1"/>
  <c r="K63" i="77"/>
  <c r="J63" i="77" s="1"/>
  <c r="D63" i="77"/>
  <c r="B63" i="77"/>
  <c r="M62" i="77"/>
  <c r="N62" i="77" s="1"/>
  <c r="K62" i="77"/>
  <c r="J62" i="77" s="1"/>
  <c r="D62" i="77"/>
  <c r="M61" i="77"/>
  <c r="N61" i="77" s="1"/>
  <c r="K61" i="77"/>
  <c r="J61" i="77" s="1"/>
  <c r="F61" i="77"/>
  <c r="D61" i="77"/>
  <c r="B61" i="77"/>
  <c r="M58" i="77"/>
  <c r="N58" i="77"/>
  <c r="K58" i="77"/>
  <c r="J58" i="77" s="1"/>
  <c r="B58" i="77"/>
  <c r="M57" i="77"/>
  <c r="N57" i="77"/>
  <c r="K57" i="77"/>
  <c r="J57" i="77" s="1"/>
  <c r="D57" i="77" s="1"/>
  <c r="B57" i="77"/>
  <c r="M56" i="77"/>
  <c r="N56" i="77" s="1"/>
  <c r="K56" i="77"/>
  <c r="J56" i="77" s="1"/>
  <c r="M55" i="77"/>
  <c r="N55" i="77" s="1"/>
  <c r="M54" i="77"/>
  <c r="N54" i="77" s="1"/>
  <c r="J54" i="77"/>
  <c r="B54" i="77"/>
  <c r="M53" i="77"/>
  <c r="N53" i="77" s="1"/>
  <c r="K53" i="77"/>
  <c r="J53" i="77" s="1"/>
  <c r="M52" i="77"/>
  <c r="N52" i="77" s="1"/>
  <c r="J52" i="77"/>
  <c r="B52" i="77"/>
  <c r="N51" i="77"/>
  <c r="K51" i="77"/>
  <c r="J51" i="77" s="1"/>
  <c r="M50" i="77"/>
  <c r="K50" i="77"/>
  <c r="J50" i="77" s="1"/>
  <c r="B50" i="77"/>
  <c r="H42" i="77"/>
  <c r="H41" i="77"/>
  <c r="H40" i="77"/>
  <c r="H39" i="77"/>
  <c r="H38" i="77"/>
  <c r="H37" i="77"/>
  <c r="E44" i="77"/>
  <c r="C44" i="77" s="1"/>
  <c r="E24" i="77"/>
  <c r="O38" i="59"/>
  <c r="C39" i="59"/>
  <c r="C40" i="59" s="1"/>
  <c r="O39" i="59"/>
  <c r="O40" i="59"/>
  <c r="I23" i="77"/>
  <c r="I18" i="77"/>
  <c r="G18" i="77"/>
  <c r="G17" i="77"/>
  <c r="C13" i="77"/>
  <c r="Y10" i="77"/>
  <c r="AJ9" i="77"/>
  <c r="AJ10" i="77" s="1"/>
  <c r="AI9" i="77"/>
  <c r="AI10" i="77" s="1"/>
  <c r="AH9" i="77"/>
  <c r="AH10" i="77" s="1"/>
  <c r="AG9" i="77"/>
  <c r="AG10" i="77" s="1"/>
  <c r="AF9" i="77"/>
  <c r="AF10" i="77" s="1"/>
  <c r="AE9" i="77"/>
  <c r="AE10" i="77" s="1"/>
  <c r="AD9" i="77"/>
  <c r="AD10" i="77" s="1"/>
  <c r="AC9" i="77"/>
  <c r="AC10" i="77"/>
  <c r="AB9" i="77"/>
  <c r="AB10" i="77" s="1"/>
  <c r="AA9" i="77"/>
  <c r="AA10" i="77" s="1"/>
  <c r="Z9" i="77"/>
  <c r="Z10" i="77" s="1"/>
  <c r="M1" i="77"/>
  <c r="D1" i="77"/>
  <c r="F117" i="76"/>
  <c r="N112" i="76"/>
  <c r="N113" i="76" s="1"/>
  <c r="M112" i="76"/>
  <c r="M113" i="76" s="1"/>
  <c r="L112" i="76"/>
  <c r="L113" i="76" s="1"/>
  <c r="K112" i="76"/>
  <c r="K113" i="76" s="1"/>
  <c r="J112" i="76"/>
  <c r="J113" i="76"/>
  <c r="I112" i="76"/>
  <c r="I113" i="76" s="1"/>
  <c r="H112" i="76"/>
  <c r="H113" i="76" s="1"/>
  <c r="G112" i="76"/>
  <c r="G113" i="76" s="1"/>
  <c r="F112" i="76"/>
  <c r="F113" i="76" s="1"/>
  <c r="E112" i="76"/>
  <c r="E113" i="76" s="1"/>
  <c r="D112" i="76"/>
  <c r="D113" i="76" s="1"/>
  <c r="C112" i="76"/>
  <c r="C113" i="76" s="1"/>
  <c r="M101" i="76"/>
  <c r="N101" i="76" s="1"/>
  <c r="K101" i="76"/>
  <c r="J101" i="76" s="1"/>
  <c r="D101" i="76"/>
  <c r="B101" i="76"/>
  <c r="M100" i="76"/>
  <c r="N100" i="76" s="1"/>
  <c r="K100" i="76"/>
  <c r="J100" i="76" s="1"/>
  <c r="D100" i="76"/>
  <c r="B100" i="76"/>
  <c r="M99" i="76"/>
  <c r="N99" i="76" s="1"/>
  <c r="K99" i="76"/>
  <c r="J99" i="76" s="1"/>
  <c r="D99" i="76"/>
  <c r="B99" i="76"/>
  <c r="M98" i="76"/>
  <c r="N98" i="76" s="1"/>
  <c r="K98" i="76"/>
  <c r="J98" i="76" s="1"/>
  <c r="D98" i="76"/>
  <c r="M97" i="76"/>
  <c r="N97" i="76"/>
  <c r="K97" i="76"/>
  <c r="J97" i="76" s="1"/>
  <c r="D97" i="76"/>
  <c r="B97" i="76"/>
  <c r="M96" i="76"/>
  <c r="N96" i="76" s="1"/>
  <c r="K96" i="76"/>
  <c r="J96" i="76"/>
  <c r="D96" i="76"/>
  <c r="M95" i="76"/>
  <c r="N95" i="76" s="1"/>
  <c r="K95" i="76"/>
  <c r="J95" i="76" s="1"/>
  <c r="D95" i="76"/>
  <c r="B95" i="76"/>
  <c r="M94" i="76"/>
  <c r="N94" i="76" s="1"/>
  <c r="K94" i="76"/>
  <c r="J94" i="76" s="1"/>
  <c r="D94" i="76"/>
  <c r="M93" i="76"/>
  <c r="N93" i="76" s="1"/>
  <c r="K93" i="76"/>
  <c r="J93" i="76"/>
  <c r="F93" i="76"/>
  <c r="H101" i="76" s="1"/>
  <c r="D93" i="76"/>
  <c r="M90" i="76"/>
  <c r="N90" i="76"/>
  <c r="K90" i="76"/>
  <c r="J90" i="76" s="1"/>
  <c r="D90" i="76"/>
  <c r="B90" i="76"/>
  <c r="M89" i="76"/>
  <c r="N89" i="76" s="1"/>
  <c r="K89" i="76"/>
  <c r="J89" i="76"/>
  <c r="D89" i="76"/>
  <c r="M88" i="76"/>
  <c r="N88" i="76" s="1"/>
  <c r="K88" i="76"/>
  <c r="J88" i="76" s="1"/>
  <c r="D88" i="76"/>
  <c r="M87" i="76"/>
  <c r="N87" i="76" s="1"/>
  <c r="K87" i="76"/>
  <c r="J87" i="76" s="1"/>
  <c r="D87" i="76"/>
  <c r="B87" i="76"/>
  <c r="M86" i="76"/>
  <c r="N86" i="76" s="1"/>
  <c r="K86" i="76"/>
  <c r="J86" i="76" s="1"/>
  <c r="D86" i="76"/>
  <c r="B86" i="76"/>
  <c r="M85" i="76"/>
  <c r="N85" i="76" s="1"/>
  <c r="K85" i="76"/>
  <c r="J85" i="76" s="1"/>
  <c r="D85" i="76"/>
  <c r="B85" i="76"/>
  <c r="M84" i="76"/>
  <c r="N84" i="76" s="1"/>
  <c r="K84" i="76"/>
  <c r="J84" i="76" s="1"/>
  <c r="D84" i="76"/>
  <c r="B84" i="76"/>
  <c r="M83" i="76"/>
  <c r="N83" i="76" s="1"/>
  <c r="K83" i="76"/>
  <c r="J83" i="76" s="1"/>
  <c r="F83" i="76"/>
  <c r="H89" i="76" s="1"/>
  <c r="D83" i="76"/>
  <c r="M80" i="76"/>
  <c r="K80" i="76"/>
  <c r="J80" i="76" s="1"/>
  <c r="M79" i="76"/>
  <c r="N79" i="76" s="1"/>
  <c r="K79" i="76"/>
  <c r="J79" i="76" s="1"/>
  <c r="B79" i="76"/>
  <c r="M78" i="76"/>
  <c r="N78" i="76" s="1"/>
  <c r="M77" i="76"/>
  <c r="N77" i="76" s="1"/>
  <c r="B77" i="76"/>
  <c r="M76" i="76"/>
  <c r="N76" i="76" s="1"/>
  <c r="K76" i="76"/>
  <c r="J76" i="76" s="1"/>
  <c r="B76" i="76"/>
  <c r="M75" i="76"/>
  <c r="N75" i="76" s="1"/>
  <c r="J75" i="76"/>
  <c r="M74" i="76"/>
  <c r="N74" i="76" s="1"/>
  <c r="J74" i="76"/>
  <c r="B74" i="76"/>
  <c r="N73" i="76"/>
  <c r="K73" i="76"/>
  <c r="J73" i="76" s="1"/>
  <c r="M72" i="76"/>
  <c r="N72" i="76" s="1"/>
  <c r="K72" i="76"/>
  <c r="J72" i="76"/>
  <c r="N9" i="76"/>
  <c r="F72" i="76" s="1"/>
  <c r="N6" i="76"/>
  <c r="B72" i="76"/>
  <c r="M69" i="76"/>
  <c r="N69" i="76" s="1"/>
  <c r="K69" i="76"/>
  <c r="J69" i="76"/>
  <c r="D69" i="76"/>
  <c r="B69" i="76"/>
  <c r="M68" i="76"/>
  <c r="N68" i="76"/>
  <c r="K68" i="76"/>
  <c r="J68" i="76" s="1"/>
  <c r="D68" i="76"/>
  <c r="B68" i="76"/>
  <c r="M67" i="76"/>
  <c r="N67" i="76" s="1"/>
  <c r="K67" i="76"/>
  <c r="J67" i="76"/>
  <c r="D67" i="76"/>
  <c r="B67" i="76"/>
  <c r="M66" i="76"/>
  <c r="N66" i="76"/>
  <c r="K66" i="76"/>
  <c r="J66" i="76" s="1"/>
  <c r="D66" i="76"/>
  <c r="M65" i="76"/>
  <c r="N65" i="76" s="1"/>
  <c r="K65" i="76"/>
  <c r="J65" i="76" s="1"/>
  <c r="D65" i="76"/>
  <c r="B65" i="76"/>
  <c r="M64" i="76"/>
  <c r="N64" i="76" s="1"/>
  <c r="K64" i="76"/>
  <c r="J64" i="76" s="1"/>
  <c r="D64" i="76"/>
  <c r="M63" i="76"/>
  <c r="N63" i="76" s="1"/>
  <c r="K63" i="76"/>
  <c r="J63" i="76" s="1"/>
  <c r="D63" i="76"/>
  <c r="B63" i="76"/>
  <c r="M62" i="76"/>
  <c r="N62" i="76" s="1"/>
  <c r="K62" i="76"/>
  <c r="J62" i="76" s="1"/>
  <c r="D62" i="76"/>
  <c r="B62" i="76"/>
  <c r="M61" i="76"/>
  <c r="N61" i="76" s="1"/>
  <c r="K61" i="76"/>
  <c r="J61" i="76" s="1"/>
  <c r="F61" i="76"/>
  <c r="H64" i="76" s="1"/>
  <c r="D61" i="76"/>
  <c r="M58" i="76"/>
  <c r="N58" i="76" s="1"/>
  <c r="K58" i="76"/>
  <c r="J58" i="76"/>
  <c r="D58" i="76"/>
  <c r="B58" i="76"/>
  <c r="M57" i="76"/>
  <c r="N57" i="76"/>
  <c r="K57" i="76"/>
  <c r="J57" i="76" s="1"/>
  <c r="D57" i="76"/>
  <c r="B57" i="76"/>
  <c r="M56" i="76"/>
  <c r="N56" i="76" s="1"/>
  <c r="K56" i="76"/>
  <c r="J56" i="76"/>
  <c r="D56" i="76"/>
  <c r="M55" i="76"/>
  <c r="N55" i="76" s="1"/>
  <c r="K55" i="76"/>
  <c r="J55" i="76" s="1"/>
  <c r="D55" i="76"/>
  <c r="M54" i="76"/>
  <c r="N54" i="76" s="1"/>
  <c r="K54" i="76"/>
  <c r="J54" i="76" s="1"/>
  <c r="D54" i="76"/>
  <c r="B54" i="76"/>
  <c r="M53" i="76"/>
  <c r="N53" i="76" s="1"/>
  <c r="K53" i="76"/>
  <c r="J53" i="76" s="1"/>
  <c r="D53" i="76"/>
  <c r="M52" i="76"/>
  <c r="N52" i="76" s="1"/>
  <c r="K52" i="76"/>
  <c r="J52" i="76" s="1"/>
  <c r="D52" i="76"/>
  <c r="B52" i="76"/>
  <c r="M51" i="76"/>
  <c r="N51" i="76" s="1"/>
  <c r="K51" i="76"/>
  <c r="J51" i="76" s="1"/>
  <c r="D51" i="76"/>
  <c r="B51" i="76"/>
  <c r="M50" i="76"/>
  <c r="N50" i="76" s="1"/>
  <c r="K50" i="76"/>
  <c r="J50" i="76" s="1"/>
  <c r="D50" i="76"/>
  <c r="B50" i="76"/>
  <c r="H42" i="76"/>
  <c r="H41" i="76"/>
  <c r="H40" i="76"/>
  <c r="H39" i="76"/>
  <c r="H38" i="76"/>
  <c r="H37" i="76"/>
  <c r="E44" i="76"/>
  <c r="C44" i="76" s="1"/>
  <c r="E24" i="76"/>
  <c r="P38" i="59"/>
  <c r="E39" i="59" s="1"/>
  <c r="P39" i="59"/>
  <c r="AA39" i="59" s="1"/>
  <c r="P40" i="59"/>
  <c r="I23" i="76"/>
  <c r="I18" i="76"/>
  <c r="G18" i="76"/>
  <c r="E17" i="76" s="1"/>
  <c r="G17" i="76"/>
  <c r="C17" i="76"/>
  <c r="Y10" i="76"/>
  <c r="C10" i="76"/>
  <c r="C11" i="76" s="1"/>
  <c r="AJ9" i="76"/>
  <c r="AJ10" i="76" s="1"/>
  <c r="AI9" i="76"/>
  <c r="AI10" i="76" s="1"/>
  <c r="AH9" i="76"/>
  <c r="AH10" i="76" s="1"/>
  <c r="AG9" i="76"/>
  <c r="AG10" i="76" s="1"/>
  <c r="AF9" i="76"/>
  <c r="AF10" i="76" s="1"/>
  <c r="AE9" i="76"/>
  <c r="AE10" i="76" s="1"/>
  <c r="AD9" i="76"/>
  <c r="AD10" i="76" s="1"/>
  <c r="AC9" i="76"/>
  <c r="AC10" i="76" s="1"/>
  <c r="AB9" i="76"/>
  <c r="AB10" i="76" s="1"/>
  <c r="AA9" i="76"/>
  <c r="AA10" i="76"/>
  <c r="Z9" i="76"/>
  <c r="Z10" i="76" s="1"/>
  <c r="C9" i="76"/>
  <c r="N5" i="76"/>
  <c r="N3" i="76"/>
  <c r="M2" i="76"/>
  <c r="N8" i="76"/>
  <c r="N1" i="76"/>
  <c r="M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M4" i="78"/>
  <c r="N6" i="78"/>
  <c r="H72" i="77"/>
  <c r="H83" i="77"/>
  <c r="H93" i="77"/>
  <c r="S3" i="77"/>
  <c r="M4" i="76"/>
  <c r="M7" i="76"/>
  <c r="H63" i="76"/>
  <c r="H93" i="76"/>
  <c r="H96" i="76"/>
  <c r="H61" i="76"/>
  <c r="H95" i="76"/>
  <c r="C7" i="78"/>
  <c r="H117" i="78"/>
  <c r="F50" i="78"/>
  <c r="F42" i="78"/>
  <c r="F41" i="78"/>
  <c r="F40" i="78"/>
  <c r="F39" i="78"/>
  <c r="F38" i="78"/>
  <c r="F37" i="78"/>
  <c r="C27" i="78"/>
  <c r="D21" i="78"/>
  <c r="S2" i="78"/>
  <c r="S4" i="78"/>
  <c r="N12" i="78"/>
  <c r="N11" i="78"/>
  <c r="N10" i="78"/>
  <c r="M12" i="78"/>
  <c r="M11" i="78"/>
  <c r="M10" i="78"/>
  <c r="N2" i="78"/>
  <c r="M3" i="78"/>
  <c r="S3" i="78"/>
  <c r="N4" i="78"/>
  <c r="M5" i="78"/>
  <c r="S5" i="78"/>
  <c r="M6" i="78"/>
  <c r="S6" i="78"/>
  <c r="M7" i="78"/>
  <c r="X7" i="78"/>
  <c r="N8" i="78"/>
  <c r="N32" i="78"/>
  <c r="P32" i="78"/>
  <c r="H67" i="78"/>
  <c r="H65" i="78"/>
  <c r="M32" i="78"/>
  <c r="O32" i="78"/>
  <c r="H61" i="78"/>
  <c r="H64" i="78"/>
  <c r="H72" i="78"/>
  <c r="H74" i="78"/>
  <c r="H76" i="78"/>
  <c r="H79" i="78"/>
  <c r="H80" i="78"/>
  <c r="H83" i="78"/>
  <c r="H85" i="78"/>
  <c r="H87" i="78"/>
  <c r="H90" i="78"/>
  <c r="H97" i="78"/>
  <c r="H100" i="78"/>
  <c r="H73" i="78"/>
  <c r="H75" i="78"/>
  <c r="H77" i="78"/>
  <c r="H84" i="78"/>
  <c r="H86" i="78"/>
  <c r="H88" i="78"/>
  <c r="M12" i="77"/>
  <c r="M11" i="77"/>
  <c r="M10" i="77"/>
  <c r="N9" i="77"/>
  <c r="N8" i="77"/>
  <c r="M7" i="77"/>
  <c r="M5" i="77"/>
  <c r="N4" i="77"/>
  <c r="N12" i="77"/>
  <c r="N11" i="77"/>
  <c r="N10" i="77"/>
  <c r="N2" i="77"/>
  <c r="M3" i="77"/>
  <c r="M4" i="77"/>
  <c r="N5" i="77"/>
  <c r="N7" i="77"/>
  <c r="N1" i="77"/>
  <c r="H117" i="77"/>
  <c r="N6" i="77"/>
  <c r="F50" i="77"/>
  <c r="H56" i="77" s="1"/>
  <c r="F42" i="77"/>
  <c r="F41" i="77"/>
  <c r="F40" i="77"/>
  <c r="F39" i="77"/>
  <c r="F38" i="77"/>
  <c r="F37" i="77"/>
  <c r="C27" i="77"/>
  <c r="D21" i="77"/>
  <c r="X7" i="77"/>
  <c r="S6" i="77"/>
  <c r="S5" i="77"/>
  <c r="M2" i="77"/>
  <c r="S2" i="77"/>
  <c r="N3" i="77"/>
  <c r="S4" i="77"/>
  <c r="M8" i="77"/>
  <c r="M32" i="77"/>
  <c r="Q32" i="77"/>
  <c r="H61" i="77"/>
  <c r="H64" i="77"/>
  <c r="H69" i="77"/>
  <c r="H74" i="77"/>
  <c r="H76" i="77"/>
  <c r="H79" i="77"/>
  <c r="H80" i="77"/>
  <c r="H85" i="77"/>
  <c r="H87" i="77"/>
  <c r="H90" i="77"/>
  <c r="H94" i="77"/>
  <c r="H97" i="77"/>
  <c r="H98" i="77"/>
  <c r="H100" i="77"/>
  <c r="H62" i="77"/>
  <c r="H66" i="77"/>
  <c r="H73" i="77"/>
  <c r="H75" i="77"/>
  <c r="H77" i="77"/>
  <c r="H84" i="77"/>
  <c r="H86" i="77"/>
  <c r="H88" i="77"/>
  <c r="H95" i="77"/>
  <c r="H96" i="77"/>
  <c r="H99" i="77"/>
  <c r="H117" i="76"/>
  <c r="F50" i="76"/>
  <c r="F42" i="76"/>
  <c r="F41" i="76"/>
  <c r="F40" i="76"/>
  <c r="F39" i="76"/>
  <c r="F38" i="76"/>
  <c r="F37" i="76"/>
  <c r="C27" i="76"/>
  <c r="D21" i="76"/>
  <c r="S4" i="76"/>
  <c r="S6" i="76"/>
  <c r="X7" i="76"/>
  <c r="S2" i="76"/>
  <c r="N12" i="76"/>
  <c r="N11" i="76"/>
  <c r="N10" i="76"/>
  <c r="M8" i="76"/>
  <c r="N7" i="76"/>
  <c r="M12" i="76"/>
  <c r="M11" i="76"/>
  <c r="M10" i="76"/>
  <c r="N2" i="76"/>
  <c r="M3" i="76"/>
  <c r="S3" i="76"/>
  <c r="N4" i="76"/>
  <c r="M5" i="76"/>
  <c r="S5" i="76"/>
  <c r="C7" i="76"/>
  <c r="P32" i="76"/>
  <c r="H69" i="76"/>
  <c r="H67" i="76"/>
  <c r="H62" i="76"/>
  <c r="H65" i="76"/>
  <c r="H68" i="76"/>
  <c r="H78" i="76"/>
  <c r="H77" i="76"/>
  <c r="H75" i="76"/>
  <c r="H80" i="76"/>
  <c r="H79" i="76"/>
  <c r="H76" i="76"/>
  <c r="H74" i="76"/>
  <c r="H72" i="76"/>
  <c r="H73" i="76"/>
  <c r="O32" i="76"/>
  <c r="H66" i="76"/>
  <c r="H83" i="76"/>
  <c r="H85" i="76"/>
  <c r="H87" i="76"/>
  <c r="H90" i="76"/>
  <c r="H94" i="76"/>
  <c r="H97" i="76"/>
  <c r="H98" i="76"/>
  <c r="H100" i="76"/>
  <c r="H84" i="76"/>
  <c r="H86" i="76"/>
  <c r="H88" i="76"/>
  <c r="H99" i="76"/>
  <c r="H58" i="78"/>
  <c r="H56" i="78"/>
  <c r="H53" i="78"/>
  <c r="H52" i="78"/>
  <c r="H50" i="78"/>
  <c r="H57" i="78"/>
  <c r="H55" i="78"/>
  <c r="H54" i="78"/>
  <c r="H51" i="78"/>
  <c r="H58" i="77"/>
  <c r="H54" i="77"/>
  <c r="H51" i="77"/>
  <c r="H52" i="77"/>
  <c r="H50" i="77"/>
  <c r="H58" i="76"/>
  <c r="H56" i="76"/>
  <c r="H53" i="76"/>
  <c r="H52" i="76"/>
  <c r="H50" i="76"/>
  <c r="H57" i="76"/>
  <c r="H55" i="76"/>
  <c r="H54" i="76"/>
  <c r="H51" i="76"/>
  <c r="U36" i="70"/>
  <c r="T36" i="70"/>
  <c r="S36" i="70"/>
  <c r="V16" i="70"/>
  <c r="U16" i="70"/>
  <c r="T16" i="70"/>
  <c r="W16" i="70" s="1"/>
  <c r="R16" i="70"/>
  <c r="S16" i="70"/>
  <c r="Z26" i="70"/>
  <c r="AA26" i="70"/>
  <c r="AB26" i="70"/>
  <c r="I26" i="70"/>
  <c r="AD26" i="70" s="1"/>
  <c r="Z27" i="70"/>
  <c r="AA27" i="70"/>
  <c r="AB27" i="70"/>
  <c r="I27" i="70"/>
  <c r="AD27" i="70" s="1"/>
  <c r="Z28" i="70"/>
  <c r="AA28" i="70"/>
  <c r="AB28" i="70"/>
  <c r="Y6" i="70"/>
  <c r="Z6" i="70"/>
  <c r="AA6" i="70"/>
  <c r="AD6" i="70" s="1"/>
  <c r="AB6" i="70"/>
  <c r="AC6" i="70"/>
  <c r="Y7" i="70"/>
  <c r="Z7" i="70"/>
  <c r="AA7" i="70"/>
  <c r="AD7" i="70" s="1"/>
  <c r="AB7" i="70"/>
  <c r="AC7" i="70"/>
  <c r="Y8" i="70"/>
  <c r="Z8" i="70"/>
  <c r="AA8" i="70"/>
  <c r="AD8" i="70" s="1"/>
  <c r="AB8" i="70"/>
  <c r="AC8" i="70"/>
  <c r="M26" i="70"/>
  <c r="P26" i="70" s="1"/>
  <c r="M27" i="70"/>
  <c r="L26" i="70"/>
  <c r="N26" i="70"/>
  <c r="L27" i="70"/>
  <c r="N27" i="70"/>
  <c r="L28" i="70"/>
  <c r="M28" i="70"/>
  <c r="N28" i="70"/>
  <c r="K6" i="70"/>
  <c r="L6" i="70"/>
  <c r="M6" i="70"/>
  <c r="N6" i="70"/>
  <c r="O6" i="70"/>
  <c r="K7" i="70"/>
  <c r="L7" i="70"/>
  <c r="M7" i="70"/>
  <c r="P7" i="70"/>
  <c r="N7" i="70"/>
  <c r="O7" i="70"/>
  <c r="K8" i="70"/>
  <c r="L8" i="70"/>
  <c r="M8" i="70"/>
  <c r="P8" i="70" s="1"/>
  <c r="N8" i="70"/>
  <c r="O8" i="70"/>
  <c r="I28" i="70"/>
  <c r="I29" i="70"/>
  <c r="I30" i="70"/>
  <c r="I31" i="70"/>
  <c r="I32" i="70"/>
  <c r="I33" i="70"/>
  <c r="I34" i="70"/>
  <c r="I35" i="70"/>
  <c r="I36" i="70"/>
  <c r="AD36" i="70" s="1"/>
  <c r="I6" i="70"/>
  <c r="I7" i="70"/>
  <c r="I8" i="70"/>
  <c r="P28" i="70"/>
  <c r="B3" i="69"/>
  <c r="C5" i="69" s="1"/>
  <c r="D5" i="69" s="1"/>
  <c r="C6" i="69"/>
  <c r="D6" i="69" s="1"/>
  <c r="B79" i="46"/>
  <c r="C13"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Y10" i="46"/>
  <c r="J24" i="46"/>
  <c r="G24" i="46"/>
  <c r="E24" i="46"/>
  <c r="Q32" i="46" s="1"/>
  <c r="I23" i="46"/>
  <c r="C22" i="46"/>
  <c r="G17" i="46"/>
  <c r="I2" i="46"/>
  <c r="G2" i="46"/>
  <c r="M1" i="46"/>
  <c r="M5" i="46"/>
  <c r="M2" i="46"/>
  <c r="S5" i="46"/>
  <c r="D101" i="46"/>
  <c r="D99" i="46"/>
  <c r="D97" i="46"/>
  <c r="D95" i="46"/>
  <c r="D100" i="46"/>
  <c r="D98" i="46"/>
  <c r="D96" i="46"/>
  <c r="E93" i="46" s="1"/>
  <c r="B91" i="46" s="1"/>
  <c r="D94" i="46"/>
  <c r="N1" i="46"/>
  <c r="M3" i="46"/>
  <c r="M4" i="46"/>
  <c r="M6" i="46"/>
  <c r="M7" i="46"/>
  <c r="M8" i="46"/>
  <c r="M9" i="46"/>
  <c r="M10" i="46"/>
  <c r="M11" i="46"/>
  <c r="M12" i="46"/>
  <c r="N2" i="46"/>
  <c r="N3" i="46"/>
  <c r="N4" i="46"/>
  <c r="N5" i="46"/>
  <c r="F93" i="46"/>
  <c r="H99"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B23" i="70" s="1"/>
  <c r="AA25" i="70"/>
  <c r="Z25" i="70"/>
  <c r="Z23" i="70" s="1"/>
  <c r="AA16" i="70"/>
  <c r="AD16" i="70" s="1"/>
  <c r="AC16" i="70"/>
  <c r="AB16" i="70"/>
  <c r="Z16" i="70"/>
  <c r="Y16" i="70"/>
  <c r="AA15" i="70"/>
  <c r="AD15" i="70" s="1"/>
  <c r="AC15" i="70"/>
  <c r="AB15" i="70"/>
  <c r="Z15" i="70"/>
  <c r="Y15" i="70"/>
  <c r="AA14" i="70"/>
  <c r="AD14" i="70" s="1"/>
  <c r="AC14" i="70"/>
  <c r="AB14" i="70"/>
  <c r="Z14" i="70"/>
  <c r="Y14" i="70"/>
  <c r="AA13" i="70"/>
  <c r="AD13" i="70" s="1"/>
  <c r="AC13" i="70"/>
  <c r="AB13" i="70"/>
  <c r="Z13" i="70"/>
  <c r="Y13" i="70"/>
  <c r="AA12" i="70"/>
  <c r="AD12" i="70"/>
  <c r="AC12" i="70"/>
  <c r="AB12" i="70"/>
  <c r="Z12" i="70"/>
  <c r="Y12" i="70"/>
  <c r="AC11" i="70"/>
  <c r="AB11" i="70"/>
  <c r="AA11" i="70"/>
  <c r="AD11" i="70"/>
  <c r="Z11" i="70"/>
  <c r="Y11" i="70"/>
  <c r="AC10" i="70"/>
  <c r="AB10" i="70"/>
  <c r="AA10" i="70"/>
  <c r="AD10" i="70" s="1"/>
  <c r="Z10" i="70"/>
  <c r="Y10" i="70"/>
  <c r="AC9" i="70"/>
  <c r="AC3" i="70" s="1"/>
  <c r="AB9" i="70"/>
  <c r="AA9" i="70"/>
  <c r="AD9" i="70" s="1"/>
  <c r="Z9" i="70"/>
  <c r="Y9" i="70"/>
  <c r="AC5" i="70"/>
  <c r="AB5" i="70"/>
  <c r="AA5" i="70"/>
  <c r="Z5" i="70"/>
  <c r="Y5" i="70"/>
  <c r="W36" i="70"/>
  <c r="N36" i="70"/>
  <c r="M36" i="70"/>
  <c r="P36" i="70" s="1"/>
  <c r="L36" i="70"/>
  <c r="N35" i="70"/>
  <c r="U35" i="70" s="1"/>
  <c r="M35" i="70"/>
  <c r="P35" i="70"/>
  <c r="L35" i="70"/>
  <c r="N34" i="70"/>
  <c r="M34" i="70"/>
  <c r="P34" i="70" s="1"/>
  <c r="L34" i="70"/>
  <c r="N33" i="70"/>
  <c r="U33" i="70"/>
  <c r="M33" i="70"/>
  <c r="P33" i="70" s="1"/>
  <c r="L33" i="70"/>
  <c r="S33" i="70" s="1"/>
  <c r="N32" i="70"/>
  <c r="M32" i="70"/>
  <c r="L32" i="70"/>
  <c r="N31" i="70"/>
  <c r="U31" i="70" s="1"/>
  <c r="M31" i="70"/>
  <c r="P31" i="70" s="1"/>
  <c r="L31" i="70"/>
  <c r="S31" i="70" s="1"/>
  <c r="N30" i="70"/>
  <c r="M30" i="70"/>
  <c r="P30" i="70" s="1"/>
  <c r="L30" i="70"/>
  <c r="N29" i="70"/>
  <c r="M29" i="70"/>
  <c r="T29" i="70" s="1"/>
  <c r="W29" i="70" s="1"/>
  <c r="L29" i="70"/>
  <c r="N25" i="70"/>
  <c r="M25" i="70"/>
  <c r="L25" i="70"/>
  <c r="I25" i="70"/>
  <c r="AD25" i="70"/>
  <c r="G23" i="70"/>
  <c r="F23" i="70"/>
  <c r="I23" i="70" s="1"/>
  <c r="E23" i="70"/>
  <c r="O16" i="70"/>
  <c r="N16" i="70"/>
  <c r="M16" i="70"/>
  <c r="P16" i="70"/>
  <c r="L16" i="70"/>
  <c r="K16" i="70"/>
  <c r="I16" i="70"/>
  <c r="M15" i="70"/>
  <c r="P15" i="70" s="1"/>
  <c r="O15" i="70"/>
  <c r="N15" i="70"/>
  <c r="U15" i="70" s="1"/>
  <c r="L15" i="70"/>
  <c r="S15" i="70" s="1"/>
  <c r="K15" i="70"/>
  <c r="I15" i="70"/>
  <c r="O14" i="70"/>
  <c r="N14" i="70"/>
  <c r="M14" i="70"/>
  <c r="P14" i="70" s="1"/>
  <c r="L14" i="70"/>
  <c r="K14" i="70"/>
  <c r="I14" i="70"/>
  <c r="O13" i="70"/>
  <c r="V13" i="70" s="1"/>
  <c r="N13" i="70"/>
  <c r="M13" i="70"/>
  <c r="L13" i="70"/>
  <c r="K13" i="70"/>
  <c r="I13" i="70"/>
  <c r="O12" i="70"/>
  <c r="N12" i="70"/>
  <c r="M12" i="70"/>
  <c r="P12" i="70" s="1"/>
  <c r="L12" i="70"/>
  <c r="S12" i="70" s="1"/>
  <c r="K12" i="70"/>
  <c r="I12" i="70"/>
  <c r="O11" i="70"/>
  <c r="N11" i="70"/>
  <c r="M11" i="70"/>
  <c r="L11" i="70"/>
  <c r="S11" i="70" s="1"/>
  <c r="K11" i="70"/>
  <c r="I11" i="70"/>
  <c r="O10" i="70"/>
  <c r="N10" i="70"/>
  <c r="M10" i="70"/>
  <c r="P10" i="70" s="1"/>
  <c r="L10" i="70"/>
  <c r="S10" i="70" s="1"/>
  <c r="K10" i="70"/>
  <c r="I10" i="70"/>
  <c r="O9" i="70"/>
  <c r="N9" i="70"/>
  <c r="M9" i="70"/>
  <c r="L9" i="70"/>
  <c r="S7" i="70" s="1"/>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B13" i="1"/>
  <c r="E13" i="1" s="1"/>
  <c r="D13" i="1"/>
  <c r="D12" i="1"/>
  <c r="D11" i="1"/>
  <c r="D10" i="1"/>
  <c r="D9" i="1"/>
  <c r="D8" i="1"/>
  <c r="D7" i="1"/>
  <c r="S26" i="70"/>
  <c r="T26" i="70"/>
  <c r="W26" i="70" s="1"/>
  <c r="R6" i="70"/>
  <c r="P9" i="70"/>
  <c r="V7" i="70"/>
  <c r="U7" i="70"/>
  <c r="U11" i="70"/>
  <c r="T34" i="70"/>
  <c r="W34" i="70" s="1"/>
  <c r="T35" i="70"/>
  <c r="W35" i="70" s="1"/>
  <c r="V10" i="70"/>
  <c r="P13" i="70"/>
  <c r="T30" i="70"/>
  <c r="W30" i="70" s="1"/>
  <c r="S9" i="70"/>
  <c r="R9" i="70"/>
  <c r="E25" i="69"/>
  <c r="F23" i="69"/>
  <c r="F24" i="69" s="1"/>
  <c r="E24" i="69"/>
  <c r="E23" i="69"/>
  <c r="G23" i="69" s="1"/>
  <c r="E22" i="69"/>
  <c r="G22" i="69" s="1"/>
  <c r="F12" i="69"/>
  <c r="F11" i="69"/>
  <c r="C18" i="69" s="1"/>
  <c r="B15" i="69"/>
  <c r="G14" i="65"/>
  <c r="F14" i="65"/>
  <c r="E14" i="65"/>
  <c r="G15" i="65"/>
  <c r="F15" i="65"/>
  <c r="E15" i="65"/>
  <c r="Q25" i="59"/>
  <c r="F25" i="59" s="1"/>
  <c r="Q24" i="59"/>
  <c r="Q23" i="59"/>
  <c r="Q22" i="59"/>
  <c r="Q21" i="59"/>
  <c r="Q20" i="59"/>
  <c r="Q19" i="59"/>
  <c r="Q18" i="59"/>
  <c r="Q17" i="59"/>
  <c r="Q16" i="59"/>
  <c r="Q15" i="59"/>
  <c r="Q14" i="59"/>
  <c r="Q13" i="59"/>
  <c r="Q12" i="59"/>
  <c r="Q11" i="59"/>
  <c r="Q10" i="59"/>
  <c r="Q9" i="59"/>
  <c r="P25" i="59"/>
  <c r="E25" i="59" s="1"/>
  <c r="P24" i="59"/>
  <c r="P23" i="59"/>
  <c r="P22" i="59"/>
  <c r="P21" i="59"/>
  <c r="P20" i="59"/>
  <c r="P19" i="59"/>
  <c r="P18" i="59"/>
  <c r="P17" i="59"/>
  <c r="P16" i="59"/>
  <c r="P15" i="59"/>
  <c r="P14" i="59"/>
  <c r="P13" i="59"/>
  <c r="P12" i="59"/>
  <c r="P11" i="59"/>
  <c r="P10" i="59"/>
  <c r="P9" i="59"/>
  <c r="O25" i="59"/>
  <c r="C25" i="59" s="1"/>
  <c r="O24" i="59"/>
  <c r="O23" i="59"/>
  <c r="O22" i="59"/>
  <c r="O21" i="59"/>
  <c r="O20" i="59"/>
  <c r="O19" i="59"/>
  <c r="O18" i="59"/>
  <c r="O17" i="59"/>
  <c r="O16" i="59"/>
  <c r="O15" i="59"/>
  <c r="O14" i="59"/>
  <c r="O13" i="59"/>
  <c r="O12" i="59"/>
  <c r="O11" i="59"/>
  <c r="O10" i="59"/>
  <c r="O9" i="59"/>
  <c r="N25" i="59"/>
  <c r="N24" i="59"/>
  <c r="N23" i="59"/>
  <c r="N22" i="59"/>
  <c r="N21" i="59"/>
  <c r="N20" i="59"/>
  <c r="N19" i="59"/>
  <c r="N18" i="59"/>
  <c r="N17" i="59"/>
  <c r="N16" i="59"/>
  <c r="N15" i="59"/>
  <c r="N14" i="59"/>
  <c r="N13" i="59"/>
  <c r="N12" i="59"/>
  <c r="N11" i="59"/>
  <c r="N10" i="59"/>
  <c r="N9" i="59"/>
  <c r="Q7" i="59"/>
  <c r="Q8" i="59"/>
  <c r="Q26" i="59"/>
  <c r="Q27" i="59"/>
  <c r="Q28" i="59"/>
  <c r="Q29" i="59"/>
  <c r="F29" i="59" s="1"/>
  <c r="Q30" i="59"/>
  <c r="F31" i="59" s="1"/>
  <c r="Q31" i="59"/>
  <c r="Q32" i="59"/>
  <c r="Q33" i="59"/>
  <c r="Q34" i="59"/>
  <c r="F35" i="59" s="1"/>
  <c r="Q35" i="59"/>
  <c r="Q36" i="59"/>
  <c r="Q37" i="59"/>
  <c r="Q38" i="59"/>
  <c r="F39" i="59" s="1"/>
  <c r="Q39" i="59"/>
  <c r="Q40" i="59"/>
  <c r="Q41" i="59"/>
  <c r="Q6" i="59"/>
  <c r="Q5" i="59"/>
  <c r="AB5" i="59" s="1"/>
  <c r="P7" i="59"/>
  <c r="P8" i="59"/>
  <c r="P26" i="59"/>
  <c r="P27" i="59"/>
  <c r="P28" i="59"/>
  <c r="P29" i="59"/>
  <c r="P30" i="59"/>
  <c r="E31" i="59" s="1"/>
  <c r="P31" i="59"/>
  <c r="AA30" i="59" s="1"/>
  <c r="P32" i="59"/>
  <c r="P33" i="59"/>
  <c r="P34" i="59"/>
  <c r="P35" i="59"/>
  <c r="P36" i="59"/>
  <c r="P37" i="59"/>
  <c r="AA37" i="59" s="1"/>
  <c r="P41" i="59"/>
  <c r="P6" i="59"/>
  <c r="AA6" i="59" s="1"/>
  <c r="P5" i="59"/>
  <c r="O7" i="59"/>
  <c r="O8" i="59"/>
  <c r="O26" i="59"/>
  <c r="O27" i="59"/>
  <c r="O28" i="59"/>
  <c r="O29" i="59"/>
  <c r="O30" i="59"/>
  <c r="O31" i="59"/>
  <c r="O32" i="59"/>
  <c r="O33" i="59"/>
  <c r="O34" i="59"/>
  <c r="C35" i="59" s="1"/>
  <c r="O35" i="59"/>
  <c r="O36" i="59"/>
  <c r="O37" i="59"/>
  <c r="O41" i="59"/>
  <c r="O6" i="59"/>
  <c r="O5" i="59"/>
  <c r="Y5" i="59" s="1"/>
  <c r="Z5" i="59" s="1"/>
  <c r="N5" i="59"/>
  <c r="N6" i="59"/>
  <c r="N7" i="59"/>
  <c r="N8" i="59"/>
  <c r="N26" i="59"/>
  <c r="N27" i="59"/>
  <c r="N28" i="59"/>
  <c r="N29" i="59"/>
  <c r="B29" i="59" s="1"/>
  <c r="N30" i="59"/>
  <c r="N31" i="59"/>
  <c r="N32" i="59"/>
  <c r="N33" i="59"/>
  <c r="N34" i="59"/>
  <c r="N35" i="59"/>
  <c r="N36" i="59"/>
  <c r="N37" i="59"/>
  <c r="N38" i="59"/>
  <c r="B39" i="59" s="1"/>
  <c r="B40" i="59" s="1"/>
  <c r="N39" i="59"/>
  <c r="N40" i="59"/>
  <c r="N41" i="59"/>
  <c r="AH5" i="59"/>
  <c r="AG5" i="59"/>
  <c r="AE5" i="59"/>
  <c r="AF5" i="59" s="1"/>
  <c r="AD5" i="59"/>
  <c r="AH6" i="59"/>
  <c r="AG6" i="59"/>
  <c r="AE6" i="59"/>
  <c r="AF6" i="59" s="1"/>
  <c r="AD6" i="59"/>
  <c r="AH7" i="59"/>
  <c r="AG7" i="59"/>
  <c r="AE7" i="59"/>
  <c r="AF7" i="59" s="1"/>
  <c r="AD7" i="59"/>
  <c r="AH8" i="59"/>
  <c r="AG8" i="59"/>
  <c r="AE8" i="59"/>
  <c r="AF8" i="59" s="1"/>
  <c r="AD8" i="59"/>
  <c r="G16" i="65"/>
  <c r="F16" i="65"/>
  <c r="E16" i="65"/>
  <c r="G13" i="65"/>
  <c r="E13" i="65"/>
  <c r="AH9" i="59"/>
  <c r="AG9" i="59"/>
  <c r="AE9" i="59"/>
  <c r="AF9" i="59" s="1"/>
  <c r="AD9" i="59"/>
  <c r="R43" i="68"/>
  <c r="R40" i="68"/>
  <c r="R41" i="68" s="1"/>
  <c r="F36" i="68"/>
  <c r="R34" i="68"/>
  <c r="R33" i="68"/>
  <c r="C30" i="68"/>
  <c r="R27" i="68"/>
  <c r="M24" i="68"/>
  <c r="R23" i="68"/>
  <c r="C23" i="68"/>
  <c r="D23" i="68" s="1"/>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C29" i="68"/>
  <c r="F26" i="43"/>
  <c r="AH10" i="59"/>
  <c r="AG10" i="59"/>
  <c r="AE10" i="59"/>
  <c r="AF10" i="59" s="1"/>
  <c r="AD10" i="59"/>
  <c r="AH11" i="59"/>
  <c r="AG11" i="59"/>
  <c r="AE11" i="59"/>
  <c r="AF11" i="59" s="1"/>
  <c r="AD11" i="59"/>
  <c r="AH12" i="59"/>
  <c r="AG12" i="59"/>
  <c r="AE12" i="59"/>
  <c r="AF12" i="59" s="1"/>
  <c r="AD12" i="59"/>
  <c r="AH13" i="59"/>
  <c r="AG13" i="59"/>
  <c r="AE13" i="59"/>
  <c r="AF13" i="59" s="1"/>
  <c r="AD13" i="59"/>
  <c r="AH14" i="59"/>
  <c r="AG14" i="59"/>
  <c r="AE14" i="59"/>
  <c r="AF14" i="59"/>
  <c r="AD14" i="59"/>
  <c r="C16" i="11"/>
  <c r="C15" i="11"/>
  <c r="C14" i="11"/>
  <c r="C9" i="11"/>
  <c r="C8" i="11"/>
  <c r="K36" i="36"/>
  <c r="K38" i="35"/>
  <c r="K42" i="37"/>
  <c r="K49" i="34"/>
  <c r="K48" i="33"/>
  <c r="K48" i="21"/>
  <c r="K44" i="40"/>
  <c r="K49" i="39"/>
  <c r="E77" i="9"/>
  <c r="F77" i="9"/>
  <c r="AH15" i="59"/>
  <c r="AG15" i="59"/>
  <c r="AE15" i="59"/>
  <c r="AF15" i="59" s="1"/>
  <c r="AD15" i="59"/>
  <c r="A21" i="31"/>
  <c r="C109" i="9"/>
  <c r="AH16" i="59"/>
  <c r="AG16" i="59"/>
  <c r="AE16" i="59"/>
  <c r="AF16" i="59" s="1"/>
  <c r="AD16" i="59"/>
  <c r="AH17" i="59"/>
  <c r="AG17" i="59"/>
  <c r="AE17" i="59"/>
  <c r="AF17" i="59" s="1"/>
  <c r="AD17" i="59"/>
  <c r="AH18" i="59"/>
  <c r="AG18" i="59"/>
  <c r="AE18" i="59"/>
  <c r="AF18" i="59" s="1"/>
  <c r="AD18" i="59"/>
  <c r="AH19" i="59"/>
  <c r="AG19" i="59"/>
  <c r="AE19" i="59"/>
  <c r="AF19" i="59" s="1"/>
  <c r="AD19" i="59"/>
  <c r="AH20" i="59"/>
  <c r="AG20" i="59"/>
  <c r="AE20" i="59"/>
  <c r="AF20" i="59" s="1"/>
  <c r="AD20" i="59"/>
  <c r="AH21" i="59"/>
  <c r="AG21" i="59"/>
  <c r="AE21" i="59"/>
  <c r="AF21" i="59" s="1"/>
  <c r="AD21" i="59"/>
  <c r="L3" i="59"/>
  <c r="AH3" i="59" s="1"/>
  <c r="K3" i="59"/>
  <c r="AG3" i="59" s="1"/>
  <c r="J3" i="59"/>
  <c r="AE3" i="59" s="1"/>
  <c r="AF3" i="59" s="1"/>
  <c r="I3" i="59"/>
  <c r="AD3" i="59" s="1"/>
  <c r="AH22" i="59"/>
  <c r="AG22" i="59"/>
  <c r="AE22" i="59"/>
  <c r="AF22" i="59" s="1"/>
  <c r="AD22" i="59"/>
  <c r="AH23" i="59"/>
  <c r="AG23" i="59"/>
  <c r="AE23" i="59"/>
  <c r="AF23" i="59" s="1"/>
  <c r="AD23" i="59"/>
  <c r="M23" i="46"/>
  <c r="D26" i="59"/>
  <c r="AH24" i="59"/>
  <c r="AG24" i="59"/>
  <c r="AE24" i="59"/>
  <c r="AF24" i="59" s="1"/>
  <c r="AD24" i="59"/>
  <c r="AE25" i="59"/>
  <c r="AF25" i="59" s="1"/>
  <c r="AG25" i="59"/>
  <c r="AH25" i="59"/>
  <c r="AD25" i="59"/>
  <c r="L4" i="9"/>
  <c r="M4" i="9"/>
  <c r="K59" i="15"/>
  <c r="P62" i="15" s="1"/>
  <c r="Q74" i="44"/>
  <c r="Q61" i="44"/>
  <c r="Q60" i="44"/>
  <c r="Q53" i="44"/>
  <c r="J51" i="44"/>
  <c r="J52" i="44" s="1"/>
  <c r="M48" i="44"/>
  <c r="A16" i="55"/>
  <c r="A15" i="55"/>
  <c r="B66" i="63" s="1"/>
  <c r="A14" i="55"/>
  <c r="A11" i="55"/>
  <c r="B62" i="63" s="1"/>
  <c r="A10" i="55"/>
  <c r="B61" i="63" s="1"/>
  <c r="A9" i="55"/>
  <c r="B60" i="63" s="1"/>
  <c r="A8" i="55"/>
  <c r="B59" i="63" s="1"/>
  <c r="A6" i="54"/>
  <c r="A8" i="54"/>
  <c r="B53" i="63" s="1"/>
  <c r="A7" i="54"/>
  <c r="A27" i="51"/>
  <c r="B20" i="63" s="1"/>
  <c r="C29" i="59"/>
  <c r="T29" i="59" s="1"/>
  <c r="K75" i="9"/>
  <c r="K6" i="4"/>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X37" i="59"/>
  <c r="Y38" i="59"/>
  <c r="Z38" i="59" s="1"/>
  <c r="AA38" i="59"/>
  <c r="Y39" i="59"/>
  <c r="Z39" i="59" s="1"/>
  <c r="S2" i="31"/>
  <c r="M2" i="31"/>
  <c r="N2" i="31"/>
  <c r="O2" i="31"/>
  <c r="P2" i="31"/>
  <c r="Q2" i="31"/>
  <c r="R2" i="31"/>
  <c r="C3" i="65"/>
  <c r="T25" i="59"/>
  <c r="D25" i="59"/>
  <c r="B76" i="63"/>
  <c r="M5" i="54"/>
  <c r="B41" i="63" s="1"/>
  <c r="A23" i="51"/>
  <c r="B17" i="63" s="1"/>
  <c r="AA9" i="46"/>
  <c r="AA10" i="46" s="1"/>
  <c r="AB9" i="46"/>
  <c r="AB10" i="46" s="1"/>
  <c r="AC9" i="46"/>
  <c r="AC10" i="46" s="1"/>
  <c r="AD9" i="46"/>
  <c r="AD10" i="46" s="1"/>
  <c r="AE9" i="46"/>
  <c r="AE10" i="46" s="1"/>
  <c r="AF9" i="46"/>
  <c r="AF10" i="46"/>
  <c r="AG9" i="46"/>
  <c r="AG10" i="46" s="1"/>
  <c r="AH9" i="46"/>
  <c r="AH10" i="46" s="1"/>
  <c r="AI9" i="46"/>
  <c r="AI10" i="46" s="1"/>
  <c r="AJ9" i="46"/>
  <c r="AJ10" i="46" s="1"/>
  <c r="Z9" i="46"/>
  <c r="Z10" i="46" s="1"/>
  <c r="A21" i="64"/>
  <c r="B75" i="63" s="1"/>
  <c r="B73" i="63"/>
  <c r="A27" i="64"/>
  <c r="A15" i="64"/>
  <c r="A14" i="64"/>
  <c r="A11" i="64"/>
  <c r="A3" i="64"/>
  <c r="A45" i="9"/>
  <c r="K40" i="9" s="1"/>
  <c r="A44" i="9"/>
  <c r="C57" i="10"/>
  <c r="A28" i="51"/>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E80"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C72" i="59" s="1"/>
  <c r="D72" i="59" s="1"/>
  <c r="B73" i="59"/>
  <c r="S73" i="59" s="1"/>
  <c r="Q72" i="59"/>
  <c r="P72" i="59"/>
  <c r="O72" i="59"/>
  <c r="N72" i="59"/>
  <c r="Q71" i="59"/>
  <c r="P71" i="59"/>
  <c r="O71" i="59"/>
  <c r="N71" i="59"/>
  <c r="Q70" i="59"/>
  <c r="P70" i="59"/>
  <c r="O70" i="59"/>
  <c r="N70" i="59"/>
  <c r="D70" i="59"/>
  <c r="F69" i="59"/>
  <c r="V69" i="59" s="1"/>
  <c r="E69" i="59"/>
  <c r="E68" i="59" s="1"/>
  <c r="E67" i="59" s="1"/>
  <c r="P66" i="59" s="1"/>
  <c r="C69" i="59"/>
  <c r="T69" i="59" s="1"/>
  <c r="B69" i="59"/>
  <c r="N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P42" i="59"/>
  <c r="E43" i="59" s="1"/>
  <c r="E44" i="59" s="1"/>
  <c r="E45" i="59" s="1"/>
  <c r="U45" i="59" s="1"/>
  <c r="O42" i="59"/>
  <c r="C43" i="59" s="1"/>
  <c r="N42" i="59"/>
  <c r="B43" i="59" s="1"/>
  <c r="D42" i="59"/>
  <c r="AB40" i="59"/>
  <c r="Y40" i="59"/>
  <c r="Z40" i="59" s="1"/>
  <c r="D38" i="59"/>
  <c r="D34" i="59"/>
  <c r="B31" i="59"/>
  <c r="B32" i="59" s="1"/>
  <c r="B33" i="59" s="1"/>
  <c r="S33" i="59" s="1"/>
  <c r="D30" i="59"/>
  <c r="AA27" i="59"/>
  <c r="AA40" i="59"/>
  <c r="V45" i="59"/>
  <c r="D39" i="59"/>
  <c r="D47" i="59"/>
  <c r="C60" i="59"/>
  <c r="D60" i="59" s="1"/>
  <c r="C68" i="59"/>
  <c r="O68" i="59" s="1"/>
  <c r="P69" i="59"/>
  <c r="D73" i="59"/>
  <c r="E79" i="59"/>
  <c r="C84" i="59"/>
  <c r="C83" i="59" s="1"/>
  <c r="D83" i="59" s="1"/>
  <c r="U16" i="4"/>
  <c r="S16" i="4"/>
  <c r="T16" i="4" s="1"/>
  <c r="Q16" i="4"/>
  <c r="O16" i="4"/>
  <c r="P16" i="4" s="1"/>
  <c r="M16" i="4"/>
  <c r="K16" i="4"/>
  <c r="D84" i="59"/>
  <c r="D40" i="59"/>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c r="C18" i="35"/>
  <c r="D68" i="35"/>
  <c r="E68" i="35" s="1"/>
  <c r="F68" i="35" s="1"/>
  <c r="G68" i="35" s="1"/>
  <c r="Q21" i="37"/>
  <c r="Z21" i="37" s="1"/>
  <c r="F21" i="37"/>
  <c r="AA21" i="37" s="1"/>
  <c r="C21" i="37"/>
  <c r="D77" i="37"/>
  <c r="E77" i="37" s="1"/>
  <c r="F77" i="37" s="1"/>
  <c r="G77" i="37" s="1"/>
  <c r="Q21" i="34"/>
  <c r="Z21" i="34" s="1"/>
  <c r="C21" i="34"/>
  <c r="Q21" i="33"/>
  <c r="Z21" i="33" s="1"/>
  <c r="C21" i="33"/>
  <c r="D83" i="33"/>
  <c r="E83" i="33" s="1"/>
  <c r="F83" i="33" s="1"/>
  <c r="G83" i="33" s="1"/>
  <c r="Q21" i="21"/>
  <c r="Z21" i="21" s="1"/>
  <c r="C21" i="21"/>
  <c r="Q27" i="40"/>
  <c r="Z27" i="40" s="1"/>
  <c r="D95" i="40"/>
  <c r="E95" i="40" s="1"/>
  <c r="F95" i="40" s="1"/>
  <c r="F27" i="40"/>
  <c r="AA27" i="40" s="1"/>
  <c r="Q31" i="39"/>
  <c r="Z31" i="39" s="1"/>
  <c r="D104" i="39"/>
  <c r="E104" i="39" s="1"/>
  <c r="F104" i="39" s="1"/>
  <c r="F31" i="39"/>
  <c r="B88" i="46"/>
  <c r="B68" i="46"/>
  <c r="S18" i="35"/>
  <c r="S21" i="34"/>
  <c r="S21" i="21"/>
  <c r="C27" i="40"/>
  <c r="C31" i="39"/>
  <c r="B57" i="46"/>
  <c r="B77" i="46"/>
  <c r="H18" i="35"/>
  <c r="J18" i="35"/>
  <c r="H21" i="37"/>
  <c r="J21" i="37"/>
  <c r="F84" i="34"/>
  <c r="G84" i="34" s="1"/>
  <c r="F83" i="21"/>
  <c r="G83" i="21" s="1"/>
  <c r="H27" i="40"/>
  <c r="H31" i="39"/>
  <c r="G17" i="11"/>
  <c r="F33" i="15"/>
  <c r="F60" i="15"/>
  <c r="K2" i="4"/>
  <c r="K1" i="4"/>
  <c r="B1" i="4"/>
  <c r="C112" i="9"/>
  <c r="C7" i="11"/>
  <c r="F83" i="46"/>
  <c r="H84" i="46" s="1"/>
  <c r="D1" i="46"/>
  <c r="F117" i="46"/>
  <c r="K61" i="46"/>
  <c r="J61" i="46" s="1"/>
  <c r="K53" i="46"/>
  <c r="D53" i="46"/>
  <c r="B86" i="46"/>
  <c r="B85" i="46"/>
  <c r="B74" i="46"/>
  <c r="B63" i="46"/>
  <c r="B52" i="46"/>
  <c r="M90" i="46"/>
  <c r="N90" i="46" s="1"/>
  <c r="K90" i="46"/>
  <c r="J90" i="46" s="1"/>
  <c r="D90" i="46"/>
  <c r="M89" i="46"/>
  <c r="N89" i="46" s="1"/>
  <c r="D89" i="46"/>
  <c r="K89" i="46"/>
  <c r="J89" i="46" s="1"/>
  <c r="M88" i="46"/>
  <c r="N88" i="46" s="1"/>
  <c r="K88" i="46"/>
  <c r="J88" i="46" s="1"/>
  <c r="M87" i="46"/>
  <c r="N87" i="46" s="1"/>
  <c r="K87" i="46"/>
  <c r="J87" i="46"/>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c r="M69" i="46"/>
  <c r="N69" i="46" s="1"/>
  <c r="K69" i="46"/>
  <c r="D69" i="46"/>
  <c r="M68" i="46"/>
  <c r="N68" i="46" s="1"/>
  <c r="K68" i="46"/>
  <c r="J68" i="46"/>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M56" i="46"/>
  <c r="N56" i="46"/>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D57" i="46"/>
  <c r="Q73" i="15"/>
  <c r="Q60" i="15"/>
  <c r="Q59" i="15"/>
  <c r="Q52"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s="1"/>
  <c r="C61" i="40" s="1"/>
  <c r="H60" i="40"/>
  <c r="I60" i="40" s="1"/>
  <c r="C60" i="40" s="1"/>
  <c r="H59" i="40"/>
  <c r="H58" i="40"/>
  <c r="H57" i="40"/>
  <c r="I57" i="40" s="1"/>
  <c r="C57" i="40" s="1"/>
  <c r="H56" i="40"/>
  <c r="I56" i="40" s="1"/>
  <c r="C56" i="40" s="1"/>
  <c r="H55" i="40"/>
  <c r="I55" i="40" s="1"/>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D14" i="4"/>
  <c r="G36" i="4"/>
  <c r="K2" i="54"/>
  <c r="B23" i="63" s="1"/>
  <c r="A3" i="51"/>
  <c r="R41" i="4"/>
  <c r="Q41" i="4"/>
  <c r="P41" i="4"/>
  <c r="O41" i="4"/>
  <c r="N41" i="4"/>
  <c r="M41" i="4"/>
  <c r="L41" i="4"/>
  <c r="K40" i="4"/>
  <c r="T40" i="4" s="1"/>
  <c r="F23" i="4"/>
  <c r="F10" i="1"/>
  <c r="I24" i="46"/>
  <c r="H19" i="4"/>
  <c r="F9" i="1"/>
  <c r="AP9" i="1" s="1"/>
  <c r="G19" i="4"/>
  <c r="F12" i="1"/>
  <c r="AP12" i="1" s="1"/>
  <c r="F19" i="4"/>
  <c r="F11" i="1"/>
  <c r="AP11" i="1" s="1"/>
  <c r="E19" i="4"/>
  <c r="AP8" i="1"/>
  <c r="G7" i="1"/>
  <c r="B2" i="52"/>
  <c r="B15" i="52" s="1"/>
  <c r="F41" i="4"/>
  <c r="J52" i="40" s="1"/>
  <c r="H42" i="46"/>
  <c r="H41" i="46"/>
  <c r="H40" i="46"/>
  <c r="H39" i="46"/>
  <c r="H38" i="46"/>
  <c r="H37" i="46"/>
  <c r="C10" i="46"/>
  <c r="C11" i="46" s="1"/>
  <c r="C9" i="46"/>
  <c r="C35" i="4"/>
  <c r="E16" i="12"/>
  <c r="F14" i="12"/>
  <c r="F17" i="12"/>
  <c r="E21" i="12"/>
  <c r="E22" i="12"/>
  <c r="F23" i="12"/>
  <c r="C43" i="9"/>
  <c r="K47" i="9" s="1"/>
  <c r="B65" i="63"/>
  <c r="I73" i="9"/>
  <c r="F73" i="9"/>
  <c r="P73" i="9" s="1"/>
  <c r="D107" i="9"/>
  <c r="C107" i="9" s="1"/>
  <c r="C105" i="9" s="1"/>
  <c r="C110" i="9" s="1"/>
  <c r="C17" i="9"/>
  <c r="D17" i="9"/>
  <c r="F17" i="44"/>
  <c r="F19" i="44"/>
  <c r="F22" i="44"/>
  <c r="F25" i="44"/>
  <c r="D25" i="44" s="1"/>
  <c r="F23" i="44"/>
  <c r="E16" i="43"/>
  <c r="F14"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O75" i="9"/>
  <c r="L75" i="9"/>
  <c r="P75" i="9"/>
  <c r="O74" i="9"/>
  <c r="O73" i="9"/>
  <c r="E66" i="9"/>
  <c r="O72" i="9" s="1"/>
  <c r="F74" i="9"/>
  <c r="P74" i="9" s="1"/>
  <c r="K44" i="9"/>
  <c r="K43" i="9"/>
  <c r="B23" i="1"/>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c r="I44" i="35"/>
  <c r="J44" i="35" s="1"/>
  <c r="G44" i="35"/>
  <c r="H44" i="35" s="1"/>
  <c r="E44" i="35"/>
  <c r="F44" i="35" s="1"/>
  <c r="I54" i="33"/>
  <c r="J54" i="33"/>
  <c r="G54" i="33"/>
  <c r="E54" i="33"/>
  <c r="F54" i="33" s="1"/>
  <c r="H9" i="12"/>
  <c r="I9" i="12"/>
  <c r="J9" i="12"/>
  <c r="K9" i="12"/>
  <c r="G111" i="21"/>
  <c r="H111" i="21"/>
  <c r="B111" i="39"/>
  <c r="B113" i="39"/>
  <c r="F38" i="39" s="1"/>
  <c r="J30" i="36"/>
  <c r="AC30" i="36" s="1"/>
  <c r="H30" i="36"/>
  <c r="U30" i="36" s="1"/>
  <c r="F30" i="36"/>
  <c r="AA30" i="36" s="1"/>
  <c r="C26" i="35"/>
  <c r="C79" i="35" s="1"/>
  <c r="J31" i="35"/>
  <c r="AC31" i="35" s="1"/>
  <c r="H31" i="35"/>
  <c r="U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D114" i="34"/>
  <c r="D113" i="33"/>
  <c r="H111" i="33"/>
  <c r="I111" i="33" s="1"/>
  <c r="J111" i="33" s="1"/>
  <c r="K111" i="33" s="1"/>
  <c r="L111" i="33" s="1"/>
  <c r="M111" i="33" s="1"/>
  <c r="S515" i="31"/>
  <c r="S517" i="31"/>
  <c r="S519" i="31"/>
  <c r="S521" i="31"/>
  <c r="S523" i="31"/>
  <c r="U41" i="2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s="1"/>
  <c r="AA42" i="40" s="1"/>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D97" i="40"/>
  <c r="E97" i="40" s="1"/>
  <c r="F97" i="40" s="1"/>
  <c r="G97" i="40" s="1"/>
  <c r="H97" i="40" s="1"/>
  <c r="I97" i="40" s="1"/>
  <c r="J97" i="40" s="1"/>
  <c r="K97" i="40" s="1"/>
  <c r="L97" i="40" s="1"/>
  <c r="M97" i="40" s="1"/>
  <c r="B96" i="40"/>
  <c r="D93" i="40"/>
  <c r="E93" i="40" s="1"/>
  <c r="F93" i="40" s="1"/>
  <c r="G93" i="40" s="1"/>
  <c r="D91" i="40"/>
  <c r="D89" i="40"/>
  <c r="H21" i="40"/>
  <c r="AB21" i="40" s="1"/>
  <c r="D87" i="40"/>
  <c r="E87" i="40" s="1"/>
  <c r="F87" i="40" s="1"/>
  <c r="G87" i="40" s="1"/>
  <c r="D85" i="40"/>
  <c r="E85" i="40" s="1"/>
  <c r="F85" i="40" s="1"/>
  <c r="G85" i="40" s="1"/>
  <c r="J17" i="40"/>
  <c r="W17" i="40" s="1"/>
  <c r="B82" i="40"/>
  <c r="F16" i="40"/>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F46" i="39" s="1"/>
  <c r="B128" i="39"/>
  <c r="F45" i="39" s="1"/>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J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B110" i="37"/>
  <c r="B108" i="37"/>
  <c r="C23" i="37"/>
  <c r="C19" i="37"/>
  <c r="C17" i="37"/>
  <c r="C15" i="37"/>
  <c r="B112" i="37"/>
  <c r="J40" i="37" s="1"/>
  <c r="D107" i="37"/>
  <c r="E107" i="37"/>
  <c r="F107" i="37" s="1"/>
  <c r="G107" i="37" s="1"/>
  <c r="H107" i="37" s="1"/>
  <c r="I107" i="37" s="1"/>
  <c r="J107" i="37" s="1"/>
  <c r="K107" i="37" s="1"/>
  <c r="L107" i="37" s="1"/>
  <c r="M107" i="37" s="1"/>
  <c r="D105" i="37"/>
  <c r="E105" i="37" s="1"/>
  <c r="H36" i="37"/>
  <c r="AB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c r="D52" i="37" s="1"/>
  <c r="E52" i="37" s="1"/>
  <c r="F52" i="37" s="1"/>
  <c r="G52" i="37" s="1"/>
  <c r="H52" i="37" s="1"/>
  <c r="I52" i="37" s="1"/>
  <c r="J52" i="37" s="1"/>
  <c r="K52" i="37" s="1"/>
  <c r="L52" i="37" s="1"/>
  <c r="M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J32" i="36" s="1"/>
  <c r="B95" i="36"/>
  <c r="H34" i="36"/>
  <c r="U34" i="36" s="1"/>
  <c r="D83" i="36"/>
  <c r="E83" i="36"/>
  <c r="F83" i="36" s="1"/>
  <c r="G83" i="36" s="1"/>
  <c r="H83" i="36" s="1"/>
  <c r="I83" i="36" s="1"/>
  <c r="J83" i="36" s="1"/>
  <c r="K83" i="36" s="1"/>
  <c r="L83" i="36" s="1"/>
  <c r="M83" i="36" s="1"/>
  <c r="D78" i="36"/>
  <c r="J26" i="36"/>
  <c r="W26" i="36" s="1"/>
  <c r="B75" i="36"/>
  <c r="B73" i="36"/>
  <c r="H24" i="36" s="1"/>
  <c r="AB24" i="36" s="1"/>
  <c r="B71" i="36"/>
  <c r="F23" i="36" s="1"/>
  <c r="AA23" i="36" s="1"/>
  <c r="D70" i="36"/>
  <c r="H22" i="36"/>
  <c r="AB22" i="36" s="1"/>
  <c r="D68" i="36"/>
  <c r="E68" i="36" s="1"/>
  <c r="D64" i="36"/>
  <c r="E64" i="36" s="1"/>
  <c r="F64" i="36" s="1"/>
  <c r="G64" i="36" s="1"/>
  <c r="J16" i="36"/>
  <c r="AC16" i="36" s="1"/>
  <c r="D62" i="36"/>
  <c r="E62" i="36" s="1"/>
  <c r="F62" i="36" s="1"/>
  <c r="G62" i="36" s="1"/>
  <c r="B59" i="36"/>
  <c r="H13" i="36" s="1"/>
  <c r="B57" i="36"/>
  <c r="H12" i="36" s="1"/>
  <c r="B55" i="36"/>
  <c r="F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J34" i="35" s="1"/>
  <c r="AC34" i="35" s="1"/>
  <c r="B77" i="35"/>
  <c r="B75" i="35"/>
  <c r="J24" i="35"/>
  <c r="AC24" i="35" s="1"/>
  <c r="B73" i="35"/>
  <c r="J23" i="35" s="1"/>
  <c r="B57" i="35"/>
  <c r="H11" i="35" s="1"/>
  <c r="B61" i="35"/>
  <c r="J13" i="35" s="1"/>
  <c r="B59" i="35"/>
  <c r="H12" i="35" s="1"/>
  <c r="U45"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c r="F66" i="35" s="1"/>
  <c r="G66" i="35" s="1"/>
  <c r="D64" i="35"/>
  <c r="E64" i="35" s="1"/>
  <c r="F64" i="35" s="1"/>
  <c r="G64" i="35" s="1"/>
  <c r="C53" i="35"/>
  <c r="H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c r="Q24" i="35"/>
  <c r="Z24" i="35" s="1"/>
  <c r="Q23" i="35"/>
  <c r="Z23" i="35" s="1"/>
  <c r="Q22" i="35"/>
  <c r="Z22" i="35" s="1"/>
  <c r="Q20" i="35"/>
  <c r="Z20" i="35" s="1"/>
  <c r="Q16" i="35"/>
  <c r="Z16" i="35" s="1"/>
  <c r="Q14" i="35"/>
  <c r="Z14" i="35" s="1"/>
  <c r="Q13" i="35"/>
  <c r="Z13" i="35" s="1"/>
  <c r="Q12" i="35"/>
  <c r="Z12" i="35"/>
  <c r="F12" i="35"/>
  <c r="AA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S28" i="34"/>
  <c r="D88" i="34"/>
  <c r="E88" i="34"/>
  <c r="F88" i="34" s="1"/>
  <c r="G88" i="34" s="1"/>
  <c r="H88" i="34" s="1"/>
  <c r="I88" i="34" s="1"/>
  <c r="J88" i="34" s="1"/>
  <c r="K88" i="34" s="1"/>
  <c r="L88" i="34" s="1"/>
  <c r="M88" i="34" s="1"/>
  <c r="D70" i="34"/>
  <c r="E70" i="34" s="1"/>
  <c r="F70" i="34" s="1"/>
  <c r="G70" i="34" s="1"/>
  <c r="H70" i="34" s="1"/>
  <c r="I70" i="34" s="1"/>
  <c r="J70" i="34" s="1"/>
  <c r="K70" i="34" s="1"/>
  <c r="L70" i="34" s="1"/>
  <c r="M70" i="34" s="1"/>
  <c r="M68" i="34"/>
  <c r="L68" i="34"/>
  <c r="K68" i="34"/>
  <c r="J68" i="34"/>
  <c r="I68" i="34"/>
  <c r="H68" i="34"/>
  <c r="G68" i="34"/>
  <c r="F68" i="34"/>
  <c r="E68" i="34"/>
  <c r="D68" i="34"/>
  <c r="C68" i="34"/>
  <c r="P50" i="34"/>
  <c r="P49" i="34"/>
  <c r="P48" i="34"/>
  <c r="Q47" i="34"/>
  <c r="Z47" i="34" s="1"/>
  <c r="Q46" i="34"/>
  <c r="Z46" i="34"/>
  <c r="Q45" i="34"/>
  <c r="Z45" i="34" s="1"/>
  <c r="Q44" i="34"/>
  <c r="Z44" i="34" s="1"/>
  <c r="Q43" i="34"/>
  <c r="Z43" i="34" s="1"/>
  <c r="Q42" i="34"/>
  <c r="Z42" i="34" s="1"/>
  <c r="Q41" i="34"/>
  <c r="Z41" i="34" s="1"/>
  <c r="Q40" i="34"/>
  <c r="Z40" i="34" s="1"/>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S10" i="34"/>
  <c r="Q9" i="34"/>
  <c r="Z9" i="34" s="1"/>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s="1"/>
  <c r="F87" i="33" s="1"/>
  <c r="G87" i="33" s="1"/>
  <c r="H87" i="33" s="1"/>
  <c r="I87" i="33" s="1"/>
  <c r="J87" i="33" s="1"/>
  <c r="K87" i="33" s="1"/>
  <c r="L87" i="33" s="1"/>
  <c r="M87" i="33" s="1"/>
  <c r="D85" i="33"/>
  <c r="E85" i="33" s="1"/>
  <c r="F85" i="33" s="1"/>
  <c r="G85" i="33" s="1"/>
  <c r="D81" i="33"/>
  <c r="E81" i="33"/>
  <c r="F81" i="33" s="1"/>
  <c r="G81"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H54" i="33"/>
  <c r="P49" i="33"/>
  <c r="P48" i="33"/>
  <c r="P47" i="33"/>
  <c r="Q46" i="33"/>
  <c r="Z46" i="33" s="1"/>
  <c r="Q45" i="33"/>
  <c r="Z45" i="33" s="1"/>
  <c r="Q44" i="33"/>
  <c r="Z44" i="33" s="1"/>
  <c r="Q43" i="33"/>
  <c r="Z43" i="33" s="1"/>
  <c r="Q42" i="33"/>
  <c r="Z42" i="33" s="1"/>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s="1"/>
  <c r="Q9" i="33"/>
  <c r="Z9" i="33" s="1"/>
  <c r="W8" i="33"/>
  <c r="M102" i="21"/>
  <c r="D102" i="21"/>
  <c r="E102" i="21"/>
  <c r="F102" i="21"/>
  <c r="G102" i="21"/>
  <c r="H102" i="21"/>
  <c r="I102" i="21"/>
  <c r="J102" i="21"/>
  <c r="K102" i="21"/>
  <c r="L102" i="21"/>
  <c r="C102" i="21"/>
  <c r="S9" i="21"/>
  <c r="B90" i="46"/>
  <c r="C25" i="40"/>
  <c r="B83" i="46"/>
  <c r="B75" i="46"/>
  <c r="B73" i="46"/>
  <c r="B61" i="46"/>
  <c r="B50" i="46"/>
  <c r="B72" i="46"/>
  <c r="E54" i="21"/>
  <c r="F54" i="21" s="1"/>
  <c r="I54" i="21"/>
  <c r="J54" i="21" s="1"/>
  <c r="G54" i="21"/>
  <c r="H54" i="21" s="1"/>
  <c r="E125" i="21"/>
  <c r="F125" i="21" s="1"/>
  <c r="G125" i="21" s="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s="1"/>
  <c r="Q39" i="21"/>
  <c r="Z39" i="21"/>
  <c r="Q40" i="21"/>
  <c r="Z40" i="21" s="1"/>
  <c r="Q41" i="21"/>
  <c r="Z41" i="21" s="1"/>
  <c r="Q42" i="21"/>
  <c r="Z42" i="21" s="1"/>
  <c r="Q43" i="21"/>
  <c r="Z43" i="21" s="1"/>
  <c r="Q44" i="21"/>
  <c r="Z44" i="21" s="1"/>
  <c r="Q45" i="21"/>
  <c r="Z45" i="21" s="1"/>
  <c r="Q46" i="21"/>
  <c r="Z46" i="21" s="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U12" i="21"/>
  <c r="W26" i="21"/>
  <c r="S41" i="21"/>
  <c r="W41" i="21"/>
  <c r="S10" i="39"/>
  <c r="E103" i="37"/>
  <c r="F103" i="37" s="1"/>
  <c r="G103" i="37" s="1"/>
  <c r="H103" i="37" s="1"/>
  <c r="I103" i="37" s="1"/>
  <c r="J103" i="37" s="1"/>
  <c r="K103" i="37" s="1"/>
  <c r="L103" i="37" s="1"/>
  <c r="M103" i="37" s="1"/>
  <c r="F29" i="36"/>
  <c r="AA29" i="36" s="1"/>
  <c r="F16" i="36"/>
  <c r="AA16" i="36" s="1"/>
  <c r="AC31" i="36"/>
  <c r="J33" i="36"/>
  <c r="W33" i="36" s="1"/>
  <c r="W36" i="35"/>
  <c r="W31" i="35"/>
  <c r="S36" i="34"/>
  <c r="W9" i="34"/>
  <c r="W39" i="34"/>
  <c r="U9" i="33"/>
  <c r="W38" i="33"/>
  <c r="S40" i="33"/>
  <c r="W33" i="33"/>
  <c r="U38" i="33"/>
  <c r="S8" i="21"/>
  <c r="W8" i="21"/>
  <c r="W10" i="40"/>
  <c r="U11" i="40"/>
  <c r="U36" i="40"/>
  <c r="S40" i="39"/>
  <c r="C29" i="39"/>
  <c r="C23" i="39"/>
  <c r="U36" i="39"/>
  <c r="U9" i="21"/>
  <c r="J27" i="36"/>
  <c r="W27" i="36" s="1"/>
  <c r="J34" i="36"/>
  <c r="W34" i="36" s="1"/>
  <c r="J30" i="35"/>
  <c r="W30" i="35" s="1"/>
  <c r="F22" i="35"/>
  <c r="AA22" i="35" s="1"/>
  <c r="H10" i="35"/>
  <c r="U10" i="35" s="1"/>
  <c r="U29" i="36"/>
  <c r="U24" i="36"/>
  <c r="J29" i="36"/>
  <c r="AC29" i="36" s="1"/>
  <c r="F12" i="36"/>
  <c r="S12" i="36" s="1"/>
  <c r="F34" i="36"/>
  <c r="S34" i="36" s="1"/>
  <c r="AB8" i="36"/>
  <c r="H16" i="35"/>
  <c r="U16" i="35" s="1"/>
  <c r="H33" i="35"/>
  <c r="AB33" i="35" s="1"/>
  <c r="W8" i="35"/>
  <c r="AC8" i="35"/>
  <c r="F35" i="37"/>
  <c r="J34" i="37"/>
  <c r="W34" i="37" s="1"/>
  <c r="U42" i="34"/>
  <c r="E114" i="34"/>
  <c r="U36" i="34"/>
  <c r="S33" i="34"/>
  <c r="W8" i="34"/>
  <c r="W28" i="34"/>
  <c r="S38" i="33"/>
  <c r="E113" i="33"/>
  <c r="F113" i="33" s="1"/>
  <c r="G113" i="33" s="1"/>
  <c r="H113" i="33" s="1"/>
  <c r="I113" i="33" s="1"/>
  <c r="J113" i="33" s="1"/>
  <c r="K113" i="33" s="1"/>
  <c r="L113" i="33" s="1"/>
  <c r="M113" i="33" s="1"/>
  <c r="S19" i="33"/>
  <c r="S10" i="21"/>
  <c r="W40" i="33"/>
  <c r="AB30" i="36"/>
  <c r="H29" i="35"/>
  <c r="AB29" i="35" s="1"/>
  <c r="S34" i="37"/>
  <c r="W36" i="34"/>
  <c r="S37" i="33"/>
  <c r="W43" i="34"/>
  <c r="W42" i="34"/>
  <c r="S42" i="34"/>
  <c r="W38" i="34"/>
  <c r="S38" i="34"/>
  <c r="W37" i="33"/>
  <c r="S44" i="34"/>
  <c r="J10" i="35"/>
  <c r="W10" i="35"/>
  <c r="AL5" i="3"/>
  <c r="S30" i="21"/>
  <c r="U44" i="21"/>
  <c r="F33" i="35"/>
  <c r="S33" i="35" s="1"/>
  <c r="J33" i="35"/>
  <c r="W33" i="35" s="1"/>
  <c r="F30" i="35"/>
  <c r="AA30" i="35" s="1"/>
  <c r="H10" i="36"/>
  <c r="AB10" i="36" s="1"/>
  <c r="F28" i="36"/>
  <c r="S28" i="36" s="1"/>
  <c r="F27" i="36"/>
  <c r="S27" i="36" s="1"/>
  <c r="U29" i="21"/>
  <c r="S29" i="21"/>
  <c r="U31" i="21"/>
  <c r="S31" i="21"/>
  <c r="W45" i="21"/>
  <c r="U45" i="21"/>
  <c r="S27" i="33"/>
  <c r="S13" i="33"/>
  <c r="W29" i="33"/>
  <c r="W45" i="33"/>
  <c r="S45" i="33"/>
  <c r="F11" i="35"/>
  <c r="S11" i="35" s="1"/>
  <c r="H28" i="36"/>
  <c r="U28" i="36" s="1"/>
  <c r="J13" i="36"/>
  <c r="AC13" i="36" s="1"/>
  <c r="E89" i="37"/>
  <c r="F89" i="37" s="1"/>
  <c r="G89" i="37" s="1"/>
  <c r="H89" i="37" s="1"/>
  <c r="I89" i="37" s="1"/>
  <c r="J89" i="37" s="1"/>
  <c r="K89" i="37" s="1"/>
  <c r="L89" i="37" s="1"/>
  <c r="M89" i="37" s="1"/>
  <c r="J29" i="37"/>
  <c r="W29" i="37" s="1"/>
  <c r="F29" i="37"/>
  <c r="AA29" i="37" s="1"/>
  <c r="F105" i="37"/>
  <c r="G105" i="37" s="1"/>
  <c r="J37" i="37"/>
  <c r="AC37" i="37" s="1"/>
  <c r="H37" i="37"/>
  <c r="U37" i="37" s="1"/>
  <c r="H40" i="37"/>
  <c r="U40" i="37" s="1"/>
  <c r="F40" i="37"/>
  <c r="AA40" i="37" s="1"/>
  <c r="U14" i="33"/>
  <c r="S30" i="33"/>
  <c r="S44" i="33"/>
  <c r="W13" i="34"/>
  <c r="S29" i="34"/>
  <c r="U29" i="34"/>
  <c r="S31" i="34"/>
  <c r="W45" i="34"/>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AA38" i="37" s="1"/>
  <c r="F14" i="37"/>
  <c r="AA14" i="37" s="1"/>
  <c r="F27" i="37"/>
  <c r="AA27" i="37" s="1"/>
  <c r="J14" i="37"/>
  <c r="W14" i="37" s="1"/>
  <c r="J27" i="37"/>
  <c r="W27" i="37" s="1"/>
  <c r="U30" i="33"/>
  <c r="J36" i="37"/>
  <c r="AC36" i="37" s="1"/>
  <c r="S46" i="21"/>
  <c r="S28" i="21"/>
  <c r="W42" i="21"/>
  <c r="W31" i="34"/>
  <c r="U36" i="37"/>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U43" i="33"/>
  <c r="H17" i="37"/>
  <c r="U17" i="37" s="1"/>
  <c r="F23" i="37"/>
  <c r="AA23" i="37" s="1"/>
  <c r="AB27" i="37"/>
  <c r="E123" i="33"/>
  <c r="F123" i="33" s="1"/>
  <c r="G123" i="33" s="1"/>
  <c r="H123" i="33" s="1"/>
  <c r="I123" i="33" s="1"/>
  <c r="J123" i="33" s="1"/>
  <c r="K123" i="33" s="1"/>
  <c r="L123" i="33" s="1"/>
  <c r="M123" i="33" s="1"/>
  <c r="F22" i="36"/>
  <c r="S22" i="36" s="1"/>
  <c r="U35" i="34"/>
  <c r="S41" i="34"/>
  <c r="U41" i="34"/>
  <c r="W41" i="34"/>
  <c r="F10" i="35"/>
  <c r="AA10" i="35" s="1"/>
  <c r="F24" i="35"/>
  <c r="S24" i="35" s="1"/>
  <c r="H24" i="35"/>
  <c r="AB24" i="35" s="1"/>
  <c r="H23" i="37"/>
  <c r="AB23" i="37" s="1"/>
  <c r="J32" i="37"/>
  <c r="AC32" i="37" s="1"/>
  <c r="F36" i="37"/>
  <c r="S36" i="37" s="1"/>
  <c r="F37" i="37"/>
  <c r="AA37" i="37"/>
  <c r="U42" i="33"/>
  <c r="J23" i="37"/>
  <c r="AC23" i="37" s="1"/>
  <c r="F17" i="37"/>
  <c r="AA17" i="37" s="1"/>
  <c r="AC33" i="36"/>
  <c r="AC8" i="37"/>
  <c r="S39" i="33"/>
  <c r="J10" i="37"/>
  <c r="AC10" i="37" s="1"/>
  <c r="F36" i="35"/>
  <c r="S36" i="35" s="1"/>
  <c r="H9" i="37"/>
  <c r="U9" i="37" s="1"/>
  <c r="F11" i="37"/>
  <c r="S11" i="37" s="1"/>
  <c r="H12" i="37"/>
  <c r="AB12" i="37" s="1"/>
  <c r="H15" i="37"/>
  <c r="U15" i="37" s="1"/>
  <c r="E94" i="37"/>
  <c r="F94" i="37" s="1"/>
  <c r="G94" i="37" s="1"/>
  <c r="H94" i="37" s="1"/>
  <c r="I94" i="37" s="1"/>
  <c r="J94" i="37" s="1"/>
  <c r="K94" i="37" s="1"/>
  <c r="L94" i="37" s="1"/>
  <c r="M94" i="37" s="1"/>
  <c r="F31" i="37"/>
  <c r="S31" i="37" s="1"/>
  <c r="H31" i="37"/>
  <c r="AB31" i="37"/>
  <c r="J15" i="37"/>
  <c r="W15" i="37" s="1"/>
  <c r="J11" i="37"/>
  <c r="W11" i="37" s="1"/>
  <c r="U31" i="37"/>
  <c r="E89" i="40"/>
  <c r="F89" i="40" s="1"/>
  <c r="G89" i="40" s="1"/>
  <c r="F21" i="40"/>
  <c r="S21" i="40" s="1"/>
  <c r="J21" i="40"/>
  <c r="AC21" i="40" s="1"/>
  <c r="S27" i="31"/>
  <c r="J57" i="39"/>
  <c r="H13" i="40"/>
  <c r="U13" i="40" s="1"/>
  <c r="I4" i="4"/>
  <c r="K141" i="21"/>
  <c r="K143" i="21"/>
  <c r="K144" i="21"/>
  <c r="I58" i="40"/>
  <c r="C58" i="40" s="1"/>
  <c r="I59" i="40"/>
  <c r="C59" i="40" s="1"/>
  <c r="W9" i="33"/>
  <c r="F37" i="46"/>
  <c r="AB16" i="35"/>
  <c r="U43" i="21"/>
  <c r="AA13" i="40"/>
  <c r="R16" i="4"/>
  <c r="D3" i="35"/>
  <c r="G4" i="4"/>
  <c r="J16" i="35"/>
  <c r="W16" i="35" s="1"/>
  <c r="U42" i="21"/>
  <c r="W25" i="35"/>
  <c r="H13" i="39"/>
  <c r="AB13" i="39"/>
  <c r="F13" i="39"/>
  <c r="AA13" i="39" s="1"/>
  <c r="J13" i="39"/>
  <c r="AC13" i="39" s="1"/>
  <c r="H11" i="37"/>
  <c r="AB11" i="37" s="1"/>
  <c r="AA36" i="37"/>
  <c r="S42" i="33"/>
  <c r="U32" i="33"/>
  <c r="S25" i="35"/>
  <c r="W30" i="33"/>
  <c r="W40" i="34"/>
  <c r="F16" i="35"/>
  <c r="S16" i="35" s="1"/>
  <c r="W42" i="33"/>
  <c r="W35" i="34"/>
  <c r="H16" i="36"/>
  <c r="AB16" i="36" s="1"/>
  <c r="H35" i="37"/>
  <c r="U35" i="37" s="1"/>
  <c r="S26" i="21"/>
  <c r="U26" i="21"/>
  <c r="U39" i="21"/>
  <c r="W9" i="21"/>
  <c r="AC5" i="3"/>
  <c r="S40" i="21"/>
  <c r="E119" i="21"/>
  <c r="F119" i="21" s="1"/>
  <c r="G119" i="21" s="1"/>
  <c r="H119" i="21" s="1"/>
  <c r="I119" i="21" s="1"/>
  <c r="J119" i="21" s="1"/>
  <c r="K119" i="21" s="1"/>
  <c r="L119" i="21" s="1"/>
  <c r="M119" i="21" s="1"/>
  <c r="S8" i="33"/>
  <c r="S11" i="33"/>
  <c r="W15" i="33"/>
  <c r="S11" i="34"/>
  <c r="W27" i="34"/>
  <c r="U28" i="35"/>
  <c r="W13" i="33"/>
  <c r="U13" i="33"/>
  <c r="S12" i="34"/>
  <c r="W14" i="34"/>
  <c r="S14" i="34"/>
  <c r="S30" i="34"/>
  <c r="W30" i="34"/>
  <c r="W32" i="34"/>
  <c r="J11" i="35"/>
  <c r="AC11" i="35" s="1"/>
  <c r="H32" i="37"/>
  <c r="AB32" i="37" s="1"/>
  <c r="F19" i="39"/>
  <c r="S19" i="39" s="1"/>
  <c r="H19" i="39"/>
  <c r="AB19" i="39" s="1"/>
  <c r="J19" i="39"/>
  <c r="W19" i="39" s="1"/>
  <c r="F43" i="39"/>
  <c r="AA43" i="39" s="1"/>
  <c r="H43" i="39"/>
  <c r="U43" i="39" s="1"/>
  <c r="J43" i="39"/>
  <c r="W43" i="39" s="1"/>
  <c r="F99" i="37"/>
  <c r="G99" i="37" s="1"/>
  <c r="H99" i="37" s="1"/>
  <c r="AC27" i="37"/>
  <c r="S45" i="34"/>
  <c r="U31" i="34"/>
  <c r="W27" i="33"/>
  <c r="S14" i="21"/>
  <c r="U29" i="35"/>
  <c r="W19" i="33"/>
  <c r="U43" i="34"/>
  <c r="S35" i="37"/>
  <c r="AA35" i="37"/>
  <c r="U38" i="21"/>
  <c r="U40" i="33"/>
  <c r="S35" i="34"/>
  <c r="E90" i="34"/>
  <c r="U8" i="35"/>
  <c r="J14" i="35"/>
  <c r="AC14" i="35" s="1"/>
  <c r="F14" i="35"/>
  <c r="H14" i="35"/>
  <c r="AB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c r="AB34" i="36"/>
  <c r="H33" i="36"/>
  <c r="U33" i="36"/>
  <c r="F33" i="36"/>
  <c r="AA33" i="36" s="1"/>
  <c r="H27" i="36"/>
  <c r="AB27" i="36" s="1"/>
  <c r="AA31" i="36"/>
  <c r="AB29" i="37"/>
  <c r="AA30" i="37"/>
  <c r="S30" i="37"/>
  <c r="AC30" i="37"/>
  <c r="AC31" i="37"/>
  <c r="W31" i="37"/>
  <c r="F17" i="39"/>
  <c r="AA17" i="39" s="1"/>
  <c r="H17" i="39"/>
  <c r="U17" i="39" s="1"/>
  <c r="J17" i="39"/>
  <c r="W17" i="39" s="1"/>
  <c r="F21" i="39"/>
  <c r="S21" i="39" s="1"/>
  <c r="H21" i="39"/>
  <c r="U21" i="39" s="1"/>
  <c r="J21" i="39"/>
  <c r="W21" i="39" s="1"/>
  <c r="F33" i="39"/>
  <c r="S33" i="39" s="1"/>
  <c r="J33" i="39"/>
  <c r="AC33" i="39" s="1"/>
  <c r="F44" i="39"/>
  <c r="S44" i="39"/>
  <c r="H44" i="39"/>
  <c r="U44" i="39" s="1"/>
  <c r="J44" i="39"/>
  <c r="W44" i="39" s="1"/>
  <c r="E127" i="39"/>
  <c r="F127" i="39" s="1"/>
  <c r="G127" i="39" s="1"/>
  <c r="H127" i="39" s="1"/>
  <c r="I127" i="39" s="1"/>
  <c r="J127" i="39" s="1"/>
  <c r="K127" i="39" s="1"/>
  <c r="L127" i="39" s="1"/>
  <c r="M127" i="39" s="1"/>
  <c r="H46" i="39"/>
  <c r="U46" i="39" s="1"/>
  <c r="F29" i="39"/>
  <c r="AA29" i="39" s="1"/>
  <c r="H29" i="39"/>
  <c r="U29" i="39"/>
  <c r="F34" i="39"/>
  <c r="AA34" i="39" s="1"/>
  <c r="H34" i="39"/>
  <c r="AB34" i="39" s="1"/>
  <c r="J34" i="39"/>
  <c r="AC34" i="39" s="1"/>
  <c r="H39" i="39"/>
  <c r="AB39" i="39" s="1"/>
  <c r="J29" i="35"/>
  <c r="AC29" i="35" s="1"/>
  <c r="F29" i="35"/>
  <c r="S29" i="35" s="1"/>
  <c r="W30" i="36"/>
  <c r="F37" i="39"/>
  <c r="AA37" i="39" s="1"/>
  <c r="H37" i="39"/>
  <c r="U37" i="39" s="1"/>
  <c r="J37" i="39"/>
  <c r="W37" i="39" s="1"/>
  <c r="F114" i="34"/>
  <c r="G114" i="34" s="1"/>
  <c r="H114" i="34" s="1"/>
  <c r="I114" i="34" s="1"/>
  <c r="J114" i="34" s="1"/>
  <c r="K114" i="34" s="1"/>
  <c r="L114" i="34" s="1"/>
  <c r="M114" i="34" s="1"/>
  <c r="U38" i="34"/>
  <c r="H30" i="40"/>
  <c r="AB30" i="40" s="1"/>
  <c r="J30" i="40"/>
  <c r="AC30" i="40" s="1"/>
  <c r="F38" i="40"/>
  <c r="S38" i="40" s="1"/>
  <c r="W12" i="21"/>
  <c r="S35" i="21"/>
  <c r="U8" i="21"/>
  <c r="S34" i="21"/>
  <c r="U8" i="33"/>
  <c r="E106" i="33"/>
  <c r="U34" i="33"/>
  <c r="S34" i="33"/>
  <c r="S41" i="33"/>
  <c r="S39" i="34"/>
  <c r="S43" i="34"/>
  <c r="W28" i="35"/>
  <c r="J20" i="35"/>
  <c r="AC20" i="35" s="1"/>
  <c r="E72" i="35"/>
  <c r="F72" i="35" s="1"/>
  <c r="G72" i="35" s="1"/>
  <c r="H22" i="35"/>
  <c r="AB22" i="35"/>
  <c r="H23" i="35"/>
  <c r="F23" i="35"/>
  <c r="AA23" i="35" s="1"/>
  <c r="U31" i="36"/>
  <c r="S8" i="37"/>
  <c r="F14" i="39"/>
  <c r="AA14" i="39" s="1"/>
  <c r="F16" i="39"/>
  <c r="AA16" i="39" s="1"/>
  <c r="H16" i="39"/>
  <c r="U16" i="39" s="1"/>
  <c r="F23" i="39"/>
  <c r="AA23" i="39" s="1"/>
  <c r="E96" i="39"/>
  <c r="F96" i="39" s="1"/>
  <c r="G96" i="39" s="1"/>
  <c r="F27" i="39"/>
  <c r="AA27" i="39" s="1"/>
  <c r="H27" i="39"/>
  <c r="U27" i="39" s="1"/>
  <c r="J27" i="39"/>
  <c r="AC27" i="39" s="1"/>
  <c r="F15" i="40"/>
  <c r="AA15" i="40" s="1"/>
  <c r="J15" i="40"/>
  <c r="W15" i="40" s="1"/>
  <c r="H15" i="40"/>
  <c r="AB15" i="40" s="1"/>
  <c r="E91" i="40"/>
  <c r="F91" i="40"/>
  <c r="G91" i="40" s="1"/>
  <c r="H23" i="40"/>
  <c r="U23" i="40" s="1"/>
  <c r="H41" i="40"/>
  <c r="AB41" i="40" s="1"/>
  <c r="F41" i="40"/>
  <c r="AA41" i="40" s="1"/>
  <c r="F15" i="39"/>
  <c r="AA15" i="39" s="1"/>
  <c r="H15" i="39"/>
  <c r="U15" i="39" s="1"/>
  <c r="J15" i="39"/>
  <c r="AC15" i="39" s="1"/>
  <c r="H25" i="39"/>
  <c r="U25" i="39" s="1"/>
  <c r="J25" i="39"/>
  <c r="AC25" i="39" s="1"/>
  <c r="F25" i="39"/>
  <c r="AA25" i="39" s="1"/>
  <c r="H45" i="39"/>
  <c r="J45" i="39"/>
  <c r="AC45" i="39" s="1"/>
  <c r="F47" i="39"/>
  <c r="H47" i="39"/>
  <c r="AB47" i="39" s="1"/>
  <c r="J47" i="39"/>
  <c r="W47" i="39" s="1"/>
  <c r="F41" i="39"/>
  <c r="AA41" i="39" s="1"/>
  <c r="H41" i="39"/>
  <c r="J41" i="39"/>
  <c r="AC41" i="39" s="1"/>
  <c r="J25" i="40"/>
  <c r="AC25" i="40" s="1"/>
  <c r="J32" i="40"/>
  <c r="AC32" i="40" s="1"/>
  <c r="H32" i="40"/>
  <c r="U32" i="40" s="1"/>
  <c r="H33" i="40"/>
  <c r="AB33" i="40" s="1"/>
  <c r="F33" i="40"/>
  <c r="J33" i="40"/>
  <c r="AC33" i="40" s="1"/>
  <c r="H35" i="40"/>
  <c r="F35" i="40"/>
  <c r="AA35" i="40" s="1"/>
  <c r="J35" i="40"/>
  <c r="AC35" i="40" s="1"/>
  <c r="H38" i="39"/>
  <c r="J16" i="40"/>
  <c r="W16" i="40" s="1"/>
  <c r="J14" i="40"/>
  <c r="H40" i="40"/>
  <c r="U40" i="40" s="1"/>
  <c r="F72" i="9"/>
  <c r="J40" i="40"/>
  <c r="AC40" i="40"/>
  <c r="H16" i="40"/>
  <c r="AB16" i="40"/>
  <c r="F32" i="40"/>
  <c r="AA32" i="40"/>
  <c r="F61" i="46"/>
  <c r="H63" i="46" s="1"/>
  <c r="H61" i="46"/>
  <c r="F72" i="46"/>
  <c r="H74" i="46"/>
  <c r="J13" i="40"/>
  <c r="W13" i="40"/>
  <c r="W40" i="40"/>
  <c r="AB25" i="39"/>
  <c r="U41" i="40"/>
  <c r="J23" i="40"/>
  <c r="W23" i="40" s="1"/>
  <c r="F23" i="40"/>
  <c r="W27" i="39"/>
  <c r="S23" i="39"/>
  <c r="U23" i="35"/>
  <c r="AB23" i="35"/>
  <c r="H20" i="35"/>
  <c r="AB20" i="35" s="1"/>
  <c r="F20" i="35"/>
  <c r="S20" i="35" s="1"/>
  <c r="U41" i="33"/>
  <c r="F30" i="40"/>
  <c r="AA30" i="40" s="1"/>
  <c r="K99" i="40"/>
  <c r="L99" i="40" s="1"/>
  <c r="M99" i="40" s="1"/>
  <c r="AA29" i="35"/>
  <c r="J29" i="39"/>
  <c r="AC29" i="39" s="1"/>
  <c r="AB17" i="39"/>
  <c r="AB33" i="36"/>
  <c r="AA14" i="35"/>
  <c r="S14" i="35"/>
  <c r="F33" i="37"/>
  <c r="S33" i="37" s="1"/>
  <c r="U19" i="39"/>
  <c r="W12" i="34"/>
  <c r="U29" i="33"/>
  <c r="W32" i="33"/>
  <c r="U15" i="33"/>
  <c r="S13" i="39"/>
  <c r="U16" i="40"/>
  <c r="AC16" i="40"/>
  <c r="H25" i="40"/>
  <c r="AB25" i="40" s="1"/>
  <c r="U47" i="39"/>
  <c r="H23" i="39"/>
  <c r="AB23" i="39" s="1"/>
  <c r="J23" i="39"/>
  <c r="F106" i="33"/>
  <c r="G106" i="33" s="1"/>
  <c r="H106" i="33" s="1"/>
  <c r="I106" i="33" s="1"/>
  <c r="J106" i="33" s="1"/>
  <c r="K106" i="33" s="1"/>
  <c r="L106" i="33" s="1"/>
  <c r="M106" i="33" s="1"/>
  <c r="U30" i="40"/>
  <c r="W29" i="35"/>
  <c r="AB29" i="39"/>
  <c r="AB44" i="39"/>
  <c r="AA33" i="39"/>
  <c r="S17" i="39"/>
  <c r="F90" i="34"/>
  <c r="G90" i="34" s="1"/>
  <c r="H90" i="34" s="1"/>
  <c r="I90" i="34" s="1"/>
  <c r="J90" i="34" s="1"/>
  <c r="K90" i="34" s="1"/>
  <c r="L90" i="34" s="1"/>
  <c r="M90" i="34" s="1"/>
  <c r="S27" i="34"/>
  <c r="AC43" i="39"/>
  <c r="S43" i="39"/>
  <c r="AA19" i="39"/>
  <c r="F32" i="37"/>
  <c r="S32" i="37" s="1"/>
  <c r="S46" i="34"/>
  <c r="U14" i="34"/>
  <c r="U12" i="34"/>
  <c r="W35" i="33"/>
  <c r="S32" i="33"/>
  <c r="U11" i="33"/>
  <c r="U10" i="33"/>
  <c r="W10" i="33"/>
  <c r="U40" i="21"/>
  <c r="U11" i="37"/>
  <c r="U13" i="39"/>
  <c r="AC16" i="35"/>
  <c r="AC13" i="40"/>
  <c r="W11" i="34"/>
  <c r="F25" i="40"/>
  <c r="AA25" i="40" s="1"/>
  <c r="W11" i="33"/>
  <c r="H33" i="37"/>
  <c r="U33" i="37" s="1"/>
  <c r="AB33" i="37"/>
  <c r="U20" i="35"/>
  <c r="B11" i="1"/>
  <c r="E11" i="1" s="1"/>
  <c r="B9" i="1"/>
  <c r="E9" i="1" s="1"/>
  <c r="B7" i="1"/>
  <c r="E7" i="1" s="1"/>
  <c r="AP6" i="1"/>
  <c r="S23" i="36"/>
  <c r="S8" i="36"/>
  <c r="AA26" i="36"/>
  <c r="AA28" i="36"/>
  <c r="U25" i="36"/>
  <c r="H20" i="36"/>
  <c r="U20" i="36" s="1"/>
  <c r="F68" i="36"/>
  <c r="G68" i="36" s="1"/>
  <c r="J20" i="36"/>
  <c r="AC20" i="36" s="1"/>
  <c r="F20" i="36"/>
  <c r="J14" i="36"/>
  <c r="W14" i="36" s="1"/>
  <c r="H14" i="36"/>
  <c r="U14" i="36" s="1"/>
  <c r="F14" i="36"/>
  <c r="U27" i="36"/>
  <c r="S33" i="36"/>
  <c r="AA27" i="36"/>
  <c r="S16" i="36"/>
  <c r="S29" i="36"/>
  <c r="U22" i="35"/>
  <c r="S8" i="35"/>
  <c r="AA20" i="35"/>
  <c r="W20" i="35"/>
  <c r="AC18" i="35"/>
  <c r="W18" i="35"/>
  <c r="U18" i="35"/>
  <c r="AB18" i="35"/>
  <c r="AB30" i="35"/>
  <c r="J26" i="35"/>
  <c r="AC26" i="35" s="1"/>
  <c r="F26" i="35"/>
  <c r="S26" i="35" s="1"/>
  <c r="H26" i="35"/>
  <c r="AB26" i="35" s="1"/>
  <c r="W28" i="37"/>
  <c r="AB37" i="37"/>
  <c r="AA31" i="37"/>
  <c r="AA32" i="37"/>
  <c r="J33" i="37"/>
  <c r="W33" i="37" s="1"/>
  <c r="I99" i="37"/>
  <c r="J99" i="37" s="1"/>
  <c r="K99" i="37" s="1"/>
  <c r="L99" i="37" s="1"/>
  <c r="M99" i="37" s="1"/>
  <c r="S29" i="37"/>
  <c r="J19" i="37"/>
  <c r="F19" i="37"/>
  <c r="S19" i="37" s="1"/>
  <c r="H19" i="37"/>
  <c r="J17" i="37"/>
  <c r="W17" i="37" s="1"/>
  <c r="S15" i="37"/>
  <c r="AC21" i="37"/>
  <c r="W21" i="37"/>
  <c r="AC11" i="37"/>
  <c r="W32" i="37"/>
  <c r="U8" i="37"/>
  <c r="AB21" i="37"/>
  <c r="U21" i="37"/>
  <c r="S37" i="37"/>
  <c r="S40" i="37"/>
  <c r="W46" i="34"/>
  <c r="W33" i="34"/>
  <c r="U30" i="34"/>
  <c r="S32" i="34"/>
  <c r="U44" i="34"/>
  <c r="U11" i="34"/>
  <c r="W44" i="34"/>
  <c r="W29" i="34"/>
  <c r="W21" i="34"/>
  <c r="U21" i="34"/>
  <c r="S13" i="34"/>
  <c r="S9" i="34"/>
  <c r="U39" i="33"/>
  <c r="U37" i="33"/>
  <c r="S35" i="33"/>
  <c r="W34" i="33"/>
  <c r="S29" i="33"/>
  <c r="W31" i="33"/>
  <c r="W43" i="33"/>
  <c r="U46" i="33"/>
  <c r="W39" i="33"/>
  <c r="U35" i="33"/>
  <c r="W25" i="33"/>
  <c r="U19" i="33"/>
  <c r="F79" i="33"/>
  <c r="G79" i="33"/>
  <c r="W21" i="33"/>
  <c r="W14" i="33"/>
  <c r="U25" i="33"/>
  <c r="U21" i="33"/>
  <c r="S21" i="33"/>
  <c r="S44" i="21"/>
  <c r="W39" i="21"/>
  <c r="U35" i="21"/>
  <c r="W43" i="21"/>
  <c r="S42" i="21"/>
  <c r="W28" i="21"/>
  <c r="W13" i="21"/>
  <c r="W21" i="21"/>
  <c r="W44" i="21"/>
  <c r="W10" i="21"/>
  <c r="U21" i="21"/>
  <c r="U33" i="40"/>
  <c r="S14" i="40"/>
  <c r="AB13" i="40"/>
  <c r="W11" i="40"/>
  <c r="AA21" i="40"/>
  <c r="U21" i="40"/>
  <c r="F37" i="40"/>
  <c r="AA37" i="40" s="1"/>
  <c r="J37" i="40"/>
  <c r="AC37" i="40" s="1"/>
  <c r="H37" i="40"/>
  <c r="AB37" i="40" s="1"/>
  <c r="G112" i="40"/>
  <c r="H112" i="40" s="1"/>
  <c r="I112" i="40" s="1"/>
  <c r="J112" i="40" s="1"/>
  <c r="K112" i="40" s="1"/>
  <c r="L112" i="40" s="1"/>
  <c r="M112" i="40" s="1"/>
  <c r="F39" i="40"/>
  <c r="S39" i="40" s="1"/>
  <c r="H39" i="40"/>
  <c r="U39" i="40" s="1"/>
  <c r="J39" i="40"/>
  <c r="AC39" i="40" s="1"/>
  <c r="F29" i="40"/>
  <c r="AA29" i="40" s="1"/>
  <c r="H29" i="40"/>
  <c r="J29" i="40"/>
  <c r="AC29" i="40" s="1"/>
  <c r="S30" i="40"/>
  <c r="S25" i="40"/>
  <c r="F19" i="40"/>
  <c r="AA19" i="40" s="1"/>
  <c r="H19" i="40"/>
  <c r="J19" i="40"/>
  <c r="W19" i="40" s="1"/>
  <c r="AC17" i="40"/>
  <c r="F17" i="40"/>
  <c r="AA17" i="40" s="1"/>
  <c r="H17" i="40"/>
  <c r="U17" i="40" s="1"/>
  <c r="W21" i="40"/>
  <c r="U10" i="40"/>
  <c r="U27" i="40"/>
  <c r="AB27" i="40"/>
  <c r="S11" i="39"/>
  <c r="S27" i="39"/>
  <c r="AC19" i="39"/>
  <c r="W29" i="39"/>
  <c r="S29" i="39"/>
  <c r="AC21" i="39"/>
  <c r="AC17" i="39"/>
  <c r="U11" i="39"/>
  <c r="U31" i="39"/>
  <c r="AB31" i="39"/>
  <c r="D96" i="9"/>
  <c r="M18" i="15"/>
  <c r="A18" i="64"/>
  <c r="B74" i="63" s="1"/>
  <c r="C53" i="10"/>
  <c r="A25" i="64" s="1"/>
  <c r="A18" i="51"/>
  <c r="B14" i="63"/>
  <c r="K1" i="43"/>
  <c r="G1" i="44"/>
  <c r="G28" i="12"/>
  <c r="D26" i="44"/>
  <c r="F50" i="46"/>
  <c r="H52" i="46" s="1"/>
  <c r="C6" i="46"/>
  <c r="I5" i="48"/>
  <c r="K21" i="46"/>
  <c r="F42" i="46"/>
  <c r="D74" i="46"/>
  <c r="D87" i="46"/>
  <c r="D72" i="46"/>
  <c r="A4" i="64"/>
  <c r="A4" i="51"/>
  <c r="B6" i="63" s="1"/>
  <c r="C51" i="10"/>
  <c r="A9" i="64"/>
  <c r="H83" i="46"/>
  <c r="AA12" i="36"/>
  <c r="S14" i="37"/>
  <c r="S13" i="21"/>
  <c r="C24" i="9"/>
  <c r="C25" i="9"/>
  <c r="L5" i="54"/>
  <c r="K5" i="54"/>
  <c r="B38" i="63" s="1"/>
  <c r="T41" i="4"/>
  <c r="A17" i="64" s="1"/>
  <c r="B46" i="50"/>
  <c r="B4" i="63" s="1"/>
  <c r="H89" i="46"/>
  <c r="H90" i="46"/>
  <c r="H86" i="46"/>
  <c r="R13" i="1"/>
  <c r="B6" i="1"/>
  <c r="E6" i="1" s="1"/>
  <c r="E10" i="1"/>
  <c r="B8" i="1"/>
  <c r="E8" i="1" s="1"/>
  <c r="B12" i="1"/>
  <c r="E12" i="1" s="1"/>
  <c r="F66" i="36"/>
  <c r="G66" i="36" s="1"/>
  <c r="H18" i="36"/>
  <c r="AB18" i="36" s="1"/>
  <c r="S25" i="36"/>
  <c r="AA34" i="36"/>
  <c r="AC27" i="36"/>
  <c r="W28" i="36"/>
  <c r="AA22" i="36"/>
  <c r="W29" i="36"/>
  <c r="W9" i="36"/>
  <c r="AC30" i="35"/>
  <c r="W32" i="35"/>
  <c r="U32" i="35"/>
  <c r="S32" i="35"/>
  <c r="AC33" i="37"/>
  <c r="AC15" i="37"/>
  <c r="AA13" i="37"/>
  <c r="W38" i="37"/>
  <c r="W36" i="37"/>
  <c r="U26" i="37"/>
  <c r="S28" i="37"/>
  <c r="U38" i="37"/>
  <c r="W47" i="34"/>
  <c r="S47" i="34"/>
  <c r="S8" i="34"/>
  <c r="S43" i="33"/>
  <c r="S26" i="33"/>
  <c r="S9" i="33"/>
  <c r="S39" i="21"/>
  <c r="W25" i="21"/>
  <c r="W31" i="21"/>
  <c r="G95" i="40"/>
  <c r="J27" i="40"/>
  <c r="AC27" i="40" s="1"/>
  <c r="W37" i="40"/>
  <c r="S34" i="40"/>
  <c r="S40" i="40"/>
  <c r="G104" i="39"/>
  <c r="J31" i="39"/>
  <c r="W31" i="39"/>
  <c r="W41" i="39"/>
  <c r="AB43" i="39"/>
  <c r="S34" i="39"/>
  <c r="W42" i="39"/>
  <c r="W36" i="39"/>
  <c r="W45" i="39"/>
  <c r="AA44" i="39"/>
  <c r="W10" i="39"/>
  <c r="W11" i="39"/>
  <c r="U42" i="39"/>
  <c r="W40" i="39"/>
  <c r="S32" i="40"/>
  <c r="C27" i="39"/>
  <c r="C17" i="40"/>
  <c r="C19" i="40"/>
  <c r="C17" i="39"/>
  <c r="C19" i="39"/>
  <c r="C21" i="39"/>
  <c r="C23" i="40"/>
  <c r="B51" i="46"/>
  <c r="B54" i="46"/>
  <c r="B58" i="46"/>
  <c r="B62" i="46"/>
  <c r="B65" i="46"/>
  <c r="B69" i="46"/>
  <c r="B67" i="46"/>
  <c r="AB20" i="36"/>
  <c r="AC14" i="36"/>
  <c r="AB14" i="36"/>
  <c r="U18" i="36"/>
  <c r="U26" i="35"/>
  <c r="W26" i="35"/>
  <c r="AB19" i="37"/>
  <c r="U19" i="37"/>
  <c r="U25" i="34"/>
  <c r="S25" i="34"/>
  <c r="W25" i="34"/>
  <c r="S25" i="33"/>
  <c r="U23" i="33"/>
  <c r="W23" i="33"/>
  <c r="S23" i="33"/>
  <c r="U17" i="33"/>
  <c r="AB39" i="40"/>
  <c r="AA39" i="40"/>
  <c r="U37" i="40"/>
  <c r="U29" i="40"/>
  <c r="AB29" i="40"/>
  <c r="AB19" i="40"/>
  <c r="U19" i="40"/>
  <c r="W27" i="40"/>
  <c r="AT6" i="3"/>
  <c r="E4" i="4"/>
  <c r="B21" i="55" s="1"/>
  <c r="B72" i="63" s="1"/>
  <c r="C4" i="4"/>
  <c r="B20" i="55" s="1"/>
  <c r="B70" i="63" s="1"/>
  <c r="J18" i="36"/>
  <c r="W18" i="36" s="1"/>
  <c r="C45" i="9"/>
  <c r="B7" i="66"/>
  <c r="C44" i="9"/>
  <c r="N69" i="9" s="1"/>
  <c r="B6" i="66"/>
  <c r="O40" i="9"/>
  <c r="K31" i="9"/>
  <c r="K32" i="9" s="1"/>
  <c r="K29" i="9"/>
  <c r="K30" i="9" s="1"/>
  <c r="N76" i="9"/>
  <c r="C46" i="9"/>
  <c r="O41" i="9" s="1"/>
  <c r="K33" i="9"/>
  <c r="K34" i="9" s="1"/>
  <c r="B8" i="66"/>
  <c r="R8" i="54"/>
  <c r="B54" i="63"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4" i="46"/>
  <c r="F3" i="35"/>
  <c r="G1" i="15"/>
  <c r="K1" i="12"/>
  <c r="M20" i="44"/>
  <c r="F29" i="75"/>
  <c r="G28" i="74"/>
  <c r="G28" i="75"/>
  <c r="G26" i="75"/>
  <c r="G27" i="74"/>
  <c r="G29" i="73"/>
  <c r="G27" i="73"/>
  <c r="G27" i="75"/>
  <c r="G26" i="74"/>
  <c r="G28" i="73"/>
  <c r="H88" i="46"/>
  <c r="H85" i="46"/>
  <c r="H87" i="46"/>
  <c r="P75" i="15"/>
  <c r="D65" i="46"/>
  <c r="D50" i="46"/>
  <c r="F36" i="44"/>
  <c r="M22" i="44"/>
  <c r="M20" i="15"/>
  <c r="C9" i="39"/>
  <c r="C69" i="39" s="1"/>
  <c r="C9" i="40"/>
  <c r="C64" i="40" s="1"/>
  <c r="N67" i="9"/>
  <c r="D38" i="4"/>
  <c r="C39" i="4" s="1"/>
  <c r="G23" i="46"/>
  <c r="P29" i="46" s="1"/>
  <c r="B72" i="39" s="1"/>
  <c r="C23" i="46"/>
  <c r="AP10" i="1"/>
  <c r="C7" i="35"/>
  <c r="C48" i="35"/>
  <c r="C7" i="36"/>
  <c r="C46" i="36"/>
  <c r="D46" i="36" s="1"/>
  <c r="E46" i="36" s="1"/>
  <c r="F46" i="36" s="1"/>
  <c r="G46" i="36" s="1"/>
  <c r="AC10" i="36"/>
  <c r="S10" i="36"/>
  <c r="S10" i="35"/>
  <c r="AC10" i="35"/>
  <c r="AB10" i="35"/>
  <c r="W10" i="37"/>
  <c r="AB10" i="37"/>
  <c r="U10" i="34"/>
  <c r="W10" i="34"/>
  <c r="S10" i="33"/>
  <c r="F33" i="44"/>
  <c r="D86" i="46"/>
  <c r="J83" i="46"/>
  <c r="D83" i="46"/>
  <c r="D85" i="46"/>
  <c r="D88" i="46"/>
  <c r="D80" i="46"/>
  <c r="H67" i="46"/>
  <c r="H69" i="46"/>
  <c r="H66" i="46"/>
  <c r="H68" i="46"/>
  <c r="J69" i="46"/>
  <c r="D63" i="46"/>
  <c r="E61" i="46" s="1"/>
  <c r="B59" i="46" s="1"/>
  <c r="D67" i="46"/>
  <c r="D62" i="46"/>
  <c r="D64" i="46"/>
  <c r="D66" i="46"/>
  <c r="D61" i="46"/>
  <c r="D54" i="46"/>
  <c r="D51" i="46"/>
  <c r="D56" i="46"/>
  <c r="H57" i="46"/>
  <c r="E44" i="46"/>
  <c r="C44" i="46" s="1"/>
  <c r="G18" i="46"/>
  <c r="I18" i="46"/>
  <c r="H79" i="46"/>
  <c r="H78" i="46"/>
  <c r="H77" i="46"/>
  <c r="H76" i="46"/>
  <c r="H80" i="46"/>
  <c r="H75" i="46"/>
  <c r="H73" i="46"/>
  <c r="O23" i="46"/>
  <c r="H50" i="46"/>
  <c r="H55" i="46"/>
  <c r="H58" i="46"/>
  <c r="AP7" i="1"/>
  <c r="B21" i="63"/>
  <c r="N4" i="63"/>
  <c r="A9" i="51"/>
  <c r="B9" i="63" s="1"/>
  <c r="A28" i="64"/>
  <c r="G9" i="1"/>
  <c r="G11" i="1"/>
  <c r="G8" i="1"/>
  <c r="L16" i="4"/>
  <c r="N16" i="4"/>
  <c r="O39" i="9"/>
  <c r="R6" i="54" s="1"/>
  <c r="B50" i="63" s="1"/>
  <c r="R7" i="54"/>
  <c r="B52" i="63" s="1"/>
  <c r="B37" i="50"/>
  <c r="B2" i="63" s="1"/>
  <c r="X9" i="59"/>
  <c r="AB9" i="59"/>
  <c r="Y9" i="59"/>
  <c r="Z9" i="59" s="1"/>
  <c r="AA9" i="59"/>
  <c r="S17" i="40"/>
  <c r="AB17" i="40"/>
  <c r="W36" i="40"/>
  <c r="S36" i="40"/>
  <c r="S11" i="40"/>
  <c r="S10" i="40"/>
  <c r="S27" i="40"/>
  <c r="AC31" i="39"/>
  <c r="U40" i="39"/>
  <c r="AA42" i="39"/>
  <c r="S42" i="39"/>
  <c r="AA36" i="39"/>
  <c r="S36" i="39"/>
  <c r="E10" i="46"/>
  <c r="E11" i="46"/>
  <c r="E9" i="46"/>
  <c r="E8" i="46"/>
  <c r="C7" i="46" s="1"/>
  <c r="G30" i="6"/>
  <c r="G31" i="6" s="1"/>
  <c r="G27" i="12"/>
  <c r="F34" i="44"/>
  <c r="G20" i="43"/>
  <c r="G26" i="12"/>
  <c r="F70" i="9"/>
  <c r="F66" i="9"/>
  <c r="P72" i="9" s="1"/>
  <c r="F28" i="15"/>
  <c r="C28" i="15" s="1"/>
  <c r="F30" i="44"/>
  <c r="C30" i="44"/>
  <c r="D86" i="9"/>
  <c r="F32" i="15"/>
  <c r="F59" i="15" s="1"/>
  <c r="F71" i="9"/>
  <c r="G6" i="1"/>
  <c r="G10" i="1"/>
  <c r="G13" i="1"/>
  <c r="C95" i="9"/>
  <c r="C92" i="9" s="1"/>
  <c r="D23" i="15"/>
  <c r="C18" i="11"/>
  <c r="X16" i="59"/>
  <c r="Y16" i="59"/>
  <c r="Z16" i="59"/>
  <c r="Y3" i="59"/>
  <c r="Z3" i="59"/>
  <c r="AB17" i="59"/>
  <c r="AA17" i="59"/>
  <c r="Y17" i="59"/>
  <c r="Z17" i="59" s="1"/>
  <c r="P26" i="46"/>
  <c r="F31" i="15"/>
  <c r="M17" i="15"/>
  <c r="P28" i="76"/>
  <c r="P29" i="76"/>
  <c r="P25" i="76"/>
  <c r="O23" i="76"/>
  <c r="P26" i="76"/>
  <c r="P27" i="76"/>
  <c r="P28" i="78"/>
  <c r="P29" i="78"/>
  <c r="P25" i="78"/>
  <c r="O23" i="78"/>
  <c r="P27" i="78"/>
  <c r="P26" i="78"/>
  <c r="P29" i="77"/>
  <c r="O23" i="77"/>
  <c r="P27" i="77"/>
  <c r="P25" i="77"/>
  <c r="P26" i="77"/>
  <c r="P28" i="77"/>
  <c r="C28" i="46"/>
  <c r="E17" i="46"/>
  <c r="C17" i="46"/>
  <c r="M19" i="44"/>
  <c r="M32" i="46"/>
  <c r="P32" i="46"/>
  <c r="O32" i="46"/>
  <c r="N32" i="46"/>
  <c r="AE12" i="1"/>
  <c r="AE10" i="1"/>
  <c r="AE11" i="1"/>
  <c r="AE6" i="1"/>
  <c r="F58" i="15"/>
  <c r="AG8" i="1"/>
  <c r="AG9" i="1"/>
  <c r="AG11" i="1"/>
  <c r="AG12" i="1"/>
  <c r="AG10" i="1"/>
  <c r="AG7" i="1"/>
  <c r="D77" i="9"/>
  <c r="N75" i="9" s="1"/>
  <c r="D66" i="9"/>
  <c r="N72" i="9" s="1"/>
  <c r="R11" i="1"/>
  <c r="R12" i="1"/>
  <c r="R10" i="1"/>
  <c r="E21" i="46"/>
  <c r="E21" i="78"/>
  <c r="S25" i="70"/>
  <c r="E21" i="77"/>
  <c r="E21" i="76"/>
  <c r="C66" i="40" l="1"/>
  <c r="D64" i="40"/>
  <c r="E64" i="40" s="1"/>
  <c r="AB9" i="35"/>
  <c r="U9" i="35"/>
  <c r="W9" i="37"/>
  <c r="AC9" i="37"/>
  <c r="AC12" i="37"/>
  <c r="W12" i="37"/>
  <c r="U25" i="37"/>
  <c r="AB25" i="37"/>
  <c r="S39" i="39"/>
  <c r="AA39" i="39"/>
  <c r="U12" i="35"/>
  <c r="AB12" i="35"/>
  <c r="AB11" i="35"/>
  <c r="U11" i="35"/>
  <c r="W40" i="37"/>
  <c r="AC40" i="37"/>
  <c r="AB14" i="39"/>
  <c r="U14" i="39"/>
  <c r="W16" i="39"/>
  <c r="AC16" i="39"/>
  <c r="U33" i="39"/>
  <c r="AB33" i="39"/>
  <c r="S46" i="39"/>
  <c r="AA46" i="39"/>
  <c r="W41" i="40"/>
  <c r="AC41" i="40"/>
  <c r="AA38" i="39"/>
  <c r="S38" i="39"/>
  <c r="S18" i="36"/>
  <c r="P27" i="6"/>
  <c r="D69" i="59"/>
  <c r="O76" i="9"/>
  <c r="L76" i="9"/>
  <c r="D38" i="68"/>
  <c r="D39" i="68" s="1"/>
  <c r="E23" i="68"/>
  <c r="B41" i="59"/>
  <c r="S41" i="59" s="1"/>
  <c r="X33" i="59"/>
  <c r="B35" i="59"/>
  <c r="B36" i="59" s="1"/>
  <c r="B37" i="59" s="1"/>
  <c r="S37" i="59" s="1"/>
  <c r="X32" i="59"/>
  <c r="X27" i="59"/>
  <c r="X7" i="59"/>
  <c r="V12" i="70"/>
  <c r="V8" i="70"/>
  <c r="V11" i="70"/>
  <c r="V9" i="70"/>
  <c r="R10" i="70"/>
  <c r="T13" i="70"/>
  <c r="W13" i="70" s="1"/>
  <c r="U13" i="70"/>
  <c r="N23" i="70"/>
  <c r="S30" i="70"/>
  <c r="U29" i="70"/>
  <c r="U30" i="70"/>
  <c r="S4" i="46"/>
  <c r="D21" i="46"/>
  <c r="AD33" i="70"/>
  <c r="AD32" i="70"/>
  <c r="AD31" i="70"/>
  <c r="P6" i="70"/>
  <c r="T3" i="70"/>
  <c r="W3" i="70" s="1"/>
  <c r="U26" i="70"/>
  <c r="P27" i="70"/>
  <c r="T27" i="70"/>
  <c r="W27" i="70" s="1"/>
  <c r="Q32" i="76"/>
  <c r="N32" i="76"/>
  <c r="M32" i="76"/>
  <c r="C41" i="59"/>
  <c r="P32" i="77"/>
  <c r="O32" i="77"/>
  <c r="N32" i="77"/>
  <c r="H68" i="77"/>
  <c r="H63" i="77"/>
  <c r="H67" i="77"/>
  <c r="H65" i="77"/>
  <c r="B73" i="78"/>
  <c r="B62" i="78"/>
  <c r="B51" i="78"/>
  <c r="B62" i="77"/>
  <c r="B51" i="77"/>
  <c r="B73" i="76"/>
  <c r="B87" i="78"/>
  <c r="B87" i="77"/>
  <c r="J44" i="33"/>
  <c r="H44" i="33"/>
  <c r="F28" i="33"/>
  <c r="J28" i="33"/>
  <c r="H28" i="33"/>
  <c r="J26" i="33"/>
  <c r="H26" i="33"/>
  <c r="J17" i="33"/>
  <c r="F17" i="33"/>
  <c r="K17" i="4"/>
  <c r="A22" i="51" s="1"/>
  <c r="B16" i="63" s="1"/>
  <c r="E83" i="46"/>
  <c r="B81" i="46" s="1"/>
  <c r="P25" i="46"/>
  <c r="W35" i="40"/>
  <c r="E72" i="46"/>
  <c r="B70" i="46" s="1"/>
  <c r="S10" i="37"/>
  <c r="U10" i="36"/>
  <c r="E50" i="46"/>
  <c r="B48" i="46" s="1"/>
  <c r="A17" i="51"/>
  <c r="B13" i="63" s="1"/>
  <c r="S19" i="40"/>
  <c r="W34" i="39"/>
  <c r="W25" i="39"/>
  <c r="AC37" i="39"/>
  <c r="S42" i="40"/>
  <c r="U38" i="40"/>
  <c r="W30" i="40"/>
  <c r="W13" i="37"/>
  <c r="AB28" i="37"/>
  <c r="W35" i="37"/>
  <c r="W22" i="35"/>
  <c r="AA33" i="35"/>
  <c r="U24" i="35"/>
  <c r="S9" i="36"/>
  <c r="U13" i="37"/>
  <c r="AA11" i="35"/>
  <c r="AC44" i="39"/>
  <c r="AB40" i="40"/>
  <c r="W38" i="40"/>
  <c r="S16" i="40"/>
  <c r="S15" i="40"/>
  <c r="AA11" i="37"/>
  <c r="U32" i="37"/>
  <c r="AB9" i="37"/>
  <c r="S28" i="35"/>
  <c r="S30" i="35"/>
  <c r="U33" i="35"/>
  <c r="AC33" i="35"/>
  <c r="AC25" i="36"/>
  <c r="U34" i="39"/>
  <c r="S16" i="39"/>
  <c r="AB37" i="39"/>
  <c r="H14" i="40"/>
  <c r="J34" i="40"/>
  <c r="J42" i="40"/>
  <c r="H34" i="40"/>
  <c r="H42" i="40"/>
  <c r="AB42" i="40" s="1"/>
  <c r="J38" i="39"/>
  <c r="W38" i="39" s="1"/>
  <c r="J14" i="39"/>
  <c r="AC14" i="39" s="1"/>
  <c r="AA38" i="40"/>
  <c r="S37" i="39"/>
  <c r="J39" i="39"/>
  <c r="J46" i="39"/>
  <c r="AC46" i="39" s="1"/>
  <c r="H11" i="36"/>
  <c r="AB11" i="36" s="1"/>
  <c r="S9" i="35"/>
  <c r="AC34" i="37"/>
  <c r="U25" i="35"/>
  <c r="S30" i="36"/>
  <c r="AC29" i="37"/>
  <c r="AC14" i="37"/>
  <c r="AA36" i="35"/>
  <c r="AC26" i="36"/>
  <c r="F12" i="37"/>
  <c r="F9" i="37"/>
  <c r="S25" i="37"/>
  <c r="S27" i="37"/>
  <c r="U23" i="37"/>
  <c r="AA24" i="35"/>
  <c r="S38" i="37"/>
  <c r="U34" i="37"/>
  <c r="AB27" i="35"/>
  <c r="U30" i="37"/>
  <c r="J9" i="35"/>
  <c r="J12" i="35"/>
  <c r="J25" i="37"/>
  <c r="U10" i="39"/>
  <c r="Y31" i="59"/>
  <c r="Z31" i="59" s="1"/>
  <c r="AA26" i="59"/>
  <c r="AB32" i="59"/>
  <c r="X15" i="59"/>
  <c r="AA11" i="59"/>
  <c r="AB14" i="59"/>
  <c r="AB16" i="59"/>
  <c r="S5" i="70"/>
  <c r="L3" i="70"/>
  <c r="U5" i="70"/>
  <c r="N3" i="70"/>
  <c r="U6" i="70"/>
  <c r="U14" i="70"/>
  <c r="B61" i="78"/>
  <c r="B61" i="76"/>
  <c r="H69" i="78"/>
  <c r="H62" i="78"/>
  <c r="H68" i="78"/>
  <c r="H63" i="78"/>
  <c r="H66" i="78"/>
  <c r="B84" i="78"/>
  <c r="B94" i="77"/>
  <c r="B84" i="77"/>
  <c r="B94" i="76"/>
  <c r="B84" i="46"/>
  <c r="H95" i="78"/>
  <c r="H94" i="78"/>
  <c r="H98" i="78"/>
  <c r="H99" i="78"/>
  <c r="B99" i="78"/>
  <c r="B99" i="77"/>
  <c r="B76" i="77"/>
  <c r="B56" i="77"/>
  <c r="B101" i="78"/>
  <c r="B79" i="78"/>
  <c r="B58" i="78"/>
  <c r="B101" i="77"/>
  <c r="B69" i="77"/>
  <c r="B101" i="46"/>
  <c r="C29" i="12"/>
  <c r="C24" i="12"/>
  <c r="H45" i="86"/>
  <c r="H31" i="86"/>
  <c r="AB31" i="86" s="1"/>
  <c r="H25" i="86"/>
  <c r="AB25" i="86" s="1"/>
  <c r="H13" i="86"/>
  <c r="F9" i="86"/>
  <c r="N21" i="78"/>
  <c r="I21" i="78"/>
  <c r="G568" i="3"/>
  <c r="G566" i="3"/>
  <c r="G562" i="3"/>
  <c r="G552" i="3"/>
  <c r="G550" i="3"/>
  <c r="G546" i="3"/>
  <c r="G536" i="3"/>
  <c r="G534" i="3"/>
  <c r="G530" i="3"/>
  <c r="G524" i="3"/>
  <c r="G518" i="3"/>
  <c r="G508" i="3"/>
  <c r="G506" i="3"/>
  <c r="G502" i="3"/>
  <c r="G492" i="3"/>
  <c r="G490" i="3"/>
  <c r="G486" i="3"/>
  <c r="G476" i="3"/>
  <c r="G474" i="3"/>
  <c r="G470" i="3"/>
  <c r="G460" i="3"/>
  <c r="G458" i="3"/>
  <c r="G454" i="3"/>
  <c r="G444" i="3"/>
  <c r="G442" i="3"/>
  <c r="G438" i="3"/>
  <c r="G424" i="3"/>
  <c r="G414" i="3"/>
  <c r="G412" i="3"/>
  <c r="G408" i="3"/>
  <c r="G398" i="3"/>
  <c r="G396" i="3"/>
  <c r="B56" i="59"/>
  <c r="B57" i="59" s="1"/>
  <c r="S57" i="59" s="1"/>
  <c r="A30" i="64"/>
  <c r="D11" i="68"/>
  <c r="E11" i="68" s="1"/>
  <c r="E7" i="68" s="1"/>
  <c r="C27" i="68" s="1"/>
  <c r="R24" i="68"/>
  <c r="X36" i="59"/>
  <c r="Y37" i="59"/>
  <c r="Z37" i="59" s="1"/>
  <c r="AA33" i="59"/>
  <c r="E32" i="59"/>
  <c r="E33" i="59" s="1"/>
  <c r="U33" i="59" s="1"/>
  <c r="F40" i="59"/>
  <c r="F41" i="59" s="1"/>
  <c r="V41" i="59" s="1"/>
  <c r="F36" i="59"/>
  <c r="F37" i="59" s="1"/>
  <c r="V37" i="59" s="1"/>
  <c r="F32" i="59"/>
  <c r="X14" i="59"/>
  <c r="X24" i="59"/>
  <c r="AA12" i="59"/>
  <c r="F24" i="59"/>
  <c r="R5" i="70"/>
  <c r="V5" i="70"/>
  <c r="R8" i="70"/>
  <c r="T7" i="70"/>
  <c r="W7" i="70" s="1"/>
  <c r="R11" i="70"/>
  <c r="R12" i="70"/>
  <c r="U12" i="70"/>
  <c r="R15" i="70"/>
  <c r="T25" i="70"/>
  <c r="W25" i="70" s="1"/>
  <c r="S29" i="70"/>
  <c r="AA3" i="70"/>
  <c r="AD3" i="70" s="1"/>
  <c r="Z3" i="70"/>
  <c r="AD34" i="70"/>
  <c r="S6" i="70"/>
  <c r="S28" i="70"/>
  <c r="S23" i="70"/>
  <c r="AB3" i="70"/>
  <c r="Y3" i="70"/>
  <c r="E17" i="77"/>
  <c r="E61" i="77"/>
  <c r="B59" i="77" s="1"/>
  <c r="E50" i="78"/>
  <c r="B48" i="78" s="1"/>
  <c r="G393" i="3"/>
  <c r="G391" i="3"/>
  <c r="G389" i="3"/>
  <c r="G372" i="3"/>
  <c r="G370" i="3"/>
  <c r="G368" i="3"/>
  <c r="G365" i="3"/>
  <c r="G356" i="3"/>
  <c r="G354" i="3"/>
  <c r="G348" i="3"/>
  <c r="G344" i="3"/>
  <c r="BA571" i="3"/>
  <c r="BL566" i="3"/>
  <c r="BL562" i="3"/>
  <c r="BA555" i="3"/>
  <c r="BL550" i="3"/>
  <c r="BL546" i="3"/>
  <c r="BL542" i="3"/>
  <c r="BA539" i="3"/>
  <c r="BL530" i="3"/>
  <c r="BL526" i="3"/>
  <c r="BA523" i="3"/>
  <c r="BL514" i="3"/>
  <c r="BL510" i="3"/>
  <c r="BA507" i="3"/>
  <c r="BL498" i="3"/>
  <c r="BL494" i="3"/>
  <c r="BA491" i="3"/>
  <c r="BL482" i="3"/>
  <c r="BL478" i="3"/>
  <c r="BA475" i="3"/>
  <c r="BA471" i="3"/>
  <c r="BL459" i="3"/>
  <c r="BL443" i="3"/>
  <c r="BA432" i="3"/>
  <c r="BA431" i="3"/>
  <c r="BL427" i="3"/>
  <c r="BA423" i="3"/>
  <c r="BL422" i="3"/>
  <c r="BA416" i="3"/>
  <c r="BL414" i="3"/>
  <c r="BA407" i="3"/>
  <c r="BA404" i="3"/>
  <c r="BA403" i="3"/>
  <c r="BL399" i="3"/>
  <c r="BA376" i="3"/>
  <c r="BL358" i="3"/>
  <c r="BA356" i="3"/>
  <c r="BA351" i="3"/>
  <c r="BA339" i="3"/>
  <c r="BL338" i="3"/>
  <c r="BA311" i="3"/>
  <c r="BA280" i="3"/>
  <c r="BL279" i="3"/>
  <c r="BA252" i="3"/>
  <c r="BA235" i="3"/>
  <c r="BA219" i="3"/>
  <c r="BA199" i="3"/>
  <c r="BA174" i="3"/>
  <c r="BA146" i="3"/>
  <c r="BL116" i="3"/>
  <c r="BA90" i="3"/>
  <c r="BA89" i="3"/>
  <c r="BA61" i="3"/>
  <c r="BA45" i="3"/>
  <c r="BA42" i="3"/>
  <c r="BA26" i="3"/>
  <c r="BL25" i="3"/>
  <c r="G331" i="3"/>
  <c r="G329" i="3"/>
  <c r="G327" i="3"/>
  <c r="G317" i="3"/>
  <c r="G304" i="3"/>
  <c r="G300" i="3"/>
  <c r="G296" i="3"/>
  <c r="G288" i="3"/>
  <c r="G284" i="3"/>
  <c r="G280" i="3"/>
  <c r="G278" i="3"/>
  <c r="G272" i="3"/>
  <c r="G268" i="3"/>
  <c r="G264" i="3"/>
  <c r="G262" i="3"/>
  <c r="G256" i="3"/>
  <c r="G252" i="3"/>
  <c r="G248" i="3"/>
  <c r="G246" i="3"/>
  <c r="G240" i="3"/>
  <c r="G236" i="3"/>
  <c r="G232" i="3"/>
  <c r="G230" i="3"/>
  <c r="G224" i="3"/>
  <c r="G220" i="3"/>
  <c r="G216" i="3"/>
  <c r="G214" i="3"/>
  <c r="G204" i="3"/>
  <c r="G200" i="3"/>
  <c r="G198" i="3"/>
  <c r="G197" i="3"/>
  <c r="G195" i="3"/>
  <c r="G191" i="3"/>
  <c r="G190" i="3"/>
  <c r="G189" i="3"/>
  <c r="G186" i="3"/>
  <c r="G176" i="3"/>
  <c r="G171" i="3"/>
  <c r="G166" i="3"/>
  <c r="G165" i="3"/>
  <c r="G163" i="3"/>
  <c r="G161" i="3"/>
  <c r="G159" i="3"/>
  <c r="G158" i="3"/>
  <c r="G157" i="3"/>
  <c r="G154" i="3"/>
  <c r="G144" i="3"/>
  <c r="G140" i="3"/>
  <c r="G139" i="3"/>
  <c r="G134" i="3"/>
  <c r="G127" i="3"/>
  <c r="G123" i="3"/>
  <c r="G122" i="3"/>
  <c r="G121" i="3"/>
  <c r="G108" i="3"/>
  <c r="G106" i="3"/>
  <c r="G105" i="3"/>
  <c r="G99" i="3"/>
  <c r="G98" i="3"/>
  <c r="G97" i="3"/>
  <c r="G95" i="3"/>
  <c r="G87" i="3"/>
  <c r="G84" i="3"/>
  <c r="G80" i="3"/>
  <c r="G76" i="3"/>
  <c r="G74" i="3"/>
  <c r="G59" i="3"/>
  <c r="G57" i="3"/>
  <c r="G55" i="3"/>
  <c r="G53" i="3"/>
  <c r="G50" i="3"/>
  <c r="G40" i="3"/>
  <c r="G36" i="3"/>
  <c r="G35" i="3"/>
  <c r="G26" i="3"/>
  <c r="G24" i="3"/>
  <c r="G23" i="3"/>
  <c r="G21" i="3"/>
  <c r="G16" i="3"/>
  <c r="G14" i="3"/>
  <c r="BL570" i="3"/>
  <c r="BA563" i="3"/>
  <c r="BL558" i="3"/>
  <c r="BL554" i="3"/>
  <c r="BA547" i="3"/>
  <c r="BL538" i="3"/>
  <c r="BL534" i="3"/>
  <c r="BA531" i="3"/>
  <c r="BL522" i="3"/>
  <c r="BL518" i="3"/>
  <c r="BA515" i="3"/>
  <c r="BL506" i="3"/>
  <c r="BL502" i="3"/>
  <c r="BA499" i="3"/>
  <c r="BL490" i="3"/>
  <c r="BL486" i="3"/>
  <c r="BA483" i="3"/>
  <c r="BA428" i="3"/>
  <c r="BL426" i="3"/>
  <c r="BA420" i="3"/>
  <c r="BA419" i="3"/>
  <c r="BA411" i="3"/>
  <c r="BL410" i="3"/>
  <c r="BA408" i="3"/>
  <c r="BL406" i="3"/>
  <c r="BA400" i="3"/>
  <c r="BA391" i="3"/>
  <c r="BA388" i="3"/>
  <c r="BA368" i="3"/>
  <c r="BL366" i="3"/>
  <c r="BA360" i="3"/>
  <c r="BA347" i="3"/>
  <c r="BA340" i="3"/>
  <c r="BA327" i="3"/>
  <c r="BA295" i="3"/>
  <c r="BA291" i="3"/>
  <c r="BA263" i="3"/>
  <c r="BA255" i="3"/>
  <c r="BA244" i="3"/>
  <c r="BA227" i="3"/>
  <c r="BA208" i="3"/>
  <c r="BA187" i="3"/>
  <c r="BL186" i="3"/>
  <c r="BL161" i="3"/>
  <c r="BL129" i="3"/>
  <c r="BA126" i="3"/>
  <c r="BA104" i="3"/>
  <c r="BL96" i="3"/>
  <c r="BL76" i="3"/>
  <c r="BL41" i="3"/>
  <c r="BL38" i="3"/>
  <c r="BL28" i="3"/>
  <c r="BA399" i="3"/>
  <c r="AZ399" i="3" s="1"/>
  <c r="BA395" i="3"/>
  <c r="BL394" i="3"/>
  <c r="BL391" i="3"/>
  <c r="BA387" i="3"/>
  <c r="BL382" i="3"/>
  <c r="BA379" i="3"/>
  <c r="BA375" i="3"/>
  <c r="BA372" i="3"/>
  <c r="BL362" i="3"/>
  <c r="BA359" i="3"/>
  <c r="BA352" i="3"/>
  <c r="BL350" i="3"/>
  <c r="BA343" i="3"/>
  <c r="BL339" i="3"/>
  <c r="BA335" i="3"/>
  <c r="BL334" i="3"/>
  <c r="BL327" i="3"/>
  <c r="BA320" i="3"/>
  <c r="BL302" i="3"/>
  <c r="BL295" i="3"/>
  <c r="BA276" i="3"/>
  <c r="BL263" i="3"/>
  <c r="BL258" i="3"/>
  <c r="BL227" i="3"/>
  <c r="BL222" i="3"/>
  <c r="BL219" i="3"/>
  <c r="BL199" i="3"/>
  <c r="BL190" i="3"/>
  <c r="BL187" i="3"/>
  <c r="BA183" i="3"/>
  <c r="BL121" i="3"/>
  <c r="BL92" i="3"/>
  <c r="BA77" i="3"/>
  <c r="BL68" i="3"/>
  <c r="BL54" i="3"/>
  <c r="BA29" i="3"/>
  <c r="BL22" i="3"/>
  <c r="BL16" i="3"/>
  <c r="H46" i="34"/>
  <c r="H28" i="34"/>
  <c r="H9" i="34"/>
  <c r="H21" i="76"/>
  <c r="U14" i="88"/>
  <c r="F64" i="40"/>
  <c r="G64" i="40" s="1"/>
  <c r="G66" i="40" s="1"/>
  <c r="E66" i="40"/>
  <c r="AB13" i="36"/>
  <c r="U13" i="36"/>
  <c r="M87" i="9"/>
  <c r="N87" i="9" s="1"/>
  <c r="M86" i="9"/>
  <c r="N86" i="9" s="1"/>
  <c r="M85" i="9"/>
  <c r="N85" i="9" s="1"/>
  <c r="M84" i="9"/>
  <c r="N84" i="9" s="1"/>
  <c r="M83" i="9"/>
  <c r="N83" i="9" s="1"/>
  <c r="N89" i="9" s="1"/>
  <c r="O89" i="9" s="1"/>
  <c r="M88" i="9"/>
  <c r="N88" i="9" s="1"/>
  <c r="D69" i="39"/>
  <c r="C71" i="39"/>
  <c r="AA45" i="39"/>
  <c r="S45" i="39"/>
  <c r="S11" i="36"/>
  <c r="AA11" i="36"/>
  <c r="AA19" i="37"/>
  <c r="AC23" i="40"/>
  <c r="AA16" i="35"/>
  <c r="AB28" i="36"/>
  <c r="J11" i="36"/>
  <c r="W23" i="36"/>
  <c r="E9" i="76"/>
  <c r="E11" i="76"/>
  <c r="E8" i="76"/>
  <c r="E10" i="76"/>
  <c r="F13" i="36"/>
  <c r="F24" i="36"/>
  <c r="S24" i="36" s="1"/>
  <c r="U22" i="36"/>
  <c r="F34" i="35"/>
  <c r="AA34" i="35" s="1"/>
  <c r="H23" i="36"/>
  <c r="J24" i="36"/>
  <c r="F26" i="37"/>
  <c r="D66" i="40"/>
  <c r="H54" i="46"/>
  <c r="H56" i="46"/>
  <c r="G21" i="46"/>
  <c r="AB21" i="39"/>
  <c r="W14" i="39"/>
  <c r="AC15" i="40"/>
  <c r="AB34" i="35"/>
  <c r="U34" i="35"/>
  <c r="F39" i="37"/>
  <c r="AA39" i="37" s="1"/>
  <c r="H39" i="37"/>
  <c r="D35" i="59"/>
  <c r="C36" i="59"/>
  <c r="H64" i="46"/>
  <c r="H65" i="46"/>
  <c r="S37" i="40"/>
  <c r="S15" i="39"/>
  <c r="AB23" i="40"/>
  <c r="A25" i="51"/>
  <c r="B18" i="63" s="1"/>
  <c r="AC47" i="39"/>
  <c r="AB32" i="40"/>
  <c r="H53" i="46"/>
  <c r="H51" i="46"/>
  <c r="H62" i="46"/>
  <c r="S29" i="40"/>
  <c r="AC17" i="37"/>
  <c r="AA26" i="35"/>
  <c r="S41" i="39"/>
  <c r="W34" i="35"/>
  <c r="W8" i="36"/>
  <c r="U16" i="36"/>
  <c r="W11" i="35"/>
  <c r="S25" i="39"/>
  <c r="S14" i="39"/>
  <c r="W13" i="39"/>
  <c r="W25" i="40"/>
  <c r="U15" i="40"/>
  <c r="AA33" i="37"/>
  <c r="S17" i="37"/>
  <c r="S27" i="35"/>
  <c r="U9" i="36"/>
  <c r="W14" i="35"/>
  <c r="U11" i="36"/>
  <c r="W33" i="39"/>
  <c r="S41" i="40"/>
  <c r="AB16" i="39"/>
  <c r="S12" i="35"/>
  <c r="AB40" i="37"/>
  <c r="AC34" i="36"/>
  <c r="AB31" i="35"/>
  <c r="AC22" i="36"/>
  <c r="W22" i="36"/>
  <c r="B28" i="59"/>
  <c r="B27" i="59" s="1"/>
  <c r="S29" i="59"/>
  <c r="F25" i="69"/>
  <c r="G25" i="69" s="1"/>
  <c r="G24" i="69"/>
  <c r="E9" i="78"/>
  <c r="E10" i="78"/>
  <c r="G12" i="1"/>
  <c r="C80" i="59"/>
  <c r="Q69" i="59"/>
  <c r="S69" i="59"/>
  <c r="B68" i="59"/>
  <c r="V25" i="59"/>
  <c r="C24" i="59"/>
  <c r="AA24" i="59"/>
  <c r="C15" i="69"/>
  <c r="AD28" i="70"/>
  <c r="N80" i="76"/>
  <c r="D80" i="76"/>
  <c r="E72" i="76" s="1"/>
  <c r="B70" i="76" s="1"/>
  <c r="C28" i="76" s="1"/>
  <c r="I3" i="72" s="1"/>
  <c r="B65" i="78"/>
  <c r="B75" i="78"/>
  <c r="C18" i="9"/>
  <c r="K145" i="21"/>
  <c r="D68" i="59"/>
  <c r="D77" i="59"/>
  <c r="U69" i="59"/>
  <c r="O69" i="59"/>
  <c r="X28" i="59"/>
  <c r="B52" i="59"/>
  <c r="B53" i="59" s="1"/>
  <c r="S53" i="59" s="1"/>
  <c r="F68" i="59"/>
  <c r="B72" i="59"/>
  <c r="B71" i="59" s="1"/>
  <c r="AA34" i="59"/>
  <c r="A30" i="51"/>
  <c r="B22" i="63" s="1"/>
  <c r="AA3" i="59"/>
  <c r="X11" i="59"/>
  <c r="X19" i="59"/>
  <c r="X22" i="59"/>
  <c r="Y13" i="59"/>
  <c r="Z13" i="59" s="1"/>
  <c r="Y19" i="59"/>
  <c r="Z19" i="59" s="1"/>
  <c r="AB15" i="59"/>
  <c r="M3" i="70"/>
  <c r="P3" i="70" s="1"/>
  <c r="T10" i="70"/>
  <c r="W10" i="70" s="1"/>
  <c r="S3" i="70"/>
  <c r="T14" i="70"/>
  <c r="W14" i="70" s="1"/>
  <c r="T31" i="70"/>
  <c r="W31" i="70" s="1"/>
  <c r="T5" i="70"/>
  <c r="W5" i="70" s="1"/>
  <c r="P29" i="70"/>
  <c r="U8" i="70"/>
  <c r="T11" i="70"/>
  <c r="W11" i="70" s="1"/>
  <c r="T12" i="70"/>
  <c r="W12" i="70" s="1"/>
  <c r="U32" i="70"/>
  <c r="AA23" i="70"/>
  <c r="AD23" i="70" s="1"/>
  <c r="S2" i="46"/>
  <c r="C7" i="69"/>
  <c r="D7" i="69" s="1"/>
  <c r="H53" i="77"/>
  <c r="H55" i="77"/>
  <c r="E40" i="59"/>
  <c r="E41" i="59" s="1"/>
  <c r="E50" i="76"/>
  <c r="B48" i="76" s="1"/>
  <c r="E93" i="76"/>
  <c r="B91" i="76" s="1"/>
  <c r="N50" i="77"/>
  <c r="D50" i="77"/>
  <c r="E83" i="78"/>
  <c r="B81" i="78" s="1"/>
  <c r="P62" i="79"/>
  <c r="AA45" i="86"/>
  <c r="S45" i="86"/>
  <c r="AB9" i="86"/>
  <c r="U9" i="86"/>
  <c r="C67" i="59"/>
  <c r="D81" i="59"/>
  <c r="C76" i="59"/>
  <c r="E35" i="59"/>
  <c r="E36" i="59" s="1"/>
  <c r="E37" i="59" s="1"/>
  <c r="U37" i="59" s="1"/>
  <c r="B44" i="59"/>
  <c r="B45" i="59" s="1"/>
  <c r="S45" i="59" s="1"/>
  <c r="B64" i="59"/>
  <c r="B65" i="59" s="1"/>
  <c r="S65" i="59" s="1"/>
  <c r="K76" i="9"/>
  <c r="K77" i="9" s="1"/>
  <c r="K79" i="9" s="1"/>
  <c r="K81" i="9" s="1"/>
  <c r="AB24" i="59"/>
  <c r="X26" i="59"/>
  <c r="AB37" i="59"/>
  <c r="AB36" i="59"/>
  <c r="AB29" i="59"/>
  <c r="AB25" i="59"/>
  <c r="AB3" i="59"/>
  <c r="AA13" i="59"/>
  <c r="AA22" i="59"/>
  <c r="B18" i="69"/>
  <c r="R3" i="70"/>
  <c r="U9" i="70"/>
  <c r="T33" i="70"/>
  <c r="W33" i="70" s="1"/>
  <c r="T23" i="70"/>
  <c r="W23" i="70" s="1"/>
  <c r="T28" i="70"/>
  <c r="W28" i="70" s="1"/>
  <c r="U28" i="70"/>
  <c r="R7" i="70"/>
  <c r="V6" i="70"/>
  <c r="U10" i="70"/>
  <c r="R13" i="70"/>
  <c r="R14" i="70"/>
  <c r="V14" i="70"/>
  <c r="V15" i="70"/>
  <c r="L23" i="70"/>
  <c r="AD29" i="70"/>
  <c r="AD30" i="70"/>
  <c r="U27" i="70"/>
  <c r="T32" i="70"/>
  <c r="W32" i="70" s="1"/>
  <c r="S32" i="70"/>
  <c r="AD35" i="70"/>
  <c r="H94" i="46"/>
  <c r="S6" i="46"/>
  <c r="H57" i="77"/>
  <c r="E61" i="76"/>
  <c r="B59" i="76" s="1"/>
  <c r="B75" i="77"/>
  <c r="N93" i="78"/>
  <c r="D93" i="78"/>
  <c r="AA29" i="86"/>
  <c r="S29" i="86"/>
  <c r="AA26" i="86"/>
  <c r="S26" i="86"/>
  <c r="Y32" i="59"/>
  <c r="Z32" i="59" s="1"/>
  <c r="Y26" i="59"/>
  <c r="Z26" i="59" s="1"/>
  <c r="X13" i="59"/>
  <c r="U3" i="70"/>
  <c r="S8" i="70"/>
  <c r="T6" i="70"/>
  <c r="W6" i="70" s="1"/>
  <c r="T15" i="70"/>
  <c r="W15" i="70" s="1"/>
  <c r="S14" i="70"/>
  <c r="P25" i="70"/>
  <c r="S27" i="70"/>
  <c r="S35" i="70"/>
  <c r="H95" i="46"/>
  <c r="C27" i="46"/>
  <c r="S3" i="46"/>
  <c r="E83" i="77"/>
  <c r="B81" i="77" s="1"/>
  <c r="B56" i="78"/>
  <c r="B94" i="78"/>
  <c r="C25" i="43"/>
  <c r="C24" i="43"/>
  <c r="AA31" i="86"/>
  <c r="S31" i="86"/>
  <c r="AA13" i="86"/>
  <c r="S13" i="86"/>
  <c r="H31" i="33"/>
  <c r="F46" i="33"/>
  <c r="F33" i="33"/>
  <c r="F12" i="33"/>
  <c r="C24" i="78"/>
  <c r="G5" i="72" s="1"/>
  <c r="M6" i="76"/>
  <c r="J46" i="21"/>
  <c r="H14" i="21"/>
  <c r="K21" i="77"/>
  <c r="G564" i="3"/>
  <c r="G557" i="3"/>
  <c r="G548" i="3"/>
  <c r="G541" i="3"/>
  <c r="G532" i="3"/>
  <c r="G520" i="3"/>
  <c r="G513" i="3"/>
  <c r="G504" i="3"/>
  <c r="G497" i="3"/>
  <c r="G488" i="3"/>
  <c r="G481" i="3"/>
  <c r="G472" i="3"/>
  <c r="G465" i="3"/>
  <c r="G456" i="3"/>
  <c r="G449" i="3"/>
  <c r="G440" i="3"/>
  <c r="G433" i="3"/>
  <c r="G426" i="3"/>
  <c r="G419" i="3"/>
  <c r="G410" i="3"/>
  <c r="G403" i="3"/>
  <c r="G394" i="3"/>
  <c r="G387" i="3"/>
  <c r="G373" i="3"/>
  <c r="G366" i="3"/>
  <c r="G357" i="3"/>
  <c r="G350" i="3"/>
  <c r="G341" i="3"/>
  <c r="G334" i="3"/>
  <c r="G325" i="3"/>
  <c r="G318" i="3"/>
  <c r="G315" i="3"/>
  <c r="G297" i="3"/>
  <c r="G290" i="3"/>
  <c r="G281" i="3"/>
  <c r="G274" i="3"/>
  <c r="G265" i="3"/>
  <c r="G258" i="3"/>
  <c r="G249" i="3"/>
  <c r="G242" i="3"/>
  <c r="G233" i="3"/>
  <c r="G226" i="3"/>
  <c r="G217" i="3"/>
  <c r="G201" i="3"/>
  <c r="G194" i="3"/>
  <c r="G188" i="3"/>
  <c r="G185" i="3"/>
  <c r="G178" i="3"/>
  <c r="G172" i="3"/>
  <c r="G169" i="3"/>
  <c r="G162" i="3"/>
  <c r="G156" i="3"/>
  <c r="G153" i="3"/>
  <c r="G146" i="3"/>
  <c r="G137" i="3"/>
  <c r="G82" i="3"/>
  <c r="G73" i="3"/>
  <c r="G71" i="3"/>
  <c r="G69" i="3"/>
  <c r="F15" i="33"/>
  <c r="W11" i="86"/>
  <c r="W30" i="86"/>
  <c r="U31" i="86"/>
  <c r="U35" i="86"/>
  <c r="W39" i="86"/>
  <c r="W42" i="86"/>
  <c r="C21" i="77"/>
  <c r="J30" i="21"/>
  <c r="H27" i="21"/>
  <c r="H13" i="21"/>
  <c r="F29" i="6"/>
  <c r="E29" i="6" s="1"/>
  <c r="O21" i="77"/>
  <c r="I21" i="77"/>
  <c r="J45" i="86"/>
  <c r="H28" i="86"/>
  <c r="AB28" i="86" s="1"/>
  <c r="H14" i="86"/>
  <c r="M21" i="78"/>
  <c r="G569" i="3"/>
  <c r="G560" i="3"/>
  <c r="G558" i="3"/>
  <c r="G553" i="3"/>
  <c r="G544" i="3"/>
  <c r="G542" i="3"/>
  <c r="G537" i="3"/>
  <c r="G528" i="3"/>
  <c r="G526" i="3"/>
  <c r="G523" i="3"/>
  <c r="G516" i="3"/>
  <c r="G514" i="3"/>
  <c r="G509" i="3"/>
  <c r="G500" i="3"/>
  <c r="G498" i="3"/>
  <c r="G493" i="3"/>
  <c r="G484" i="3"/>
  <c r="G482" i="3"/>
  <c r="G477" i="3"/>
  <c r="G468" i="3"/>
  <c r="G466" i="3"/>
  <c r="G461" i="3"/>
  <c r="G452" i="3"/>
  <c r="G450" i="3"/>
  <c r="G445" i="3"/>
  <c r="G436" i="3"/>
  <c r="G434" i="3"/>
  <c r="G429" i="3"/>
  <c r="G422" i="3"/>
  <c r="G420" i="3"/>
  <c r="G415" i="3"/>
  <c r="G406" i="3"/>
  <c r="G404" i="3"/>
  <c r="G399" i="3"/>
  <c r="G390" i="3"/>
  <c r="G383" i="3"/>
  <c r="G378" i="3"/>
  <c r="G369" i="3"/>
  <c r="G367" i="3"/>
  <c r="G362" i="3"/>
  <c r="G353" i="3"/>
  <c r="G346" i="3"/>
  <c r="G337" i="3"/>
  <c r="G330" i="3"/>
  <c r="G321" i="3"/>
  <c r="G311" i="3"/>
  <c r="G309" i="3"/>
  <c r="G302" i="3"/>
  <c r="G293" i="3"/>
  <c r="G286" i="3"/>
  <c r="G277" i="3"/>
  <c r="G270" i="3"/>
  <c r="G261" i="3"/>
  <c r="G254" i="3"/>
  <c r="G245" i="3"/>
  <c r="G238" i="3"/>
  <c r="G229" i="3"/>
  <c r="G222" i="3"/>
  <c r="G213" i="3"/>
  <c r="G206" i="3"/>
  <c r="G184" i="3"/>
  <c r="G168" i="3"/>
  <c r="G152" i="3"/>
  <c r="G136" i="3"/>
  <c r="G133" i="3"/>
  <c r="G126" i="3"/>
  <c r="G120" i="3"/>
  <c r="G117" i="3"/>
  <c r="G110" i="3"/>
  <c r="G104" i="3"/>
  <c r="G101" i="3"/>
  <c r="G94" i="3"/>
  <c r="G88" i="3"/>
  <c r="G85" i="3"/>
  <c r="G78" i="3"/>
  <c r="G72" i="3"/>
  <c r="E72" i="78"/>
  <c r="B70" i="78" s="1"/>
  <c r="H12" i="33"/>
  <c r="F31" i="33"/>
  <c r="F14" i="33"/>
  <c r="J46" i="33"/>
  <c r="W26" i="86"/>
  <c r="W35" i="86"/>
  <c r="W43" i="86"/>
  <c r="J29" i="21"/>
  <c r="J14" i="21"/>
  <c r="H46" i="21"/>
  <c r="H30" i="21"/>
  <c r="M21" i="77"/>
  <c r="H21" i="77"/>
  <c r="C6" i="77"/>
  <c r="B4" i="72" s="1"/>
  <c r="J28" i="86"/>
  <c r="AC28" i="86" s="1"/>
  <c r="J12" i="86"/>
  <c r="J9" i="86"/>
  <c r="H26" i="86"/>
  <c r="K21" i="78"/>
  <c r="C6" i="78"/>
  <c r="B5" i="72" s="1"/>
  <c r="F28" i="6"/>
  <c r="F30" i="6" s="1"/>
  <c r="G570" i="3"/>
  <c r="G554" i="3"/>
  <c r="G538" i="3"/>
  <c r="G522" i="3"/>
  <c r="G510" i="3"/>
  <c r="G494" i="3"/>
  <c r="G478" i="3"/>
  <c r="G462" i="3"/>
  <c r="G446" i="3"/>
  <c r="G430" i="3"/>
  <c r="G428" i="3"/>
  <c r="G416" i="3"/>
  <c r="G400" i="3"/>
  <c r="G395" i="3"/>
  <c r="G386" i="3"/>
  <c r="G384" i="3"/>
  <c r="G379" i="3"/>
  <c r="G374" i="3"/>
  <c r="G363" i="3"/>
  <c r="G358" i="3"/>
  <c r="G352" i="3"/>
  <c r="G349" i="3"/>
  <c r="G342" i="3"/>
  <c r="G336" i="3"/>
  <c r="G333" i="3"/>
  <c r="G326" i="3"/>
  <c r="G320" i="3"/>
  <c r="G312" i="3"/>
  <c r="G308" i="3"/>
  <c r="G305" i="3"/>
  <c r="G292" i="3"/>
  <c r="G289" i="3"/>
  <c r="G282" i="3"/>
  <c r="G276" i="3"/>
  <c r="G273" i="3"/>
  <c r="G266" i="3"/>
  <c r="G260" i="3"/>
  <c r="G257" i="3"/>
  <c r="G250" i="3"/>
  <c r="G244" i="3"/>
  <c r="G241" i="3"/>
  <c r="G234" i="3"/>
  <c r="G228" i="3"/>
  <c r="G225" i="3"/>
  <c r="G218" i="3"/>
  <c r="G212" i="3"/>
  <c r="G209" i="3"/>
  <c r="G202" i="3"/>
  <c r="G196" i="3"/>
  <c r="G193" i="3"/>
  <c r="G180" i="3"/>
  <c r="G164" i="3"/>
  <c r="G148" i="3"/>
  <c r="G132" i="3"/>
  <c r="G208" i="3"/>
  <c r="G128" i="3"/>
  <c r="G125" i="3"/>
  <c r="G118" i="3"/>
  <c r="G112" i="3"/>
  <c r="G109" i="3"/>
  <c r="G102" i="3"/>
  <c r="G96" i="3"/>
  <c r="G93" i="3"/>
  <c r="G86" i="3"/>
  <c r="G77" i="3"/>
  <c r="G65" i="3"/>
  <c r="G58" i="3"/>
  <c r="G49" i="3"/>
  <c r="G42" i="3"/>
  <c r="G33" i="3"/>
  <c r="G30" i="3"/>
  <c r="G25" i="3"/>
  <c r="G22" i="3"/>
  <c r="BA568" i="3"/>
  <c r="AZ568" i="3" s="1"/>
  <c r="BA565" i="3"/>
  <c r="BA560" i="3"/>
  <c r="BA557" i="3"/>
  <c r="BA552" i="3"/>
  <c r="AZ552" i="3" s="1"/>
  <c r="BA549" i="3"/>
  <c r="BA544" i="3"/>
  <c r="BA541" i="3"/>
  <c r="BA536" i="3"/>
  <c r="AZ536" i="3" s="1"/>
  <c r="BA533" i="3"/>
  <c r="BA528" i="3"/>
  <c r="BA525" i="3"/>
  <c r="BA520" i="3"/>
  <c r="AZ520" i="3" s="1"/>
  <c r="BA517" i="3"/>
  <c r="BA512" i="3"/>
  <c r="BA509" i="3"/>
  <c r="BA504" i="3"/>
  <c r="AZ504" i="3" s="1"/>
  <c r="BA501" i="3"/>
  <c r="BA496" i="3"/>
  <c r="BA493" i="3"/>
  <c r="BA488" i="3"/>
  <c r="AZ488" i="3" s="1"/>
  <c r="BA485" i="3"/>
  <c r="BA480" i="3"/>
  <c r="BA477" i="3"/>
  <c r="BA472" i="3"/>
  <c r="AZ472" i="3" s="1"/>
  <c r="BL469" i="3"/>
  <c r="BL467" i="3"/>
  <c r="BA466" i="3"/>
  <c r="AZ466" i="3" s="1"/>
  <c r="BA463" i="3"/>
  <c r="AZ463" i="3" s="1"/>
  <c r="BA460" i="3"/>
  <c r="BA455" i="3"/>
  <c r="BL454" i="3"/>
  <c r="BL450" i="3"/>
  <c r="BL442" i="3"/>
  <c r="BL441" i="3"/>
  <c r="BL434" i="3"/>
  <c r="AZ388" i="3"/>
  <c r="G70" i="3"/>
  <c r="G64" i="3"/>
  <c r="G61" i="3"/>
  <c r="G54" i="3"/>
  <c r="G48" i="3"/>
  <c r="G45" i="3"/>
  <c r="G38" i="3"/>
  <c r="G18" i="3"/>
  <c r="BL571" i="3"/>
  <c r="BA570" i="3"/>
  <c r="AZ570" i="3" s="1"/>
  <c r="BL568" i="3"/>
  <c r="BL565" i="3"/>
  <c r="BL563" i="3"/>
  <c r="AZ563" i="3" s="1"/>
  <c r="BA562" i="3"/>
  <c r="AZ562" i="3" s="1"/>
  <c r="BL560" i="3"/>
  <c r="BL557" i="3"/>
  <c r="BL555" i="3"/>
  <c r="BA554" i="3"/>
  <c r="AZ554" i="3" s="1"/>
  <c r="BL552" i="3"/>
  <c r="BL549" i="3"/>
  <c r="BL547" i="3"/>
  <c r="BA546" i="3"/>
  <c r="AZ546" i="3" s="1"/>
  <c r="BL544" i="3"/>
  <c r="BL541" i="3"/>
  <c r="BL539" i="3"/>
  <c r="BA538" i="3"/>
  <c r="AZ538" i="3" s="1"/>
  <c r="BL536" i="3"/>
  <c r="BL533" i="3"/>
  <c r="BL531" i="3"/>
  <c r="AZ531" i="3" s="1"/>
  <c r="BA530" i="3"/>
  <c r="AZ530" i="3" s="1"/>
  <c r="BL528" i="3"/>
  <c r="BL525" i="3"/>
  <c r="BL523" i="3"/>
  <c r="BA522" i="3"/>
  <c r="AZ522" i="3" s="1"/>
  <c r="BL520" i="3"/>
  <c r="BL517" i="3"/>
  <c r="BL515" i="3"/>
  <c r="BA514" i="3"/>
  <c r="AZ514" i="3" s="1"/>
  <c r="BL512" i="3"/>
  <c r="BL509" i="3"/>
  <c r="BL507" i="3"/>
  <c r="BA506" i="3"/>
  <c r="AZ506" i="3" s="1"/>
  <c r="BL504" i="3"/>
  <c r="BL501" i="3"/>
  <c r="BL499" i="3"/>
  <c r="AZ499" i="3" s="1"/>
  <c r="BA498" i="3"/>
  <c r="AZ498" i="3" s="1"/>
  <c r="BL496" i="3"/>
  <c r="BL493" i="3"/>
  <c r="BL491" i="3"/>
  <c r="BA490" i="3"/>
  <c r="AZ490" i="3" s="1"/>
  <c r="BL488" i="3"/>
  <c r="BL485" i="3"/>
  <c r="AZ485" i="3" s="1"/>
  <c r="BL483" i="3"/>
  <c r="BA482" i="3"/>
  <c r="AZ482" i="3" s="1"/>
  <c r="BL480" i="3"/>
  <c r="BL477" i="3"/>
  <c r="BL475" i="3"/>
  <c r="BA474" i="3"/>
  <c r="AZ474" i="3" s="1"/>
  <c r="BL472" i="3"/>
  <c r="BA468" i="3"/>
  <c r="BA465" i="3"/>
  <c r="BA459" i="3"/>
  <c r="AZ459" i="3" s="1"/>
  <c r="BL457" i="3"/>
  <c r="BA451" i="3"/>
  <c r="BA444" i="3"/>
  <c r="AZ444" i="3" s="1"/>
  <c r="BA435" i="3"/>
  <c r="AZ404" i="3"/>
  <c r="G44" i="3"/>
  <c r="BA572" i="3"/>
  <c r="BA569" i="3"/>
  <c r="BA564" i="3"/>
  <c r="BA561" i="3"/>
  <c r="BA556" i="3"/>
  <c r="BA553" i="3"/>
  <c r="BA548" i="3"/>
  <c r="BA545" i="3"/>
  <c r="BA540" i="3"/>
  <c r="BA537" i="3"/>
  <c r="BA532" i="3"/>
  <c r="BA529" i="3"/>
  <c r="BA524" i="3"/>
  <c r="BA521" i="3"/>
  <c r="BA516" i="3"/>
  <c r="BA513" i="3"/>
  <c r="BA508" i="3"/>
  <c r="BA505" i="3"/>
  <c r="BA500" i="3"/>
  <c r="BA497" i="3"/>
  <c r="BA492" i="3"/>
  <c r="BA489" i="3"/>
  <c r="BA484" i="3"/>
  <c r="BA481" i="3"/>
  <c r="BA476" i="3"/>
  <c r="BA473" i="3"/>
  <c r="BL470" i="3"/>
  <c r="BA470" i="3"/>
  <c r="BL468" i="3"/>
  <c r="BL465" i="3"/>
  <c r="BL462" i="3"/>
  <c r="BA458" i="3"/>
  <c r="BA452" i="3"/>
  <c r="BA447" i="3"/>
  <c r="BA445" i="3"/>
  <c r="AZ445" i="3" s="1"/>
  <c r="BA436" i="3"/>
  <c r="AZ360" i="3"/>
  <c r="G62" i="3"/>
  <c r="G17" i="3"/>
  <c r="G15" i="3"/>
  <c r="BL572" i="3"/>
  <c r="BL569" i="3"/>
  <c r="BL567" i="3"/>
  <c r="AZ567" i="3" s="1"/>
  <c r="BA566" i="3"/>
  <c r="AZ566" i="3" s="1"/>
  <c r="BL564" i="3"/>
  <c r="BL561" i="3"/>
  <c r="BL559" i="3"/>
  <c r="AZ559" i="3" s="1"/>
  <c r="BA558" i="3"/>
  <c r="AZ558" i="3" s="1"/>
  <c r="BL556" i="3"/>
  <c r="BL553" i="3"/>
  <c r="BL551" i="3"/>
  <c r="AZ551" i="3" s="1"/>
  <c r="BA550" i="3"/>
  <c r="AZ550" i="3" s="1"/>
  <c r="BL548" i="3"/>
  <c r="BL545" i="3"/>
  <c r="BL543" i="3"/>
  <c r="AZ543" i="3" s="1"/>
  <c r="BA542" i="3"/>
  <c r="AZ542" i="3" s="1"/>
  <c r="BL540" i="3"/>
  <c r="BL537" i="3"/>
  <c r="BL535" i="3"/>
  <c r="AZ535" i="3" s="1"/>
  <c r="BA534" i="3"/>
  <c r="AZ534" i="3" s="1"/>
  <c r="BL532" i="3"/>
  <c r="BL529" i="3"/>
  <c r="BL527" i="3"/>
  <c r="AZ527" i="3" s="1"/>
  <c r="BA526" i="3"/>
  <c r="AZ526" i="3" s="1"/>
  <c r="BL524" i="3"/>
  <c r="BL521" i="3"/>
  <c r="BL519" i="3"/>
  <c r="AZ519" i="3" s="1"/>
  <c r="BA518" i="3"/>
  <c r="AZ518" i="3" s="1"/>
  <c r="BL516" i="3"/>
  <c r="BL513" i="3"/>
  <c r="BL511" i="3"/>
  <c r="AZ511" i="3" s="1"/>
  <c r="BA510" i="3"/>
  <c r="AZ510" i="3" s="1"/>
  <c r="BL508" i="3"/>
  <c r="BL505" i="3"/>
  <c r="BL503" i="3"/>
  <c r="AZ503" i="3" s="1"/>
  <c r="BA502" i="3"/>
  <c r="AZ502" i="3" s="1"/>
  <c r="BL500" i="3"/>
  <c r="BL497" i="3"/>
  <c r="BL495" i="3"/>
  <c r="AZ495" i="3" s="1"/>
  <c r="BA494" i="3"/>
  <c r="AZ494" i="3" s="1"/>
  <c r="BL492" i="3"/>
  <c r="BL489" i="3"/>
  <c r="BL487" i="3"/>
  <c r="AZ487" i="3" s="1"/>
  <c r="BA486" i="3"/>
  <c r="AZ486" i="3" s="1"/>
  <c r="BL484" i="3"/>
  <c r="BL481" i="3"/>
  <c r="BL479" i="3"/>
  <c r="AZ479" i="3" s="1"/>
  <c r="BA478" i="3"/>
  <c r="AZ478" i="3" s="1"/>
  <c r="BL476" i="3"/>
  <c r="BL473" i="3"/>
  <c r="BL471" i="3"/>
  <c r="AZ471" i="3" s="1"/>
  <c r="BA454" i="3"/>
  <c r="AZ454" i="3" s="1"/>
  <c r="BL452" i="3"/>
  <c r="BA448" i="3"/>
  <c r="BL439" i="3"/>
  <c r="AZ439" i="3" s="1"/>
  <c r="BA438" i="3"/>
  <c r="BL436" i="3"/>
  <c r="BA457" i="3"/>
  <c r="BL455" i="3"/>
  <c r="BL453" i="3"/>
  <c r="BA450" i="3"/>
  <c r="BL448" i="3"/>
  <c r="BA441" i="3"/>
  <c r="BL437" i="3"/>
  <c r="BA434" i="3"/>
  <c r="BL432" i="3"/>
  <c r="AZ432" i="3" s="1"/>
  <c r="BA425" i="3"/>
  <c r="BL423" i="3"/>
  <c r="AZ423" i="3" s="1"/>
  <c r="BA422" i="3"/>
  <c r="BL420" i="3"/>
  <c r="AZ420" i="3" s="1"/>
  <c r="BA413" i="3"/>
  <c r="BL411" i="3"/>
  <c r="AZ411" i="3" s="1"/>
  <c r="BL409" i="3"/>
  <c r="BA406" i="3"/>
  <c r="AZ406" i="3" s="1"/>
  <c r="BL404" i="3"/>
  <c r="BA397" i="3"/>
  <c r="AZ397" i="3" s="1"/>
  <c r="BL395" i="3"/>
  <c r="BA394" i="3"/>
  <c r="BL392" i="3"/>
  <c r="BA392" i="3"/>
  <c r="AZ392" i="3" s="1"/>
  <c r="BL389" i="3"/>
  <c r="BL386" i="3"/>
  <c r="BA377" i="3"/>
  <c r="BL375" i="3"/>
  <c r="AZ375" i="3" s="1"/>
  <c r="BA374" i="3"/>
  <c r="BL372" i="3"/>
  <c r="BL371" i="3"/>
  <c r="BA366" i="3"/>
  <c r="AZ366" i="3" s="1"/>
  <c r="BL364" i="3"/>
  <c r="BA364" i="3"/>
  <c r="AZ364" i="3" s="1"/>
  <c r="BL361" i="3"/>
  <c r="BA358" i="3"/>
  <c r="AZ358" i="3" s="1"/>
  <c r="BL356" i="3"/>
  <c r="AZ356" i="3" s="1"/>
  <c r="BA337" i="3"/>
  <c r="BL335" i="3"/>
  <c r="BA334" i="3"/>
  <c r="BL325" i="3"/>
  <c r="BA324" i="3"/>
  <c r="BL323" i="3"/>
  <c r="BL313" i="3"/>
  <c r="BA304" i="3"/>
  <c r="BA292" i="3"/>
  <c r="BL291" i="3"/>
  <c r="AZ291" i="3" s="1"/>
  <c r="BL289" i="3"/>
  <c r="BL274" i="3"/>
  <c r="BL262" i="3"/>
  <c r="BL261" i="3"/>
  <c r="BL250" i="3"/>
  <c r="BA240" i="3"/>
  <c r="BL226" i="3"/>
  <c r="BL225" i="3"/>
  <c r="BL218" i="3"/>
  <c r="BL214" i="3"/>
  <c r="BA214" i="3"/>
  <c r="BL212" i="3"/>
  <c r="BA203" i="3"/>
  <c r="BA201" i="3"/>
  <c r="BA192" i="3"/>
  <c r="BA158" i="3"/>
  <c r="AZ158" i="3" s="1"/>
  <c r="BL157" i="3"/>
  <c r="BA429" i="3"/>
  <c r="BL425" i="3"/>
  <c r="AZ425" i="3" s="1"/>
  <c r="BA417" i="3"/>
  <c r="BL413" i="3"/>
  <c r="BA410" i="3"/>
  <c r="AZ410" i="3" s="1"/>
  <c r="BL408" i="3"/>
  <c r="BA401" i="3"/>
  <c r="BL397" i="3"/>
  <c r="BA390" i="3"/>
  <c r="BL388" i="3"/>
  <c r="BA382" i="3"/>
  <c r="AZ382" i="3" s="1"/>
  <c r="BL380" i="3"/>
  <c r="BA380" i="3"/>
  <c r="AZ380" i="3" s="1"/>
  <c r="BL377" i="3"/>
  <c r="AZ376" i="3"/>
  <c r="BL374" i="3"/>
  <c r="BL369" i="3"/>
  <c r="BA367" i="3"/>
  <c r="BL353" i="3"/>
  <c r="BL347" i="3"/>
  <c r="BA346" i="3"/>
  <c r="BL344" i="3"/>
  <c r="BA344" i="3"/>
  <c r="AZ344" i="3" s="1"/>
  <c r="BA341" i="3"/>
  <c r="BL337" i="3"/>
  <c r="BL330" i="3"/>
  <c r="BA326" i="3"/>
  <c r="BL324" i="3"/>
  <c r="BL318" i="3"/>
  <c r="BA318" i="3"/>
  <c r="BL316" i="3"/>
  <c r="BA316" i="3"/>
  <c r="BA307" i="3"/>
  <c r="BL306" i="3"/>
  <c r="BA294" i="3"/>
  <c r="BL292" i="3"/>
  <c r="BL266" i="3"/>
  <c r="BL253" i="3"/>
  <c r="BA251" i="3"/>
  <c r="BL242" i="3"/>
  <c r="BA242" i="3"/>
  <c r="BL240" i="3"/>
  <c r="BA228" i="3"/>
  <c r="BA215" i="3"/>
  <c r="BA206" i="3"/>
  <c r="BL204" i="3"/>
  <c r="BA204" i="3"/>
  <c r="BL194" i="3"/>
  <c r="BL181" i="3"/>
  <c r="BL179" i="3"/>
  <c r="BL174" i="3"/>
  <c r="BL162" i="3"/>
  <c r="BA102" i="3"/>
  <c r="BL100" i="3"/>
  <c r="BA98" i="3"/>
  <c r="BA57" i="3"/>
  <c r="BL456" i="3"/>
  <c r="AZ456" i="3" s="1"/>
  <c r="BA449" i="3"/>
  <c r="BL447" i="3"/>
  <c r="BL445" i="3"/>
  <c r="BA442" i="3"/>
  <c r="AZ442" i="3" s="1"/>
  <c r="BL440" i="3"/>
  <c r="AZ440" i="3" s="1"/>
  <c r="BL438" i="3"/>
  <c r="BA433" i="3"/>
  <c r="BL431" i="3"/>
  <c r="BL429" i="3"/>
  <c r="BA426" i="3"/>
  <c r="AZ426" i="3" s="1"/>
  <c r="BL424" i="3"/>
  <c r="AZ424" i="3" s="1"/>
  <c r="BA421" i="3"/>
  <c r="BL419" i="3"/>
  <c r="BL417" i="3"/>
  <c r="BA414" i="3"/>
  <c r="AZ414" i="3" s="1"/>
  <c r="BL412" i="3"/>
  <c r="AZ412" i="3" s="1"/>
  <c r="BA405" i="3"/>
  <c r="BL403" i="3"/>
  <c r="BL401" i="3"/>
  <c r="BA398" i="3"/>
  <c r="BL396" i="3"/>
  <c r="AZ396" i="3" s="1"/>
  <c r="BA393" i="3"/>
  <c r="BL385" i="3"/>
  <c r="BA383" i="3"/>
  <c r="BL379" i="3"/>
  <c r="AZ379" i="3" s="1"/>
  <c r="BA378" i="3"/>
  <c r="BL376" i="3"/>
  <c r="AZ371" i="3"/>
  <c r="BA370" i="3"/>
  <c r="BL368" i="3"/>
  <c r="BA365" i="3"/>
  <c r="BA357" i="3"/>
  <c r="BA354" i="3"/>
  <c r="BL352" i="3"/>
  <c r="BA349" i="3"/>
  <c r="BL346" i="3"/>
  <c r="BL343" i="3"/>
  <c r="AZ343" i="3" s="1"/>
  <c r="BL341" i="3"/>
  <c r="BA338" i="3"/>
  <c r="AZ338" i="3" s="1"/>
  <c r="BL336" i="3"/>
  <c r="AZ336" i="3" s="1"/>
  <c r="BA333" i="3"/>
  <c r="BA331" i="3"/>
  <c r="BL310" i="3"/>
  <c r="BL309" i="3"/>
  <c r="BA299" i="3"/>
  <c r="BA297" i="3"/>
  <c r="BA284" i="3"/>
  <c r="BL271" i="3"/>
  <c r="BA271" i="3"/>
  <c r="BA267" i="3"/>
  <c r="BA256" i="3"/>
  <c r="BA243" i="3"/>
  <c r="BA231" i="3"/>
  <c r="BA229" i="3"/>
  <c r="BL217" i="3"/>
  <c r="BA211" i="3"/>
  <c r="BL206" i="3"/>
  <c r="BL197" i="3"/>
  <c r="BA195" i="3"/>
  <c r="BA81" i="3"/>
  <c r="BL73" i="3"/>
  <c r="BA469" i="3"/>
  <c r="BL458" i="3"/>
  <c r="AZ458" i="3" s="1"/>
  <c r="BA453" i="3"/>
  <c r="BL451" i="3"/>
  <c r="BL449" i="3"/>
  <c r="BA446" i="3"/>
  <c r="AZ446" i="3" s="1"/>
  <c r="BL444" i="3"/>
  <c r="BA437" i="3"/>
  <c r="BL435" i="3"/>
  <c r="BL433" i="3"/>
  <c r="BA430" i="3"/>
  <c r="AZ430" i="3" s="1"/>
  <c r="BL428" i="3"/>
  <c r="AZ428" i="3" s="1"/>
  <c r="BL421" i="3"/>
  <c r="BA418" i="3"/>
  <c r="AZ418" i="3" s="1"/>
  <c r="BL416" i="3"/>
  <c r="AZ416" i="3" s="1"/>
  <c r="BA409" i="3"/>
  <c r="AZ409" i="3" s="1"/>
  <c r="BL407" i="3"/>
  <c r="BL405" i="3"/>
  <c r="BA402" i="3"/>
  <c r="AZ402" i="3" s="1"/>
  <c r="BA389" i="3"/>
  <c r="BL387" i="3"/>
  <c r="BA386" i="3"/>
  <c r="AZ386" i="3" s="1"/>
  <c r="BL384" i="3"/>
  <c r="BA381" i="3"/>
  <c r="BL373" i="3"/>
  <c r="BL370" i="3"/>
  <c r="BA363" i="3"/>
  <c r="AZ363" i="3" s="1"/>
  <c r="BA361" i="3"/>
  <c r="AZ361" i="3" s="1"/>
  <c r="BL359" i="3"/>
  <c r="BL357" i="3"/>
  <c r="AZ357" i="3" s="1"/>
  <c r="BL354" i="3"/>
  <c r="BL351" i="3"/>
  <c r="BL349" i="3"/>
  <c r="BA348" i="3"/>
  <c r="BA345" i="3"/>
  <c r="BA323" i="3"/>
  <c r="AZ323" i="3" s="1"/>
  <c r="BA315" i="3"/>
  <c r="BL311" i="3"/>
  <c r="AZ311" i="3" s="1"/>
  <c r="BA296" i="3"/>
  <c r="BL287" i="3"/>
  <c r="BL286" i="3"/>
  <c r="BA272" i="3"/>
  <c r="BA259" i="3"/>
  <c r="BL246" i="3"/>
  <c r="BL245" i="3"/>
  <c r="BA239" i="3"/>
  <c r="BA234" i="3"/>
  <c r="BL232" i="3"/>
  <c r="BA232" i="3"/>
  <c r="BA223" i="3"/>
  <c r="BA212" i="3"/>
  <c r="BA200" i="3"/>
  <c r="BL198" i="3"/>
  <c r="BL153" i="3"/>
  <c r="BL152" i="3"/>
  <c r="BA151" i="3"/>
  <c r="BL150" i="3"/>
  <c r="BA142" i="3"/>
  <c r="BA138" i="3"/>
  <c r="BL322" i="3"/>
  <c r="BA313" i="3"/>
  <c r="BA309" i="3"/>
  <c r="BL307" i="3"/>
  <c r="BA306" i="3"/>
  <c r="BL304" i="3"/>
  <c r="BA301" i="3"/>
  <c r="BL293" i="3"/>
  <c r="BA289" i="3"/>
  <c r="BA286" i="3"/>
  <c r="BL284" i="3"/>
  <c r="BL283" i="3"/>
  <c r="BA283" i="3"/>
  <c r="BL281" i="3"/>
  <c r="BL278" i="3"/>
  <c r="BA264" i="3"/>
  <c r="BA261" i="3"/>
  <c r="AZ261" i="3" s="1"/>
  <c r="BL259" i="3"/>
  <c r="BA258" i="3"/>
  <c r="AZ258" i="3" s="1"/>
  <c r="BL256" i="3"/>
  <c r="BL255" i="3"/>
  <c r="AZ255" i="3" s="1"/>
  <c r="BA250" i="3"/>
  <c r="AZ250" i="3" s="1"/>
  <c r="BL248" i="3"/>
  <c r="AZ248" i="3" s="1"/>
  <c r="BA248" i="3"/>
  <c r="BA245" i="3"/>
  <c r="BL243" i="3"/>
  <c r="BL241" i="3"/>
  <c r="AZ241" i="3" s="1"/>
  <c r="BL238" i="3"/>
  <c r="BA225" i="3"/>
  <c r="BL223" i="3"/>
  <c r="BA222" i="3"/>
  <c r="AZ222" i="3" s="1"/>
  <c r="BL220" i="3"/>
  <c r="BA220" i="3"/>
  <c r="AZ220" i="3" s="1"/>
  <c r="BA217" i="3"/>
  <c r="BL215" i="3"/>
  <c r="AZ215" i="3" s="1"/>
  <c r="BL213" i="3"/>
  <c r="BL210" i="3"/>
  <c r="BA197" i="3"/>
  <c r="BL195" i="3"/>
  <c r="BA194" i="3"/>
  <c r="BL192" i="3"/>
  <c r="BA189" i="3"/>
  <c r="BL173" i="3"/>
  <c r="BA171" i="3"/>
  <c r="BA162" i="3"/>
  <c r="BL155" i="3"/>
  <c r="BA152" i="3"/>
  <c r="BA150" i="3"/>
  <c r="BL137" i="3"/>
  <c r="BA133" i="3"/>
  <c r="BL131" i="3"/>
  <c r="AZ131" i="3" s="1"/>
  <c r="BL113" i="3"/>
  <c r="BA113" i="3"/>
  <c r="AZ113" i="3" s="1"/>
  <c r="BL112" i="3"/>
  <c r="BL80" i="3"/>
  <c r="BA67" i="3"/>
  <c r="BL332" i="3"/>
  <c r="BA332" i="3"/>
  <c r="BA329" i="3"/>
  <c r="AZ329" i="3" s="1"/>
  <c r="BL326" i="3"/>
  <c r="BL321" i="3"/>
  <c r="BA319" i="3"/>
  <c r="BL315" i="3"/>
  <c r="AZ315" i="3" s="1"/>
  <c r="BA314" i="3"/>
  <c r="BL312" i="3"/>
  <c r="AZ312" i="3" s="1"/>
  <c r="BA310" i="3"/>
  <c r="BL308" i="3"/>
  <c r="AZ308" i="3" s="1"/>
  <c r="BA302" i="3"/>
  <c r="AZ302" i="3" s="1"/>
  <c r="BL300" i="3"/>
  <c r="BA300" i="3"/>
  <c r="BL297" i="3"/>
  <c r="BL294" i="3"/>
  <c r="BL282" i="3"/>
  <c r="BA279" i="3"/>
  <c r="AZ279" i="3" s="1"/>
  <c r="BL277" i="3"/>
  <c r="BA273" i="3"/>
  <c r="BA270" i="3"/>
  <c r="BA254" i="3"/>
  <c r="BL252" i="3"/>
  <c r="BA249" i="3"/>
  <c r="BL237" i="3"/>
  <c r="BL234" i="3"/>
  <c r="BL231" i="3"/>
  <c r="AZ231" i="3" s="1"/>
  <c r="BL229" i="3"/>
  <c r="BA226" i="3"/>
  <c r="AZ226" i="3" s="1"/>
  <c r="BL224" i="3"/>
  <c r="BA221" i="3"/>
  <c r="BL209" i="3"/>
  <c r="BA207" i="3"/>
  <c r="BL203" i="3"/>
  <c r="BL201" i="3"/>
  <c r="BA198" i="3"/>
  <c r="BL196" i="3"/>
  <c r="BA190" i="3"/>
  <c r="AZ190" i="3" s="1"/>
  <c r="BL188" i="3"/>
  <c r="AZ188" i="3" s="1"/>
  <c r="BA188" i="3"/>
  <c r="BA185" i="3"/>
  <c r="BL183" i="3"/>
  <c r="BL182" i="3"/>
  <c r="BA182" i="3"/>
  <c r="BA180" i="3"/>
  <c r="BL167" i="3"/>
  <c r="BA165" i="3"/>
  <c r="BL145" i="3"/>
  <c r="BL144" i="3"/>
  <c r="BA143" i="3"/>
  <c r="BL142" i="3"/>
  <c r="AZ142" i="3" s="1"/>
  <c r="BL140" i="3"/>
  <c r="BA139" i="3"/>
  <c r="BL138" i="3"/>
  <c r="BA130" i="3"/>
  <c r="BA125" i="3"/>
  <c r="BL123" i="3"/>
  <c r="BA120" i="3"/>
  <c r="BA118" i="3"/>
  <c r="BL103" i="3"/>
  <c r="BA94" i="3"/>
  <c r="BL89" i="3"/>
  <c r="BA86" i="3"/>
  <c r="BL60" i="3"/>
  <c r="BL59" i="3"/>
  <c r="BA58" i="3"/>
  <c r="BL331" i="3"/>
  <c r="AZ331" i="3" s="1"/>
  <c r="BL329" i="3"/>
  <c r="BA328" i="3"/>
  <c r="BA322" i="3"/>
  <c r="BL320" i="3"/>
  <c r="AZ320" i="3" s="1"/>
  <c r="BA317" i="3"/>
  <c r="BL305" i="3"/>
  <c r="BA303" i="3"/>
  <c r="BL299" i="3"/>
  <c r="BA298" i="3"/>
  <c r="BL296" i="3"/>
  <c r="BL290" i="3"/>
  <c r="BA287" i="3"/>
  <c r="AZ287" i="3" s="1"/>
  <c r="BL285" i="3"/>
  <c r="BA281" i="3"/>
  <c r="AZ281" i="3" s="1"/>
  <c r="BA278" i="3"/>
  <c r="BL276" i="3"/>
  <c r="BL275" i="3"/>
  <c r="BA275" i="3"/>
  <c r="AZ275" i="3" s="1"/>
  <c r="BL273" i="3"/>
  <c r="BL270" i="3"/>
  <c r="BL257" i="3"/>
  <c r="BL254" i="3"/>
  <c r="BA241" i="3"/>
  <c r="BL239" i="3"/>
  <c r="AZ239" i="3" s="1"/>
  <c r="BA238" i="3"/>
  <c r="AZ238" i="3" s="1"/>
  <c r="BL236" i="3"/>
  <c r="BL235" i="3"/>
  <c r="AZ235" i="3" s="1"/>
  <c r="BA233" i="3"/>
  <c r="BA213" i="3"/>
  <c r="BL211" i="3"/>
  <c r="BA210" i="3"/>
  <c r="BL208" i="3"/>
  <c r="AZ208" i="3" s="1"/>
  <c r="BA205" i="3"/>
  <c r="BL193" i="3"/>
  <c r="BA191" i="3"/>
  <c r="BL185" i="3"/>
  <c r="AZ185" i="3" s="1"/>
  <c r="BA170" i="3"/>
  <c r="BA168" i="3"/>
  <c r="BL149" i="3"/>
  <c r="BL132" i="3"/>
  <c r="BA131" i="3"/>
  <c r="BL130" i="3"/>
  <c r="BA128" i="3"/>
  <c r="BL125" i="3"/>
  <c r="BL120" i="3"/>
  <c r="BA119" i="3"/>
  <c r="BL118" i="3"/>
  <c r="BL108" i="3"/>
  <c r="BL107" i="3"/>
  <c r="BA106" i="3"/>
  <c r="BA97" i="3"/>
  <c r="BL93" i="3"/>
  <c r="AZ93" i="3" s="1"/>
  <c r="BL88" i="3"/>
  <c r="BA78" i="3"/>
  <c r="BA74" i="3"/>
  <c r="BA69" i="3"/>
  <c r="BA65" i="3"/>
  <c r="BL64" i="3"/>
  <c r="BL62" i="3"/>
  <c r="BL61" i="3"/>
  <c r="AZ61" i="3" s="1"/>
  <c r="BL48" i="3"/>
  <c r="BL46" i="3"/>
  <c r="BL177" i="3"/>
  <c r="BL175" i="3"/>
  <c r="BL169" i="3"/>
  <c r="BA155" i="3"/>
  <c r="BL154" i="3"/>
  <c r="AZ154" i="3" s="1"/>
  <c r="BA149" i="3"/>
  <c r="AZ149" i="3" s="1"/>
  <c r="BL147" i="3"/>
  <c r="BA144" i="3"/>
  <c r="BL141" i="3"/>
  <c r="BL136" i="3"/>
  <c r="BA135" i="3"/>
  <c r="BL134" i="3"/>
  <c r="BL124" i="3"/>
  <c r="BA123" i="3"/>
  <c r="BL122" i="3"/>
  <c r="AZ122" i="3" s="1"/>
  <c r="BA117" i="3"/>
  <c r="BA112" i="3"/>
  <c r="BA110" i="3"/>
  <c r="BL105" i="3"/>
  <c r="BA85" i="3"/>
  <c r="BL82" i="3"/>
  <c r="BL81" i="3"/>
  <c r="AZ81" i="3" s="1"/>
  <c r="BL63" i="3"/>
  <c r="BA62" i="3"/>
  <c r="BL58" i="3"/>
  <c r="BL57" i="3"/>
  <c r="AZ57" i="3" s="1"/>
  <c r="BA56" i="3"/>
  <c r="BL53" i="3"/>
  <c r="BA50" i="3"/>
  <c r="BL49" i="3"/>
  <c r="BL30" i="3"/>
  <c r="BA27" i="3"/>
  <c r="BL21" i="3"/>
  <c r="BA18" i="3"/>
  <c r="BL17" i="3"/>
  <c r="BL66" i="3"/>
  <c r="BL65" i="3"/>
  <c r="BA64" i="3"/>
  <c r="AZ64" i="3" s="1"/>
  <c r="BA59" i="3"/>
  <c r="BL56" i="3"/>
  <c r="BL50" i="3"/>
  <c r="BA37" i="3"/>
  <c r="BA35" i="3"/>
  <c r="BA33" i="3"/>
  <c r="BA31" i="3"/>
  <c r="BL29" i="3"/>
  <c r="AZ29" i="3" s="1"/>
  <c r="BL26" i="3"/>
  <c r="BL24" i="3"/>
  <c r="BL18" i="3"/>
  <c r="BA43" i="3"/>
  <c r="BL37" i="3"/>
  <c r="BA34" i="3"/>
  <c r="BL33" i="3"/>
  <c r="BL14" i="3"/>
  <c r="BL400" i="3"/>
  <c r="AZ400" i="3" s="1"/>
  <c r="BL398" i="3"/>
  <c r="BL393" i="3"/>
  <c r="BL390" i="3"/>
  <c r="BA385" i="3"/>
  <c r="BL383" i="3"/>
  <c r="BL381" i="3"/>
  <c r="BL378" i="3"/>
  <c r="BA373" i="3"/>
  <c r="AZ373" i="3" s="1"/>
  <c r="BA369" i="3"/>
  <c r="BL367" i="3"/>
  <c r="BL365" i="3"/>
  <c r="BA362" i="3"/>
  <c r="AZ362" i="3" s="1"/>
  <c r="BL360" i="3"/>
  <c r="BA353" i="3"/>
  <c r="BA350" i="3"/>
  <c r="AZ350" i="3" s="1"/>
  <c r="BL348" i="3"/>
  <c r="BL345" i="3"/>
  <c r="BA342" i="3"/>
  <c r="AZ342" i="3" s="1"/>
  <c r="BL340" i="3"/>
  <c r="AZ340" i="3" s="1"/>
  <c r="BL333" i="3"/>
  <c r="BA330" i="3"/>
  <c r="BL328" i="3"/>
  <c r="BA325" i="3"/>
  <c r="AZ325" i="3" s="1"/>
  <c r="BA321" i="3"/>
  <c r="BL319" i="3"/>
  <c r="BL317" i="3"/>
  <c r="BL314" i="3"/>
  <c r="BA305" i="3"/>
  <c r="BL303" i="3"/>
  <c r="BL301" i="3"/>
  <c r="BL298" i="3"/>
  <c r="BA293" i="3"/>
  <c r="BA290" i="3"/>
  <c r="AZ290" i="3" s="1"/>
  <c r="BL288" i="3"/>
  <c r="AZ288" i="3" s="1"/>
  <c r="BA285" i="3"/>
  <c r="AZ285" i="3" s="1"/>
  <c r="BA282" i="3"/>
  <c r="BL280" i="3"/>
  <c r="AZ280" i="3" s="1"/>
  <c r="BA277" i="3"/>
  <c r="BA274" i="3"/>
  <c r="AZ274" i="3" s="1"/>
  <c r="BL272" i="3"/>
  <c r="BL267" i="3"/>
  <c r="BA262" i="3"/>
  <c r="AZ262" i="3" s="1"/>
  <c r="BL260" i="3"/>
  <c r="AZ260" i="3" s="1"/>
  <c r="BA257" i="3"/>
  <c r="BA253" i="3"/>
  <c r="BL251" i="3"/>
  <c r="BL249" i="3"/>
  <c r="BA246" i="3"/>
  <c r="AZ246" i="3" s="1"/>
  <c r="BL244" i="3"/>
  <c r="AZ244" i="3" s="1"/>
  <c r="BA237" i="3"/>
  <c r="BL233" i="3"/>
  <c r="BA230" i="3"/>
  <c r="AZ230" i="3" s="1"/>
  <c r="BL228" i="3"/>
  <c r="BL221" i="3"/>
  <c r="BA218" i="3"/>
  <c r="AZ218" i="3" s="1"/>
  <c r="BL216" i="3"/>
  <c r="AZ216" i="3" s="1"/>
  <c r="BA209" i="3"/>
  <c r="AZ209" i="3" s="1"/>
  <c r="BL207" i="3"/>
  <c r="BL205" i="3"/>
  <c r="BA202" i="3"/>
  <c r="AZ202" i="3" s="1"/>
  <c r="BL200" i="3"/>
  <c r="BA193" i="3"/>
  <c r="BL191" i="3"/>
  <c r="AZ191" i="3" s="1"/>
  <c r="BL189" i="3"/>
  <c r="BA186" i="3"/>
  <c r="AZ186" i="3" s="1"/>
  <c r="BL184" i="3"/>
  <c r="AZ184" i="3" s="1"/>
  <c r="BA179" i="3"/>
  <c r="AZ179" i="3" s="1"/>
  <c r="BL178" i="3"/>
  <c r="BA175" i="3"/>
  <c r="BA172" i="3"/>
  <c r="BL170" i="3"/>
  <c r="BL165" i="3"/>
  <c r="BL158" i="3"/>
  <c r="BL148" i="3"/>
  <c r="BA147" i="3"/>
  <c r="BL146" i="3"/>
  <c r="AZ146" i="3" s="1"/>
  <c r="BA141" i="3"/>
  <c r="BL139" i="3"/>
  <c r="BA136" i="3"/>
  <c r="AZ136" i="3" s="1"/>
  <c r="BL133" i="3"/>
  <c r="BL128" i="3"/>
  <c r="BA127" i="3"/>
  <c r="BL126" i="3"/>
  <c r="AZ126" i="3" s="1"/>
  <c r="BA116" i="3"/>
  <c r="AZ116" i="3" s="1"/>
  <c r="BA114" i="3"/>
  <c r="BA108" i="3"/>
  <c r="AZ108" i="3" s="1"/>
  <c r="BA105" i="3"/>
  <c r="BL104" i="3"/>
  <c r="AZ104" i="3" s="1"/>
  <c r="BA101" i="3"/>
  <c r="BL98" i="3"/>
  <c r="BL97" i="3"/>
  <c r="BA82" i="3"/>
  <c r="BL77" i="3"/>
  <c r="BL72" i="3"/>
  <c r="BL70" i="3"/>
  <c r="BL69" i="3"/>
  <c r="BL67" i="3"/>
  <c r="BA66" i="3"/>
  <c r="BA53" i="3"/>
  <c r="AZ53" i="3" s="1"/>
  <c r="BA51" i="3"/>
  <c r="BA49" i="3"/>
  <c r="BA47" i="3"/>
  <c r="BL45" i="3"/>
  <c r="AZ45" i="3" s="1"/>
  <c r="BL42" i="3"/>
  <c r="BL40" i="3"/>
  <c r="BL34" i="3"/>
  <c r="BA21" i="3"/>
  <c r="BA19" i="3"/>
  <c r="BA17" i="3"/>
  <c r="BA15" i="3"/>
  <c r="D94" i="78"/>
  <c r="M21" i="76"/>
  <c r="H32" i="34"/>
  <c r="H13" i="34"/>
  <c r="L21" i="76"/>
  <c r="N21" i="76"/>
  <c r="M25" i="88"/>
  <c r="M17" i="88"/>
  <c r="BA178" i="3"/>
  <c r="BA176" i="3"/>
  <c r="BL171" i="3"/>
  <c r="BA161" i="3"/>
  <c r="AZ161" i="3" s="1"/>
  <c r="BA153" i="3"/>
  <c r="BL151" i="3"/>
  <c r="BA148" i="3"/>
  <c r="BA145" i="3"/>
  <c r="AZ145" i="3" s="1"/>
  <c r="BL143" i="3"/>
  <c r="BA140" i="3"/>
  <c r="BA137" i="3"/>
  <c r="BL135" i="3"/>
  <c r="BA132" i="3"/>
  <c r="BA129" i="3"/>
  <c r="AZ129" i="3" s="1"/>
  <c r="BL127" i="3"/>
  <c r="BA124" i="3"/>
  <c r="BA121" i="3"/>
  <c r="AZ121" i="3" s="1"/>
  <c r="BL119" i="3"/>
  <c r="BL117" i="3"/>
  <c r="BL115" i="3"/>
  <c r="BL111" i="3"/>
  <c r="BL109" i="3"/>
  <c r="BL101" i="3"/>
  <c r="BL90" i="3"/>
  <c r="BL85" i="3"/>
  <c r="AZ85" i="3" s="1"/>
  <c r="BL74" i="3"/>
  <c r="BA68" i="3"/>
  <c r="AZ68" i="3" s="1"/>
  <c r="BA63" i="3"/>
  <c r="BA60" i="3"/>
  <c r="AZ60" i="3" s="1"/>
  <c r="BA55" i="3"/>
  <c r="BA54" i="3"/>
  <c r="AZ54" i="3" s="1"/>
  <c r="BL52" i="3"/>
  <c r="BA46" i="3"/>
  <c r="AZ46" i="3" s="1"/>
  <c r="BA41" i="3"/>
  <c r="AZ41" i="3" s="1"/>
  <c r="BA39" i="3"/>
  <c r="BA38" i="3"/>
  <c r="AZ38" i="3" s="1"/>
  <c r="BL36" i="3"/>
  <c r="BA30" i="3"/>
  <c r="BA25" i="3"/>
  <c r="AZ25" i="3" s="1"/>
  <c r="BA23" i="3"/>
  <c r="BA22" i="3"/>
  <c r="AZ22" i="3" s="1"/>
  <c r="BL20" i="3"/>
  <c r="BA14" i="3"/>
  <c r="H45" i="34"/>
  <c r="H27" i="34"/>
  <c r="D100" i="78"/>
  <c r="H37" i="34"/>
  <c r="H112" i="34"/>
  <c r="I112" i="34" s="1"/>
  <c r="J112" i="34" s="1"/>
  <c r="K112" i="34" s="1"/>
  <c r="L112" i="34" s="1"/>
  <c r="M112" i="34" s="1"/>
  <c r="F82" i="34"/>
  <c r="G82" i="34" s="1"/>
  <c r="F19" i="34"/>
  <c r="H19" i="34"/>
  <c r="J19" i="34"/>
  <c r="J32" i="86"/>
  <c r="AC32" i="86" s="1"/>
  <c r="H32" i="86"/>
  <c r="AB32" i="86" s="1"/>
  <c r="F32" i="86"/>
  <c r="AA32" i="86" s="1"/>
  <c r="F15" i="86"/>
  <c r="AA15" i="86" s="1"/>
  <c r="G77" i="86"/>
  <c r="U32" i="86"/>
  <c r="J15" i="86"/>
  <c r="AC15" i="86" s="1"/>
  <c r="H15" i="86"/>
  <c r="AB15" i="86" s="1"/>
  <c r="F19" i="86"/>
  <c r="J19" i="86"/>
  <c r="F81" i="86"/>
  <c r="G81" i="86" s="1"/>
  <c r="H19" i="86"/>
  <c r="AB19" i="86" s="1"/>
  <c r="F77" i="21"/>
  <c r="G77" i="21" s="1"/>
  <c r="H15" i="21"/>
  <c r="J15" i="21"/>
  <c r="F15" i="21"/>
  <c r="F79" i="21"/>
  <c r="G79" i="21" s="1"/>
  <c r="AA32" i="21"/>
  <c r="S32" i="21"/>
  <c r="W32" i="21"/>
  <c r="H32" i="21"/>
  <c r="D24" i="15"/>
  <c r="D23" i="81"/>
  <c r="D24" i="44"/>
  <c r="D22" i="81"/>
  <c r="P13" i="1"/>
  <c r="C20" i="46"/>
  <c r="BL13" i="3"/>
  <c r="B14" i="66"/>
  <c r="B1" i="66" s="1"/>
  <c r="C8" i="66" s="1"/>
  <c r="H8" i="72"/>
  <c r="J33" i="21"/>
  <c r="AC33" i="21" s="1"/>
  <c r="H33" i="21"/>
  <c r="E19" i="6"/>
  <c r="H12" i="72"/>
  <c r="C12" i="72" s="1"/>
  <c r="S27" i="21"/>
  <c r="B56" i="46"/>
  <c r="B76" i="46"/>
  <c r="B99" i="46"/>
  <c r="B56" i="76"/>
  <c r="B67" i="77"/>
  <c r="B67" i="78"/>
  <c r="J23" i="34"/>
  <c r="F23" i="34"/>
  <c r="F86" i="34"/>
  <c r="G86" i="34" s="1"/>
  <c r="H23" i="34"/>
  <c r="E4" i="52"/>
  <c r="S33" i="21"/>
  <c r="E13" i="52"/>
  <c r="J27" i="86"/>
  <c r="AC27" i="86" s="1"/>
  <c r="B12" i="52"/>
  <c r="B7" i="52"/>
  <c r="E12" i="52"/>
  <c r="B4" i="52"/>
  <c r="E8" i="52"/>
  <c r="G103" i="34"/>
  <c r="D102" i="86"/>
  <c r="F85" i="86"/>
  <c r="G85" i="86" s="1"/>
  <c r="J23" i="86"/>
  <c r="H23" i="86"/>
  <c r="AB23" i="86" s="1"/>
  <c r="F23" i="86"/>
  <c r="W28" i="86"/>
  <c r="E11" i="52"/>
  <c r="B10" i="52"/>
  <c r="B6" i="52"/>
  <c r="E9" i="52"/>
  <c r="E7" i="52"/>
  <c r="B5" i="52"/>
  <c r="E5" i="52"/>
  <c r="E10" i="52"/>
  <c r="E6" i="52"/>
  <c r="E14" i="52"/>
  <c r="B8" i="52"/>
  <c r="B14" i="52"/>
  <c r="B11" i="52"/>
  <c r="B9" i="52"/>
  <c r="F87" i="86"/>
  <c r="G87" i="86" s="1"/>
  <c r="H87" i="86" s="1"/>
  <c r="I87" i="86" s="1"/>
  <c r="J87" i="86" s="1"/>
  <c r="K87" i="86" s="1"/>
  <c r="L87" i="86" s="1"/>
  <c r="M87" i="86" s="1"/>
  <c r="H102" i="86"/>
  <c r="U28" i="86"/>
  <c r="AA28" i="86"/>
  <c r="F79" i="86"/>
  <c r="F102" i="86"/>
  <c r="E102" i="86"/>
  <c r="U25" i="86"/>
  <c r="S25" i="86"/>
  <c r="H46" i="36"/>
  <c r="I46" i="36" s="1"/>
  <c r="J46" i="36" s="1"/>
  <c r="K46" i="36" s="1"/>
  <c r="L46" i="36" s="1"/>
  <c r="M46" i="36" s="1"/>
  <c r="N46" i="36" s="1"/>
  <c r="O46" i="36" s="1"/>
  <c r="D5" i="46"/>
  <c r="C5" i="46"/>
  <c r="H64" i="40"/>
  <c r="F66" i="40"/>
  <c r="N52" i="37"/>
  <c r="D48" i="35"/>
  <c r="P27" i="46"/>
  <c r="A1" i="70"/>
  <c r="P28" i="46"/>
  <c r="B67" i="40" s="1"/>
  <c r="C6" i="66"/>
  <c r="B20" i="31"/>
  <c r="R22" i="31"/>
  <c r="B21" i="31" s="1"/>
  <c r="C7" i="66"/>
  <c r="B39" i="63"/>
  <c r="A3" i="55"/>
  <c r="B56" i="63" s="1"/>
  <c r="AA23" i="40"/>
  <c r="S23" i="40"/>
  <c r="W14" i="40"/>
  <c r="AC14" i="40"/>
  <c r="S33" i="40"/>
  <c r="AA33" i="40"/>
  <c r="AB45" i="39"/>
  <c r="U45" i="39"/>
  <c r="AC23" i="35"/>
  <c r="W23" i="35"/>
  <c r="S39" i="37"/>
  <c r="AC18" i="36"/>
  <c r="W29" i="40"/>
  <c r="W39" i="40"/>
  <c r="U23" i="39"/>
  <c r="AC19" i="37"/>
  <c r="W19" i="37"/>
  <c r="W20" i="36"/>
  <c r="AA35" i="35"/>
  <c r="S35" i="35"/>
  <c r="AC32" i="36"/>
  <c r="W32" i="36"/>
  <c r="AA14" i="36"/>
  <c r="S14" i="36"/>
  <c r="S20" i="36"/>
  <c r="AA20" i="36"/>
  <c r="U38" i="39"/>
  <c r="AB38" i="39"/>
  <c r="AB35" i="40"/>
  <c r="U35" i="40"/>
  <c r="U41" i="39"/>
  <c r="AB41" i="39"/>
  <c r="S47" i="39"/>
  <c r="AA47" i="39"/>
  <c r="AC13" i="35"/>
  <c r="W13" i="35"/>
  <c r="AB36" i="35"/>
  <c r="U36" i="35"/>
  <c r="U12" i="36"/>
  <c r="AB12" i="36"/>
  <c r="AC19" i="40"/>
  <c r="AC23" i="39"/>
  <c r="W23" i="39"/>
  <c r="U14" i="37"/>
  <c r="AB14" i="37"/>
  <c r="AB15" i="39"/>
  <c r="AA21" i="39"/>
  <c r="S35" i="40"/>
  <c r="S23" i="35"/>
  <c r="AB46" i="39"/>
  <c r="W32" i="40"/>
  <c r="U39" i="39"/>
  <c r="AB27" i="39"/>
  <c r="W46" i="39"/>
  <c r="U14" i="35"/>
  <c r="AB35" i="37"/>
  <c r="AB17" i="37"/>
  <c r="W37" i="37"/>
  <c r="AB15" i="37"/>
  <c r="W23" i="37"/>
  <c r="S23" i="37"/>
  <c r="H35" i="35"/>
  <c r="J35" i="35"/>
  <c r="H13" i="35"/>
  <c r="F13" i="35"/>
  <c r="W13" i="36"/>
  <c r="H32" i="36"/>
  <c r="S22" i="35"/>
  <c r="AA24" i="36"/>
  <c r="W24" i="35"/>
  <c r="AC27" i="35"/>
  <c r="U26" i="36"/>
  <c r="J12" i="36"/>
  <c r="F32" i="36"/>
  <c r="J26" i="37"/>
  <c r="J39" i="37"/>
  <c r="C56" i="59"/>
  <c r="D55" i="59"/>
  <c r="AC38" i="39"/>
  <c r="U25" i="40"/>
  <c r="W33" i="40"/>
  <c r="W15" i="39"/>
  <c r="U42" i="40"/>
  <c r="U12" i="37"/>
  <c r="S34" i="35"/>
  <c r="D43" i="59"/>
  <c r="C44" i="59"/>
  <c r="S21" i="37"/>
  <c r="C61" i="59"/>
  <c r="P67" i="59"/>
  <c r="AB28" i="59"/>
  <c r="Y28" i="59"/>
  <c r="Z28" i="59" s="1"/>
  <c r="C64" i="59"/>
  <c r="F72" i="59"/>
  <c r="F71" i="59" s="1"/>
  <c r="B76" i="59"/>
  <c r="B75" i="59" s="1"/>
  <c r="U81" i="59"/>
  <c r="AB33" i="59"/>
  <c r="X40" i="59"/>
  <c r="X38" i="59"/>
  <c r="X39" i="59"/>
  <c r="X35" i="59"/>
  <c r="X34" i="59"/>
  <c r="X31" i="59"/>
  <c r="X30" i="59"/>
  <c r="X29" i="59"/>
  <c r="X8" i="59"/>
  <c r="X10" i="59"/>
  <c r="X18" i="59"/>
  <c r="X6" i="59"/>
  <c r="X5" i="59"/>
  <c r="X3" i="59"/>
  <c r="AB6" i="59"/>
  <c r="X17" i="59"/>
  <c r="X25" i="59"/>
  <c r="AA19" i="59"/>
  <c r="AA31" i="39"/>
  <c r="S31" i="39"/>
  <c r="C52" i="59"/>
  <c r="E52" i="59"/>
  <c r="E53" i="59" s="1"/>
  <c r="U53" i="59" s="1"/>
  <c r="F67" i="59"/>
  <c r="Q68" i="59"/>
  <c r="P68" i="59"/>
  <c r="Y35" i="59"/>
  <c r="Z35" i="59" s="1"/>
  <c r="Y25" i="59"/>
  <c r="Z25" i="59" s="1"/>
  <c r="R14" i="68"/>
  <c r="D29" i="68"/>
  <c r="D26" i="68"/>
  <c r="R35" i="68"/>
  <c r="U34" i="68" s="1"/>
  <c r="Y6" i="59"/>
  <c r="Z6" i="59" s="1"/>
  <c r="AA36" i="59"/>
  <c r="AA35" i="59"/>
  <c r="AA32" i="59"/>
  <c r="AA31" i="59"/>
  <c r="E29" i="59"/>
  <c r="AA29" i="59"/>
  <c r="AA14" i="59"/>
  <c r="AA15" i="59"/>
  <c r="AA16" i="59"/>
  <c r="AA28" i="59"/>
  <c r="AA7" i="59"/>
  <c r="AA8" i="59"/>
  <c r="Y11" i="59"/>
  <c r="Z11" i="59" s="1"/>
  <c r="Y12" i="59"/>
  <c r="Z12" i="59" s="1"/>
  <c r="Y15" i="59"/>
  <c r="Z15" i="59" s="1"/>
  <c r="Y24" i="59"/>
  <c r="Z24" i="59" s="1"/>
  <c r="AA10" i="59"/>
  <c r="AA18" i="59"/>
  <c r="AB8" i="59"/>
  <c r="AB12" i="59"/>
  <c r="AB13" i="59"/>
  <c r="F23" i="59"/>
  <c r="F22" i="59" s="1"/>
  <c r="F21" i="59" s="1"/>
  <c r="C71" i="59"/>
  <c r="D71" i="59" s="1"/>
  <c r="F33" i="59"/>
  <c r="V33" i="59" s="1"/>
  <c r="T73" i="59"/>
  <c r="E76" i="59"/>
  <c r="E75" i="59" s="1"/>
  <c r="U77" i="59"/>
  <c r="Y36" i="59"/>
  <c r="Z36" i="59" s="1"/>
  <c r="F28" i="59"/>
  <c r="F27" i="59" s="1"/>
  <c r="V29" i="59"/>
  <c r="Y34" i="59"/>
  <c r="Z34" i="59" s="1"/>
  <c r="Y30" i="59"/>
  <c r="Z30" i="59" s="1"/>
  <c r="D29" i="59"/>
  <c r="C28" i="59"/>
  <c r="E38" i="68"/>
  <c r="E39" i="68" s="1"/>
  <c r="E26" i="68"/>
  <c r="E29" i="68"/>
  <c r="Y33" i="59"/>
  <c r="Z33" i="59" s="1"/>
  <c r="Y27" i="59"/>
  <c r="Z27" i="59" s="1"/>
  <c r="Y29" i="59"/>
  <c r="Z29" i="59" s="1"/>
  <c r="Y8" i="59"/>
  <c r="Z8" i="59" s="1"/>
  <c r="Y7" i="59"/>
  <c r="Z7" i="59" s="1"/>
  <c r="AB39" i="59"/>
  <c r="AB38" i="59"/>
  <c r="AB35" i="59"/>
  <c r="AB34" i="59"/>
  <c r="AB31" i="59"/>
  <c r="AB30" i="59"/>
  <c r="AB27" i="59"/>
  <c r="AB26" i="59"/>
  <c r="AB7" i="59"/>
  <c r="Y10" i="59"/>
  <c r="Z10" i="59" s="1"/>
  <c r="Y14" i="59"/>
  <c r="Z14" i="59" s="1"/>
  <c r="Y18" i="59"/>
  <c r="Z18" i="59" s="1"/>
  <c r="E24" i="59"/>
  <c r="E23" i="59" s="1"/>
  <c r="E22" i="59" s="1"/>
  <c r="E21" i="59" s="1"/>
  <c r="U25" i="59"/>
  <c r="AB11" i="59"/>
  <c r="AB10" i="59"/>
  <c r="AB18" i="59"/>
  <c r="AB19" i="59"/>
  <c r="X12" i="59"/>
  <c r="AA5" i="59"/>
  <c r="B25" i="59"/>
  <c r="K3" i="70"/>
  <c r="P11" i="70"/>
  <c r="M23" i="70"/>
  <c r="P23" i="70" s="1"/>
  <c r="P32" i="70"/>
  <c r="S34" i="70"/>
  <c r="U34" i="70"/>
  <c r="AD5" i="70"/>
  <c r="H96" i="46"/>
  <c r="H97" i="46"/>
  <c r="B83" i="78"/>
  <c r="B83" i="77"/>
  <c r="B88" i="78"/>
  <c r="B88" i="76"/>
  <c r="H93" i="78"/>
  <c r="H96" i="78"/>
  <c r="E58" i="33"/>
  <c r="F58" i="33" s="1"/>
  <c r="G58" i="33" s="1"/>
  <c r="H58" i="33" s="1"/>
  <c r="I58" i="33" s="1"/>
  <c r="J58" i="33" s="1"/>
  <c r="K58" i="33" s="1"/>
  <c r="L58" i="33" s="1"/>
  <c r="M58" i="33" s="1"/>
  <c r="N58" i="33" s="1"/>
  <c r="O58" i="33" s="1"/>
  <c r="J37" i="21"/>
  <c r="F37" i="21"/>
  <c r="H37" i="21"/>
  <c r="E93" i="77"/>
  <c r="B91" i="77" s="1"/>
  <c r="E11" i="78"/>
  <c r="E8" i="78"/>
  <c r="P11" i="1"/>
  <c r="O10" i="1"/>
  <c r="P10" i="1" s="1"/>
  <c r="D58" i="21"/>
  <c r="E58" i="21" s="1"/>
  <c r="F58" i="21" s="1"/>
  <c r="G58" i="21" s="1"/>
  <c r="H58" i="21" s="1"/>
  <c r="I58" i="21" s="1"/>
  <c r="J58" i="21" s="1"/>
  <c r="K58" i="21" s="1"/>
  <c r="L58" i="21" s="1"/>
  <c r="M58" i="21" s="1"/>
  <c r="N58" i="21" s="1"/>
  <c r="O58" i="21" s="1"/>
  <c r="H19" i="21"/>
  <c r="F19" i="21"/>
  <c r="J19" i="21"/>
  <c r="K15" i="1"/>
  <c r="M15" i="1" s="1"/>
  <c r="O3" i="70"/>
  <c r="S13" i="70"/>
  <c r="H100" i="46"/>
  <c r="H101" i="46"/>
  <c r="H93" i="46"/>
  <c r="E9" i="77"/>
  <c r="E11" i="77"/>
  <c r="D24" i="79"/>
  <c r="D23" i="79"/>
  <c r="E50" i="77"/>
  <c r="B48" i="77" s="1"/>
  <c r="C28" i="77" s="1"/>
  <c r="I4" i="72" s="1"/>
  <c r="C88" i="59"/>
  <c r="E72" i="59"/>
  <c r="E71" i="59" s="1"/>
  <c r="C31" i="59"/>
  <c r="V3" i="70"/>
  <c r="T9" i="70"/>
  <c r="W9" i="70" s="1"/>
  <c r="U23" i="70"/>
  <c r="U25" i="70"/>
  <c r="T8" i="70"/>
  <c r="W8" i="70" s="1"/>
  <c r="H98" i="46"/>
  <c r="E83" i="76"/>
  <c r="B81" i="76" s="1"/>
  <c r="E61" i="78"/>
  <c r="B59" i="78" s="1"/>
  <c r="H101" i="78"/>
  <c r="O12" i="1"/>
  <c r="P12" i="1" s="1"/>
  <c r="P75" i="81"/>
  <c r="P62" i="81"/>
  <c r="F36" i="33"/>
  <c r="J36" i="33"/>
  <c r="H36" i="33"/>
  <c r="C24" i="76"/>
  <c r="G3" i="72" s="1"/>
  <c r="H33" i="33"/>
  <c r="J27" i="21"/>
  <c r="E85" i="21"/>
  <c r="F23" i="21" s="1"/>
  <c r="AC44" i="86"/>
  <c r="AC40" i="86"/>
  <c r="H46" i="86"/>
  <c r="F46" i="86"/>
  <c r="F44" i="86"/>
  <c r="H44" i="86"/>
  <c r="C33" i="86"/>
  <c r="F33" i="86" s="1"/>
  <c r="E20" i="6"/>
  <c r="E28" i="6"/>
  <c r="G111" i="86"/>
  <c r="B54" i="78"/>
  <c r="N21" i="77"/>
  <c r="G21" i="77" s="1"/>
  <c r="C20" i="77" s="1"/>
  <c r="H27" i="86"/>
  <c r="F27" i="86"/>
  <c r="E9" i="80"/>
  <c r="I7" i="6" s="1"/>
  <c r="A3" i="3"/>
  <c r="J25" i="86"/>
  <c r="H30" i="86"/>
  <c r="D58" i="86"/>
  <c r="AZ571" i="3"/>
  <c r="AZ555" i="3"/>
  <c r="AZ547" i="3"/>
  <c r="AZ539" i="3"/>
  <c r="AZ523" i="3"/>
  <c r="AZ515" i="3"/>
  <c r="AZ507" i="3"/>
  <c r="AZ491" i="3"/>
  <c r="AZ483" i="3"/>
  <c r="AZ475" i="3"/>
  <c r="AZ467" i="3"/>
  <c r="L21" i="78"/>
  <c r="G21" i="78" s="1"/>
  <c r="C20" i="78" s="1"/>
  <c r="G298" i="3"/>
  <c r="AZ565" i="3"/>
  <c r="AZ560" i="3"/>
  <c r="AZ557" i="3"/>
  <c r="AZ549" i="3"/>
  <c r="AZ541" i="3"/>
  <c r="AZ533" i="3"/>
  <c r="AZ528" i="3"/>
  <c r="AZ525" i="3"/>
  <c r="AZ517" i="3"/>
  <c r="AZ509" i="3"/>
  <c r="AZ501" i="3"/>
  <c r="AZ496" i="3"/>
  <c r="AZ493" i="3"/>
  <c r="AZ480" i="3"/>
  <c r="AZ477" i="3"/>
  <c r="AZ469" i="3"/>
  <c r="G310" i="3"/>
  <c r="G294" i="3"/>
  <c r="G314" i="3"/>
  <c r="G306" i="3"/>
  <c r="AZ572" i="3"/>
  <c r="AZ569" i="3"/>
  <c r="AZ561" i="3"/>
  <c r="AZ556" i="3"/>
  <c r="AZ553" i="3"/>
  <c r="AZ545" i="3"/>
  <c r="AZ540" i="3"/>
  <c r="AZ537" i="3"/>
  <c r="AZ529" i="3"/>
  <c r="AZ524" i="3"/>
  <c r="AZ521" i="3"/>
  <c r="AZ513" i="3"/>
  <c r="AZ508" i="3"/>
  <c r="AZ505" i="3"/>
  <c r="AZ497" i="3"/>
  <c r="AZ492" i="3"/>
  <c r="AZ489" i="3"/>
  <c r="AZ481" i="3"/>
  <c r="AZ473" i="3"/>
  <c r="AZ447" i="3"/>
  <c r="AZ431" i="3"/>
  <c r="AZ419" i="3"/>
  <c r="AZ403" i="3"/>
  <c r="AZ391" i="3"/>
  <c r="AZ351" i="3"/>
  <c r="AZ299" i="3"/>
  <c r="BL464" i="3"/>
  <c r="AZ464" i="3" s="1"/>
  <c r="BA461" i="3"/>
  <c r="AZ451" i="3"/>
  <c r="AZ435" i="3"/>
  <c r="AZ407" i="3"/>
  <c r="AZ383" i="3"/>
  <c r="AZ367" i="3"/>
  <c r="AZ319" i="3"/>
  <c r="AZ303" i="3"/>
  <c r="BA462" i="3"/>
  <c r="BL461" i="3"/>
  <c r="AZ457" i="3"/>
  <c r="AZ455" i="3"/>
  <c r="AZ452" i="3"/>
  <c r="AZ441" i="3"/>
  <c r="AZ436" i="3"/>
  <c r="AZ422" i="3"/>
  <c r="AZ413" i="3"/>
  <c r="AZ408" i="3"/>
  <c r="AZ395" i="3"/>
  <c r="AZ394" i="3"/>
  <c r="AZ389" i="3"/>
  <c r="AZ387" i="3"/>
  <c r="AZ384" i="3"/>
  <c r="AZ377" i="3"/>
  <c r="AZ372" i="3"/>
  <c r="AZ368" i="3"/>
  <c r="AZ355" i="3"/>
  <c r="AZ352" i="3"/>
  <c r="AZ347" i="3"/>
  <c r="AZ346" i="3"/>
  <c r="AZ337" i="3"/>
  <c r="AZ335" i="3"/>
  <c r="AZ334" i="3"/>
  <c r="AZ327" i="3"/>
  <c r="AZ324" i="3"/>
  <c r="AZ313" i="3"/>
  <c r="AZ309" i="3"/>
  <c r="AZ304" i="3"/>
  <c r="AZ297" i="3"/>
  <c r="AZ295" i="3"/>
  <c r="AZ292" i="3"/>
  <c r="AZ284" i="3"/>
  <c r="AZ276" i="3"/>
  <c r="BL460" i="3"/>
  <c r="AZ460" i="3" s="1"/>
  <c r="AZ443" i="3"/>
  <c r="AZ427" i="3"/>
  <c r="AZ415" i="3"/>
  <c r="AZ359" i="3"/>
  <c r="AZ339" i="3"/>
  <c r="BL268" i="3"/>
  <c r="AZ268" i="3" s="1"/>
  <c r="BA265" i="3"/>
  <c r="AZ263" i="3"/>
  <c r="AZ247" i="3"/>
  <c r="AZ219" i="3"/>
  <c r="AZ203" i="3"/>
  <c r="AZ187" i="3"/>
  <c r="AZ174" i="3"/>
  <c r="BA266" i="3"/>
  <c r="AZ266" i="3" s="1"/>
  <c r="BL265" i="3"/>
  <c r="AZ257" i="3"/>
  <c r="AZ253" i="3"/>
  <c r="AZ251" i="3"/>
  <c r="AZ237" i="3"/>
  <c r="AZ232" i="3"/>
  <c r="AZ207" i="3"/>
  <c r="AZ178" i="3"/>
  <c r="BA269" i="3"/>
  <c r="BL264" i="3"/>
  <c r="AZ264" i="3" s="1"/>
  <c r="AZ256" i="3"/>
  <c r="AZ252" i="3"/>
  <c r="AZ236" i="3"/>
  <c r="AZ234" i="3"/>
  <c r="AZ223" i="3"/>
  <c r="AZ213" i="3"/>
  <c r="AZ211" i="3"/>
  <c r="AZ197" i="3"/>
  <c r="AZ195" i="3"/>
  <c r="AZ192" i="3"/>
  <c r="AZ170" i="3"/>
  <c r="BL269" i="3"/>
  <c r="AZ267" i="3"/>
  <c r="AZ259" i="3"/>
  <c r="AZ243" i="3"/>
  <c r="AZ229" i="3"/>
  <c r="AZ227" i="3"/>
  <c r="AZ224" i="3"/>
  <c r="AZ217" i="3"/>
  <c r="AZ201" i="3"/>
  <c r="AZ199" i="3"/>
  <c r="AZ196" i="3"/>
  <c r="AZ183" i="3"/>
  <c r="BA177" i="3"/>
  <c r="AZ177" i="3" s="1"/>
  <c r="BL176" i="3"/>
  <c r="AZ176" i="3" s="1"/>
  <c r="BA167" i="3"/>
  <c r="AZ167" i="3" s="1"/>
  <c r="BL164" i="3"/>
  <c r="BA163" i="3"/>
  <c r="BL159" i="3"/>
  <c r="BA173" i="3"/>
  <c r="BL172" i="3"/>
  <c r="AZ172" i="3" s="1"/>
  <c r="BL166" i="3"/>
  <c r="AZ166" i="3" s="1"/>
  <c r="BL163" i="3"/>
  <c r="BA156" i="3"/>
  <c r="AZ148" i="3"/>
  <c r="AZ140" i="3"/>
  <c r="AZ124" i="3"/>
  <c r="BA169" i="3"/>
  <c r="AZ169" i="3" s="1"/>
  <c r="BL168" i="3"/>
  <c r="AZ168" i="3" s="1"/>
  <c r="AZ162" i="3"/>
  <c r="BA160" i="3"/>
  <c r="AZ160" i="3" s="1"/>
  <c r="BA157" i="3"/>
  <c r="AZ157" i="3" s="1"/>
  <c r="BL156" i="3"/>
  <c r="AZ155" i="3"/>
  <c r="AZ150" i="3"/>
  <c r="AZ139" i="3"/>
  <c r="AZ134" i="3"/>
  <c r="AZ118" i="3"/>
  <c r="BA181" i="3"/>
  <c r="AZ181" i="3" s="1"/>
  <c r="BL180" i="3"/>
  <c r="AZ180" i="3" s="1"/>
  <c r="BA164" i="3"/>
  <c r="BL160" i="3"/>
  <c r="BA159" i="3"/>
  <c r="AZ159" i="3" s="1"/>
  <c r="AZ152" i="3"/>
  <c r="AZ144" i="3"/>
  <c r="AZ128" i="3"/>
  <c r="AZ120" i="3"/>
  <c r="AZ112" i="3"/>
  <c r="AZ109" i="3"/>
  <c r="BA103" i="3"/>
  <c r="AZ103" i="3" s="1"/>
  <c r="BL102" i="3"/>
  <c r="AZ102" i="3" s="1"/>
  <c r="BA100" i="3"/>
  <c r="BL99" i="3"/>
  <c r="AZ98" i="3"/>
  <c r="AZ97" i="3"/>
  <c r="BL94" i="3"/>
  <c r="BA92" i="3"/>
  <c r="AZ92" i="3" s="1"/>
  <c r="BL91" i="3"/>
  <c r="AZ90" i="3"/>
  <c r="AZ89" i="3"/>
  <c r="BL86" i="3"/>
  <c r="BA84" i="3"/>
  <c r="AZ84" i="3" s="1"/>
  <c r="BL83" i="3"/>
  <c r="AZ82" i="3"/>
  <c r="BL78" i="3"/>
  <c r="AZ78" i="3" s="1"/>
  <c r="BA76" i="3"/>
  <c r="AZ76" i="3" s="1"/>
  <c r="BL75" i="3"/>
  <c r="AZ74" i="3"/>
  <c r="AZ73" i="3"/>
  <c r="AZ69" i="3"/>
  <c r="AZ66" i="3"/>
  <c r="AZ58" i="3"/>
  <c r="BA115" i="3"/>
  <c r="AZ115" i="3" s="1"/>
  <c r="BL114" i="3"/>
  <c r="AZ114" i="3" s="1"/>
  <c r="BA95" i="3"/>
  <c r="BA87" i="3"/>
  <c r="BA79" i="3"/>
  <c r="BA71" i="3"/>
  <c r="AZ63" i="3"/>
  <c r="AZ30" i="3"/>
  <c r="AZ117" i="3"/>
  <c r="BA111" i="3"/>
  <c r="AZ111" i="3" s="1"/>
  <c r="BL110" i="3"/>
  <c r="AZ101" i="3"/>
  <c r="BA96" i="3"/>
  <c r="AZ96" i="3" s="1"/>
  <c r="BL95" i="3"/>
  <c r="AZ94" i="3"/>
  <c r="BA88" i="3"/>
  <c r="AZ88" i="3" s="1"/>
  <c r="BL87" i="3"/>
  <c r="BA80" i="3"/>
  <c r="BL79" i="3"/>
  <c r="AZ77" i="3"/>
  <c r="BA72" i="3"/>
  <c r="AZ72" i="3" s="1"/>
  <c r="BL71" i="3"/>
  <c r="BA70" i="3"/>
  <c r="AZ65" i="3"/>
  <c r="BA107" i="3"/>
  <c r="BL106" i="3"/>
  <c r="AZ106" i="3" s="1"/>
  <c r="BA99" i="3"/>
  <c r="BA91" i="3"/>
  <c r="BA83" i="3"/>
  <c r="BA75" i="3"/>
  <c r="AZ67" i="3"/>
  <c r="AZ59" i="3"/>
  <c r="AZ50" i="3"/>
  <c r="AZ34" i="3"/>
  <c r="BA52" i="3"/>
  <c r="AZ52" i="3" s="1"/>
  <c r="BL51" i="3"/>
  <c r="AZ51" i="3" s="1"/>
  <c r="AZ42" i="3"/>
  <c r="BA36" i="3"/>
  <c r="BL35" i="3"/>
  <c r="AZ35" i="3" s="1"/>
  <c r="AZ26" i="3"/>
  <c r="BA20" i="3"/>
  <c r="AZ20" i="3" s="1"/>
  <c r="BL19" i="3"/>
  <c r="AZ19" i="3" s="1"/>
  <c r="F78" i="34"/>
  <c r="G78" i="34" s="1"/>
  <c r="BA48" i="3"/>
  <c r="AZ48" i="3" s="1"/>
  <c r="BL47" i="3"/>
  <c r="AZ47" i="3" s="1"/>
  <c r="BA32" i="3"/>
  <c r="AZ32" i="3" s="1"/>
  <c r="BL31" i="3"/>
  <c r="AZ31" i="3" s="1"/>
  <c r="BA16" i="3"/>
  <c r="AZ16" i="3" s="1"/>
  <c r="BL15" i="3"/>
  <c r="J37" i="34"/>
  <c r="BA44" i="3"/>
  <c r="AZ44" i="3" s="1"/>
  <c r="BL43" i="3"/>
  <c r="BA28" i="3"/>
  <c r="AZ28" i="3" s="1"/>
  <c r="BL27" i="3"/>
  <c r="AZ27" i="3" s="1"/>
  <c r="BB13" i="3"/>
  <c r="BL55" i="3"/>
  <c r="AZ55" i="3" s="1"/>
  <c r="BA40" i="3"/>
  <c r="AZ40" i="3" s="1"/>
  <c r="BL39" i="3"/>
  <c r="AZ39" i="3" s="1"/>
  <c r="BA24" i="3"/>
  <c r="AZ24" i="3" s="1"/>
  <c r="BL23" i="3"/>
  <c r="AZ23" i="3" s="1"/>
  <c r="D59" i="34"/>
  <c r="H47" i="34"/>
  <c r="F37" i="34"/>
  <c r="E80" i="34"/>
  <c r="J21" i="76"/>
  <c r="I21" i="76"/>
  <c r="AZ75" i="3" l="1"/>
  <c r="AZ265" i="3"/>
  <c r="D32" i="68"/>
  <c r="AZ132" i="3"/>
  <c r="AZ137" i="3"/>
  <c r="AZ153" i="3"/>
  <c r="AZ17" i="3"/>
  <c r="AZ21" i="3"/>
  <c r="AZ105" i="3"/>
  <c r="AZ141" i="3"/>
  <c r="AZ147" i="3"/>
  <c r="AZ369" i="3"/>
  <c r="AZ14" i="3"/>
  <c r="AZ33" i="3"/>
  <c r="AZ37" i="3"/>
  <c r="AZ18" i="3"/>
  <c r="AZ62" i="3"/>
  <c r="AZ123" i="3"/>
  <c r="AZ175" i="3"/>
  <c r="AZ322" i="3"/>
  <c r="AZ307" i="3"/>
  <c r="AZ138" i="3"/>
  <c r="AZ212" i="3"/>
  <c r="AZ245" i="3"/>
  <c r="AZ333" i="3"/>
  <c r="AZ349" i="3"/>
  <c r="AZ354" i="3"/>
  <c r="AZ449" i="3"/>
  <c r="AZ240" i="3"/>
  <c r="AZ316" i="3"/>
  <c r="AZ318" i="3"/>
  <c r="AZ417" i="3"/>
  <c r="AZ438" i="3"/>
  <c r="AZ512" i="3"/>
  <c r="AZ544" i="3"/>
  <c r="AB9" i="34"/>
  <c r="U9" i="34"/>
  <c r="AB46" i="34"/>
  <c r="U46" i="34"/>
  <c r="AA9" i="86"/>
  <c r="S9" i="86"/>
  <c r="AB45" i="86"/>
  <c r="U45" i="86"/>
  <c r="W12" i="35"/>
  <c r="AC12" i="35"/>
  <c r="S9" i="37"/>
  <c r="AA9" i="37"/>
  <c r="AC39" i="39"/>
  <c r="W39" i="39"/>
  <c r="U34" i="40"/>
  <c r="AB34" i="40"/>
  <c r="W34" i="40"/>
  <c r="AC34" i="40"/>
  <c r="AC17" i="33"/>
  <c r="W17" i="33"/>
  <c r="AC26" i="33"/>
  <c r="W26" i="33"/>
  <c r="AC28" i="33"/>
  <c r="W28" i="33"/>
  <c r="AB44" i="33"/>
  <c r="U44" i="33"/>
  <c r="D7" i="68"/>
  <c r="C26" i="68" s="1"/>
  <c r="C32" i="68" s="1"/>
  <c r="C38" i="68" s="1"/>
  <c r="C39" i="68" s="1"/>
  <c r="AZ79" i="3"/>
  <c r="C40" i="68"/>
  <c r="AZ328" i="3"/>
  <c r="AZ165" i="3"/>
  <c r="AZ221" i="3"/>
  <c r="AZ348" i="3"/>
  <c r="AZ381" i="3"/>
  <c r="AZ225" i="3"/>
  <c r="AZ484" i="3"/>
  <c r="AZ500" i="3"/>
  <c r="AZ516" i="3"/>
  <c r="AZ532" i="3"/>
  <c r="AZ548" i="3"/>
  <c r="AZ564" i="3"/>
  <c r="AZ468" i="3"/>
  <c r="E93" i="78"/>
  <c r="B91" i="78" s="1"/>
  <c r="C28" i="78" s="1"/>
  <c r="I5" i="72" s="1"/>
  <c r="AB28" i="34"/>
  <c r="U28" i="34"/>
  <c r="AB13" i="86"/>
  <c r="U13" i="86"/>
  <c r="W25" i="37"/>
  <c r="AC25" i="37"/>
  <c r="W9" i="35"/>
  <c r="AC9" i="35"/>
  <c r="AA12" i="37"/>
  <c r="S12" i="37"/>
  <c r="W42" i="40"/>
  <c r="AC42" i="40"/>
  <c r="AB14" i="40"/>
  <c r="U14" i="40"/>
  <c r="AA17" i="33"/>
  <c r="S17" i="33"/>
  <c r="AB26" i="33"/>
  <c r="U26" i="33"/>
  <c r="AB28" i="33"/>
  <c r="U28" i="33"/>
  <c r="AA28" i="33"/>
  <c r="S28" i="33"/>
  <c r="AC44" i="33"/>
  <c r="W44" i="33"/>
  <c r="M23" i="77"/>
  <c r="D41" i="59"/>
  <c r="T41" i="59"/>
  <c r="AZ233" i="3"/>
  <c r="AC12" i="86"/>
  <c r="W12" i="86"/>
  <c r="AC46" i="33"/>
  <c r="W46" i="33"/>
  <c r="AB13" i="21"/>
  <c r="U13" i="21"/>
  <c r="AA12" i="33"/>
  <c r="S12" i="33"/>
  <c r="J15" i="34"/>
  <c r="AZ91" i="3"/>
  <c r="AZ110" i="3"/>
  <c r="AZ100" i="3"/>
  <c r="AZ164" i="3"/>
  <c r="AZ269" i="3"/>
  <c r="J7" i="36"/>
  <c r="AC7" i="36" s="1"/>
  <c r="V36" i="36" s="1"/>
  <c r="I36" i="36" s="1"/>
  <c r="AZ282" i="3"/>
  <c r="AZ293" i="3"/>
  <c r="AZ305" i="3"/>
  <c r="AZ321" i="3"/>
  <c r="AZ385" i="3"/>
  <c r="AZ56" i="3"/>
  <c r="AZ135" i="3"/>
  <c r="AZ119" i="3"/>
  <c r="AZ205" i="3"/>
  <c r="AZ298" i="3"/>
  <c r="AZ317" i="3"/>
  <c r="AZ125" i="3"/>
  <c r="AZ182" i="3"/>
  <c r="AZ198" i="3"/>
  <c r="AZ249" i="3"/>
  <c r="AZ273" i="3"/>
  <c r="AZ314" i="3"/>
  <c r="AZ171" i="3"/>
  <c r="AZ194" i="3"/>
  <c r="AZ283" i="3"/>
  <c r="AZ289" i="3"/>
  <c r="AZ306" i="3"/>
  <c r="AZ151" i="3"/>
  <c r="AZ200" i="3"/>
  <c r="AZ272" i="3"/>
  <c r="AZ345" i="3"/>
  <c r="AZ453" i="3"/>
  <c r="AZ271" i="3"/>
  <c r="AZ378" i="3"/>
  <c r="AZ393" i="3"/>
  <c r="AZ204" i="3"/>
  <c r="AZ228" i="3"/>
  <c r="AZ294" i="3"/>
  <c r="AZ326" i="3"/>
  <c r="AZ341" i="3"/>
  <c r="AZ374" i="3"/>
  <c r="AZ434" i="3"/>
  <c r="AZ450" i="3"/>
  <c r="AZ470" i="3"/>
  <c r="AZ465" i="3"/>
  <c r="AC9" i="86"/>
  <c r="W9" i="86"/>
  <c r="AC14" i="21"/>
  <c r="W14" i="21"/>
  <c r="AB12" i="33"/>
  <c r="U12" i="33"/>
  <c r="AB31" i="33"/>
  <c r="U31" i="33"/>
  <c r="D67" i="59"/>
  <c r="O66" i="59"/>
  <c r="O67" i="59"/>
  <c r="N68" i="59"/>
  <c r="B67" i="59"/>
  <c r="AB39" i="37"/>
  <c r="U39" i="37"/>
  <c r="W24" i="36"/>
  <c r="AC24" i="36"/>
  <c r="AB23" i="36"/>
  <c r="U23" i="36"/>
  <c r="S13" i="36"/>
  <c r="AA13" i="36"/>
  <c r="D71" i="39"/>
  <c r="E69" i="39"/>
  <c r="AZ130" i="3"/>
  <c r="AZ405" i="3"/>
  <c r="AC29" i="21"/>
  <c r="W29" i="21"/>
  <c r="AZ43" i="3"/>
  <c r="AZ173" i="3"/>
  <c r="J7" i="33"/>
  <c r="C23" i="76"/>
  <c r="H7" i="33"/>
  <c r="C23" i="78"/>
  <c r="F5" i="72" s="1"/>
  <c r="E32" i="68"/>
  <c r="F7" i="36"/>
  <c r="W33" i="21"/>
  <c r="AB45" i="34"/>
  <c r="U45" i="34"/>
  <c r="S17" i="88"/>
  <c r="T17" i="88" s="1"/>
  <c r="U17" i="88" s="1"/>
  <c r="M18" i="88"/>
  <c r="S18" i="88" s="1"/>
  <c r="T18" i="88" s="1"/>
  <c r="U18" i="88" s="1"/>
  <c r="AB13" i="34"/>
  <c r="U13" i="34"/>
  <c r="AZ127" i="3"/>
  <c r="AZ193" i="3"/>
  <c r="AZ277" i="3"/>
  <c r="AZ353" i="3"/>
  <c r="AZ210" i="3"/>
  <c r="AZ278" i="3"/>
  <c r="AZ143" i="3"/>
  <c r="AZ254" i="3"/>
  <c r="AZ300" i="3"/>
  <c r="AZ310" i="3"/>
  <c r="AZ332" i="3"/>
  <c r="AZ133" i="3"/>
  <c r="AZ189" i="3"/>
  <c r="AZ301" i="3"/>
  <c r="AZ398" i="3"/>
  <c r="AZ421" i="3"/>
  <c r="AZ206" i="3"/>
  <c r="AZ242" i="3"/>
  <c r="AZ401" i="3"/>
  <c r="AZ429" i="3"/>
  <c r="AZ214" i="3"/>
  <c r="AZ448" i="3"/>
  <c r="AB30" i="21"/>
  <c r="U30" i="21"/>
  <c r="AA14" i="33"/>
  <c r="S14" i="33"/>
  <c r="AB27" i="21"/>
  <c r="U27" i="21"/>
  <c r="AC46" i="21"/>
  <c r="W46" i="21"/>
  <c r="AA33" i="33"/>
  <c r="S33" i="33"/>
  <c r="D76" i="59"/>
  <c r="C75" i="59"/>
  <c r="D75" i="59" s="1"/>
  <c r="M43" i="9"/>
  <c r="D18" i="9"/>
  <c r="M44" i="9" s="1"/>
  <c r="C23" i="59"/>
  <c r="D24" i="59"/>
  <c r="C37" i="59"/>
  <c r="D36" i="59"/>
  <c r="AB27" i="34"/>
  <c r="U27" i="34"/>
  <c r="AZ370" i="3"/>
  <c r="AC45" i="86"/>
  <c r="W45" i="86"/>
  <c r="AB14" i="21"/>
  <c r="U14" i="21"/>
  <c r="H15" i="34"/>
  <c r="AZ70" i="3"/>
  <c r="F15" i="34"/>
  <c r="AZ36" i="3"/>
  <c r="AZ107" i="3"/>
  <c r="AZ80" i="3"/>
  <c r="AZ86" i="3"/>
  <c r="AZ462" i="3"/>
  <c r="AZ461" i="3"/>
  <c r="F7" i="33"/>
  <c r="H7" i="36"/>
  <c r="AB32" i="34"/>
  <c r="U32" i="34"/>
  <c r="AZ49" i="3"/>
  <c r="AZ330" i="3"/>
  <c r="AZ270" i="3"/>
  <c r="AZ286" i="3"/>
  <c r="AZ296" i="3"/>
  <c r="AZ437" i="3"/>
  <c r="AZ365" i="3"/>
  <c r="AZ433" i="3"/>
  <c r="AZ390" i="3"/>
  <c r="AZ476" i="3"/>
  <c r="AB26" i="86"/>
  <c r="U26" i="86"/>
  <c r="AB46" i="21"/>
  <c r="U46" i="21"/>
  <c r="AA31" i="33"/>
  <c r="S31" i="33"/>
  <c r="AB14" i="86"/>
  <c r="U14" i="86"/>
  <c r="AC30" i="21"/>
  <c r="W30" i="21"/>
  <c r="AA15" i="33"/>
  <c r="S15" i="33"/>
  <c r="AA46" i="33"/>
  <c r="S46" i="33"/>
  <c r="M23" i="76"/>
  <c r="U41" i="59"/>
  <c r="D80" i="59"/>
  <c r="C79" i="59"/>
  <c r="D79" i="59" s="1"/>
  <c r="AA26" i="37"/>
  <c r="S26" i="37"/>
  <c r="W11" i="36"/>
  <c r="AC11" i="36"/>
  <c r="AB37" i="34"/>
  <c r="U37" i="34"/>
  <c r="AC19" i="34"/>
  <c r="W19" i="34"/>
  <c r="AA19" i="34"/>
  <c r="S19" i="34"/>
  <c r="AB19" i="34"/>
  <c r="U19" i="34"/>
  <c r="W32" i="86"/>
  <c r="S15" i="86"/>
  <c r="S32" i="86"/>
  <c r="H17" i="21"/>
  <c r="U17" i="21" s="1"/>
  <c r="W15" i="86"/>
  <c r="U15" i="86"/>
  <c r="AC19" i="86"/>
  <c r="W19" i="86"/>
  <c r="U19" i="86"/>
  <c r="AA19" i="86"/>
  <c r="S19" i="86"/>
  <c r="AA15" i="21"/>
  <c r="S15" i="21"/>
  <c r="AB15" i="21"/>
  <c r="U15" i="21"/>
  <c r="AC15" i="21"/>
  <c r="W15" i="21"/>
  <c r="J17" i="21"/>
  <c r="W17" i="21" s="1"/>
  <c r="F17" i="21"/>
  <c r="AA17" i="21" s="1"/>
  <c r="AB17" i="21"/>
  <c r="AB32" i="21"/>
  <c r="U32" i="21"/>
  <c r="G21" i="76"/>
  <c r="C20" i="76" s="1"/>
  <c r="B32" i="1" s="1"/>
  <c r="E19" i="74" s="1"/>
  <c r="K6" i="1"/>
  <c r="M6" i="1" s="1"/>
  <c r="C9" i="73"/>
  <c r="D21" i="73" s="1"/>
  <c r="E32" i="6"/>
  <c r="L19" i="6" s="1"/>
  <c r="L27" i="6" s="1"/>
  <c r="D3" i="21"/>
  <c r="AB33" i="21"/>
  <c r="U33" i="21"/>
  <c r="H16" i="72"/>
  <c r="C8" i="72"/>
  <c r="AB23" i="34"/>
  <c r="U23" i="34"/>
  <c r="AA23" i="34"/>
  <c r="S23" i="34"/>
  <c r="AC23" i="34"/>
  <c r="W23" i="34"/>
  <c r="W27" i="86"/>
  <c r="AA23" i="86"/>
  <c r="S23" i="86"/>
  <c r="U23" i="86"/>
  <c r="AC23" i="86"/>
  <c r="W23" i="86"/>
  <c r="G102" i="86"/>
  <c r="J17" i="86"/>
  <c r="G79" i="86"/>
  <c r="C5" i="77"/>
  <c r="D5" i="77"/>
  <c r="D4" i="72"/>
  <c r="E5" i="77"/>
  <c r="AA23" i="21"/>
  <c r="S23" i="21"/>
  <c r="F3" i="72"/>
  <c r="H17" i="34"/>
  <c r="F80" i="34"/>
  <c r="G80" i="34" s="1"/>
  <c r="J17" i="34"/>
  <c r="F17" i="34"/>
  <c r="AC37" i="34"/>
  <c r="W37" i="34"/>
  <c r="AC15" i="34"/>
  <c r="W15" i="34"/>
  <c r="AZ99" i="3"/>
  <c r="AZ71" i="3"/>
  <c r="W25" i="86"/>
  <c r="AC25" i="86"/>
  <c r="AA27" i="86"/>
  <c r="S27" i="86"/>
  <c r="AC7" i="33"/>
  <c r="W7" i="33"/>
  <c r="D3" i="86"/>
  <c r="C9" i="74"/>
  <c r="K7" i="1"/>
  <c r="AA46" i="86"/>
  <c r="S46" i="86"/>
  <c r="AC27" i="21"/>
  <c r="W27" i="21"/>
  <c r="AC36" i="33"/>
  <c r="W36" i="33"/>
  <c r="F7" i="21"/>
  <c r="D28" i="59"/>
  <c r="C27" i="59"/>
  <c r="D27" i="59" s="1"/>
  <c r="R25" i="68"/>
  <c r="R5" i="68" s="1"/>
  <c r="U5" i="68" s="1"/>
  <c r="C57" i="59"/>
  <c r="D56" i="59"/>
  <c r="W12" i="36"/>
  <c r="AC12" i="36"/>
  <c r="S13" i="35"/>
  <c r="AA13" i="35"/>
  <c r="O52" i="37"/>
  <c r="F7" i="37" s="1"/>
  <c r="C23" i="77"/>
  <c r="F4" i="72" s="1"/>
  <c r="W7" i="36"/>
  <c r="AB27" i="86"/>
  <c r="U27" i="86"/>
  <c r="J36" i="86"/>
  <c r="F36" i="86"/>
  <c r="H111" i="86"/>
  <c r="I111" i="86" s="1"/>
  <c r="J111" i="86" s="1"/>
  <c r="K111" i="86" s="1"/>
  <c r="L111" i="86" s="1"/>
  <c r="M111" i="86" s="1"/>
  <c r="AA33" i="86"/>
  <c r="S33" i="86"/>
  <c r="U46" i="86"/>
  <c r="AB46" i="86"/>
  <c r="AA36" i="33"/>
  <c r="S36" i="33"/>
  <c r="D88" i="59"/>
  <c r="C87" i="59"/>
  <c r="D87" i="59" s="1"/>
  <c r="AC19" i="21"/>
  <c r="W19" i="21"/>
  <c r="AB37" i="21"/>
  <c r="U37" i="21"/>
  <c r="AB7" i="33"/>
  <c r="U7" i="33"/>
  <c r="F20" i="59"/>
  <c r="F19" i="59" s="1"/>
  <c r="F18" i="59" s="1"/>
  <c r="F17" i="59" s="1"/>
  <c r="V21" i="59"/>
  <c r="Q67" i="59"/>
  <c r="Q66" i="59"/>
  <c r="C65" i="59"/>
  <c r="D64" i="59"/>
  <c r="T61" i="59"/>
  <c r="D61" i="59"/>
  <c r="C41" i="68"/>
  <c r="B2" i="68"/>
  <c r="B3" i="68" s="1"/>
  <c r="AC39" i="37"/>
  <c r="W39" i="37"/>
  <c r="U13" i="35"/>
  <c r="AB13" i="35"/>
  <c r="T14" i="46"/>
  <c r="V14" i="46" s="1"/>
  <c r="T13" i="46"/>
  <c r="V13" i="46" s="1"/>
  <c r="T12" i="46"/>
  <c r="V12" i="46" s="1"/>
  <c r="T11" i="46"/>
  <c r="V11" i="46" s="1"/>
  <c r="T8" i="46"/>
  <c r="V8" i="46" s="1"/>
  <c r="T15" i="46"/>
  <c r="V15" i="46" s="1"/>
  <c r="T7" i="46"/>
  <c r="V7" i="46" s="1"/>
  <c r="T16" i="46"/>
  <c r="V16" i="46" s="1"/>
  <c r="T5" i="46"/>
  <c r="V5" i="46" s="1"/>
  <c r="T4" i="46"/>
  <c r="V4" i="46" s="1"/>
  <c r="T3" i="46"/>
  <c r="V3" i="46" s="1"/>
  <c r="T2" i="46"/>
  <c r="V2" i="46" s="1"/>
  <c r="T6" i="46"/>
  <c r="V6" i="46" s="1"/>
  <c r="T10" i="46"/>
  <c r="V10" i="46" s="1"/>
  <c r="T9" i="46"/>
  <c r="V9" i="46" s="1"/>
  <c r="AA37" i="34"/>
  <c r="S37" i="34"/>
  <c r="BL5" i="3"/>
  <c r="AB47" i="34"/>
  <c r="U47" i="34"/>
  <c r="E59" i="34"/>
  <c r="BB5" i="3"/>
  <c r="AB15" i="34"/>
  <c r="U15" i="34"/>
  <c r="AZ83" i="3"/>
  <c r="AZ87" i="3"/>
  <c r="E58" i="86"/>
  <c r="C11" i="21"/>
  <c r="G3" i="76"/>
  <c r="G3" i="77"/>
  <c r="G3" i="78"/>
  <c r="G3" i="46"/>
  <c r="H36" i="86"/>
  <c r="AB44" i="86"/>
  <c r="U44" i="86"/>
  <c r="H33" i="86"/>
  <c r="AA19" i="21"/>
  <c r="S19" i="21"/>
  <c r="J7" i="21"/>
  <c r="AA37" i="21"/>
  <c r="S37" i="21"/>
  <c r="AA7" i="33"/>
  <c r="R48" i="33" s="1"/>
  <c r="S7" i="33"/>
  <c r="S25" i="59"/>
  <c r="B24" i="59"/>
  <c r="B23" i="59" s="1"/>
  <c r="B22" i="59" s="1"/>
  <c r="B21" i="59" s="1"/>
  <c r="E20" i="59"/>
  <c r="E19" i="59" s="1"/>
  <c r="E18" i="59" s="1"/>
  <c r="E17" i="59" s="1"/>
  <c r="U21" i="59"/>
  <c r="U29" i="59"/>
  <c r="E28" i="59"/>
  <c r="E27" i="59" s="1"/>
  <c r="C45" i="59"/>
  <c r="D44" i="59"/>
  <c r="W26" i="37"/>
  <c r="AC26" i="37"/>
  <c r="AB32" i="36"/>
  <c r="U32" i="36"/>
  <c r="AC35" i="35"/>
  <c r="W35" i="35"/>
  <c r="E48" i="35"/>
  <c r="C39" i="46"/>
  <c r="C40" i="46"/>
  <c r="C37" i="46"/>
  <c r="C38" i="46"/>
  <c r="C42" i="46"/>
  <c r="C41" i="46"/>
  <c r="S7" i="36"/>
  <c r="AA7" i="36"/>
  <c r="R36" i="36" s="1"/>
  <c r="E19" i="73"/>
  <c r="E19" i="75"/>
  <c r="B31" i="1"/>
  <c r="AA15" i="34"/>
  <c r="S15" i="34"/>
  <c r="AZ15" i="3"/>
  <c r="AZ95" i="3"/>
  <c r="AZ156" i="3"/>
  <c r="AZ163" i="3"/>
  <c r="AB30" i="86"/>
  <c r="U30" i="86"/>
  <c r="C5" i="78"/>
  <c r="D5" i="72"/>
  <c r="D5" i="78"/>
  <c r="K14" i="1"/>
  <c r="M14" i="1" s="1"/>
  <c r="E30" i="6"/>
  <c r="AA44" i="86"/>
  <c r="S44" i="86"/>
  <c r="F85" i="21"/>
  <c r="J23" i="21"/>
  <c r="AB33" i="33"/>
  <c r="U33" i="33"/>
  <c r="AB36" i="33"/>
  <c r="U36" i="33"/>
  <c r="D31" i="59"/>
  <c r="C32" i="59"/>
  <c r="C15" i="73"/>
  <c r="O15" i="1"/>
  <c r="P15" i="1" s="1"/>
  <c r="AB19" i="21"/>
  <c r="U19" i="21"/>
  <c r="H7" i="21"/>
  <c r="J33" i="86"/>
  <c r="AC37" i="21"/>
  <c r="W37" i="21"/>
  <c r="C53" i="59"/>
  <c r="D52" i="59"/>
  <c r="S32" i="36"/>
  <c r="AA32" i="36"/>
  <c r="U35" i="35"/>
  <c r="AB35" i="35"/>
  <c r="I64" i="40"/>
  <c r="H66" i="40"/>
  <c r="U7" i="36"/>
  <c r="AB7" i="36"/>
  <c r="T36" i="36" s="1"/>
  <c r="G36" i="36" s="1"/>
  <c r="AE7" i="1"/>
  <c r="J7" i="37" l="1"/>
  <c r="D23" i="59"/>
  <c r="C22" i="59"/>
  <c r="U20" i="88"/>
  <c r="D9" i="88" s="1"/>
  <c r="F69" i="39"/>
  <c r="E71" i="39"/>
  <c r="H7" i="37"/>
  <c r="U7" i="37" s="1"/>
  <c r="D37" i="59"/>
  <c r="T37" i="59"/>
  <c r="N66" i="59"/>
  <c r="N67" i="59"/>
  <c r="E19" i="12"/>
  <c r="D3" i="72"/>
  <c r="C5" i="76"/>
  <c r="D5" i="76"/>
  <c r="AC17" i="21"/>
  <c r="F17" i="86"/>
  <c r="H17" i="86"/>
  <c r="S17" i="21"/>
  <c r="C21" i="73"/>
  <c r="C20" i="73" s="1"/>
  <c r="D16" i="73"/>
  <c r="C15" i="43"/>
  <c r="O6" i="1"/>
  <c r="P6" i="1" s="1"/>
  <c r="I1" i="65"/>
  <c r="AC17" i="86"/>
  <c r="W17" i="86"/>
  <c r="AC7" i="21"/>
  <c r="W7" i="21"/>
  <c r="AB36" i="86"/>
  <c r="U36" i="86"/>
  <c r="E26" i="76"/>
  <c r="G26" i="76"/>
  <c r="F26" i="76"/>
  <c r="H26" i="76"/>
  <c r="J26" i="76"/>
  <c r="B117" i="76"/>
  <c r="Z7" i="76"/>
  <c r="T48" i="33"/>
  <c r="G48" i="33" s="1"/>
  <c r="W36" i="86"/>
  <c r="AC36" i="86"/>
  <c r="I40" i="36"/>
  <c r="J40" i="36" s="1"/>
  <c r="D16" i="74"/>
  <c r="C16" i="74" s="1"/>
  <c r="D22" i="74"/>
  <c r="C22" i="74" s="1"/>
  <c r="C20" i="74" s="1"/>
  <c r="D19" i="74"/>
  <c r="C19" i="74" s="1"/>
  <c r="AB7" i="21"/>
  <c r="U7" i="21"/>
  <c r="C37" i="78"/>
  <c r="C39" i="78"/>
  <c r="C41" i="78"/>
  <c r="C38" i="78"/>
  <c r="C40" i="78"/>
  <c r="C42" i="78"/>
  <c r="E37" i="46"/>
  <c r="G37" i="46"/>
  <c r="I37" i="46" s="1"/>
  <c r="J64" i="40"/>
  <c r="I66" i="40"/>
  <c r="H23" i="21"/>
  <c r="G85" i="21"/>
  <c r="G41" i="46"/>
  <c r="I41" i="46" s="1"/>
  <c r="E41" i="46"/>
  <c r="E40" i="46"/>
  <c r="G40" i="46"/>
  <c r="I40" i="46" s="1"/>
  <c r="E16" i="59"/>
  <c r="E15" i="59" s="1"/>
  <c r="E14" i="59" s="1"/>
  <c r="E13" i="59" s="1"/>
  <c r="U17" i="59"/>
  <c r="E48" i="33"/>
  <c r="AB33" i="86"/>
  <c r="U33" i="86"/>
  <c r="Z7" i="46"/>
  <c r="G26" i="46"/>
  <c r="H26" i="46"/>
  <c r="J26" i="46"/>
  <c r="E26" i="46"/>
  <c r="F26" i="46"/>
  <c r="B117" i="46"/>
  <c r="F11" i="21"/>
  <c r="J11" i="21"/>
  <c r="H11" i="21"/>
  <c r="F59" i="34"/>
  <c r="AB17" i="34"/>
  <c r="U17" i="34"/>
  <c r="C40" i="77"/>
  <c r="C39" i="77"/>
  <c r="C38" i="77"/>
  <c r="C37" i="77"/>
  <c r="AC23" i="21"/>
  <c r="W23" i="21"/>
  <c r="G41" i="36"/>
  <c r="H41" i="36" s="1"/>
  <c r="G40" i="36"/>
  <c r="H40" i="36" s="1"/>
  <c r="C15" i="12"/>
  <c r="D32" i="59"/>
  <c r="C33" i="59"/>
  <c r="O14" i="1"/>
  <c r="P14" i="1" s="1"/>
  <c r="T9" i="78"/>
  <c r="V9" i="78" s="1"/>
  <c r="T4" i="78"/>
  <c r="V4" i="78" s="1"/>
  <c r="T13" i="78"/>
  <c r="V13" i="78" s="1"/>
  <c r="T6" i="78"/>
  <c r="V6" i="78" s="1"/>
  <c r="T7" i="78"/>
  <c r="V7" i="78" s="1"/>
  <c r="T14" i="78"/>
  <c r="V14" i="78" s="1"/>
  <c r="T5" i="78"/>
  <c r="V5" i="78" s="1"/>
  <c r="T15" i="78"/>
  <c r="V15" i="78" s="1"/>
  <c r="T8" i="78"/>
  <c r="V8" i="78" s="1"/>
  <c r="T12" i="78"/>
  <c r="V12" i="78" s="1"/>
  <c r="T3" i="78"/>
  <c r="V3" i="78" s="1"/>
  <c r="T2" i="78"/>
  <c r="V2" i="78" s="1"/>
  <c r="T11" i="78"/>
  <c r="V11" i="78" s="1"/>
  <c r="T16" i="78"/>
  <c r="V16" i="78" s="1"/>
  <c r="T10" i="78"/>
  <c r="V10" i="78" s="1"/>
  <c r="E42" i="46"/>
  <c r="G42" i="46"/>
  <c r="I42" i="46" s="1"/>
  <c r="E39" i="46"/>
  <c r="G39" i="46"/>
  <c r="I39" i="46" s="1"/>
  <c r="B20" i="59"/>
  <c r="B19" i="59" s="1"/>
  <c r="B18" i="59" s="1"/>
  <c r="B17" i="59" s="1"/>
  <c r="S21" i="59"/>
  <c r="H26" i="78"/>
  <c r="E26" i="78"/>
  <c r="G26" i="78"/>
  <c r="F26" i="78"/>
  <c r="B117" i="78"/>
  <c r="J26" i="78"/>
  <c r="Z7" i="78"/>
  <c r="E5" i="6"/>
  <c r="D65" i="59"/>
  <c r="T65" i="59"/>
  <c r="F16" i="59"/>
  <c r="F15" i="59" s="1"/>
  <c r="F14" i="59" s="1"/>
  <c r="F13" i="59" s="1"/>
  <c r="V17" i="59"/>
  <c r="AA7" i="37"/>
  <c r="R42" i="37" s="1"/>
  <c r="S7" i="37"/>
  <c r="D57" i="59"/>
  <c r="T57" i="59"/>
  <c r="AA17" i="34"/>
  <c r="S17" i="34"/>
  <c r="T10" i="77"/>
  <c r="V10" i="77" s="1"/>
  <c r="T8" i="77"/>
  <c r="V8" i="77" s="1"/>
  <c r="T7" i="77"/>
  <c r="V7" i="77" s="1"/>
  <c r="T14" i="77"/>
  <c r="V14" i="77" s="1"/>
  <c r="T3" i="77"/>
  <c r="V3" i="77" s="1"/>
  <c r="T12" i="77"/>
  <c r="V12" i="77" s="1"/>
  <c r="T15" i="77"/>
  <c r="V15" i="77" s="1"/>
  <c r="T2" i="77"/>
  <c r="V2" i="77" s="1"/>
  <c r="T4" i="77"/>
  <c r="V4" i="77" s="1"/>
  <c r="T5" i="77"/>
  <c r="V5" i="77" s="1"/>
  <c r="T16" i="77"/>
  <c r="V16" i="77" s="1"/>
  <c r="T9" i="77"/>
  <c r="V9" i="77" s="1"/>
  <c r="T13" i="77"/>
  <c r="V13" i="77" s="1"/>
  <c r="T6" i="77"/>
  <c r="V6" i="77" s="1"/>
  <c r="T11" i="77"/>
  <c r="V11" i="77" s="1"/>
  <c r="T53" i="59"/>
  <c r="D53" i="59"/>
  <c r="W33" i="86"/>
  <c r="AC33" i="86"/>
  <c r="R37" i="36"/>
  <c r="E36" i="36"/>
  <c r="I41" i="36" s="1"/>
  <c r="J41" i="36" s="1"/>
  <c r="E38" i="46"/>
  <c r="G38" i="46"/>
  <c r="I38" i="46" s="1"/>
  <c r="F48" i="35"/>
  <c r="D45" i="59"/>
  <c r="T45" i="59"/>
  <c r="E26" i="77"/>
  <c r="G26" i="77"/>
  <c r="F26" i="77"/>
  <c r="H26" i="77"/>
  <c r="J26" i="77"/>
  <c r="Z7" i="77"/>
  <c r="B117" i="77"/>
  <c r="F58" i="86"/>
  <c r="AA36" i="86"/>
  <c r="S36" i="86"/>
  <c r="AC7" i="37"/>
  <c r="V42" i="37" s="1"/>
  <c r="I42" i="37" s="1"/>
  <c r="W7" i="37"/>
  <c r="AA7" i="21"/>
  <c r="S7" i="21"/>
  <c r="M7" i="1"/>
  <c r="V48" i="33"/>
  <c r="I48" i="33" s="1"/>
  <c r="AC17" i="34"/>
  <c r="W17" i="34"/>
  <c r="C41" i="77"/>
  <c r="C42" i="77"/>
  <c r="AB7" i="37" l="1"/>
  <c r="T42" i="37" s="1"/>
  <c r="G42" i="37" s="1"/>
  <c r="J16" i="80"/>
  <c r="K13" i="3"/>
  <c r="C21" i="59"/>
  <c r="D22" i="59"/>
  <c r="G69" i="39"/>
  <c r="F71" i="39"/>
  <c r="T10" i="76"/>
  <c r="V10" i="76" s="1"/>
  <c r="T2" i="76"/>
  <c r="V2" i="76" s="1"/>
  <c r="T9" i="76"/>
  <c r="V9" i="76" s="1"/>
  <c r="T12" i="76"/>
  <c r="V12" i="76" s="1"/>
  <c r="T5" i="76"/>
  <c r="V5" i="76" s="1"/>
  <c r="T7" i="76"/>
  <c r="V7" i="76" s="1"/>
  <c r="T14" i="76"/>
  <c r="V14" i="76" s="1"/>
  <c r="T13" i="76"/>
  <c r="V13" i="76" s="1"/>
  <c r="T8" i="76"/>
  <c r="V8" i="76" s="1"/>
  <c r="T11" i="76"/>
  <c r="V11" i="76" s="1"/>
  <c r="T16" i="76"/>
  <c r="V16" i="76" s="1"/>
  <c r="T3" i="76"/>
  <c r="V3" i="76" s="1"/>
  <c r="T15" i="76"/>
  <c r="V15" i="76" s="1"/>
  <c r="T6" i="76"/>
  <c r="V6" i="76" s="1"/>
  <c r="T4" i="76"/>
  <c r="V4" i="76" s="1"/>
  <c r="C41" i="76"/>
  <c r="C37" i="76"/>
  <c r="C39" i="76"/>
  <c r="C38" i="76"/>
  <c r="C40" i="76"/>
  <c r="C42" i="76"/>
  <c r="U17" i="86"/>
  <c r="AB17" i="86"/>
  <c r="AA17" i="86"/>
  <c r="S17" i="86"/>
  <c r="C16" i="73"/>
  <c r="D19" i="73"/>
  <c r="C19" i="73" s="1"/>
  <c r="D26" i="46"/>
  <c r="C25" i="46" s="1"/>
  <c r="C33" i="46" s="1"/>
  <c r="C34" i="46" s="1"/>
  <c r="E34" i="46" s="1"/>
  <c r="C31" i="46" s="1"/>
  <c r="E40" i="77"/>
  <c r="G40" i="77"/>
  <c r="I40" i="77" s="1"/>
  <c r="AB11" i="21"/>
  <c r="U11" i="21"/>
  <c r="E12" i="59"/>
  <c r="E11" i="59" s="1"/>
  <c r="E10" i="59" s="1"/>
  <c r="E9" i="59" s="1"/>
  <c r="U13" i="59"/>
  <c r="G38" i="78"/>
  <c r="I38" i="78" s="1"/>
  <c r="E38" i="78"/>
  <c r="G46" i="37"/>
  <c r="H46" i="37" s="1"/>
  <c r="G47" i="37"/>
  <c r="H47" i="37" s="1"/>
  <c r="G52" i="33"/>
  <c r="H52" i="33" s="1"/>
  <c r="G53" i="33"/>
  <c r="H53" i="33" s="1"/>
  <c r="D26" i="76"/>
  <c r="C25" i="76" s="1"/>
  <c r="G41" i="77"/>
  <c r="I41" i="77" s="1"/>
  <c r="E41" i="77"/>
  <c r="R43" i="37"/>
  <c r="E42" i="37"/>
  <c r="G37" i="77"/>
  <c r="I37" i="77" s="1"/>
  <c r="E37" i="77"/>
  <c r="AC11" i="21"/>
  <c r="V48" i="21" s="1"/>
  <c r="I48" i="21" s="1"/>
  <c r="W11" i="21"/>
  <c r="E52" i="33"/>
  <c r="F52" i="33" s="1"/>
  <c r="E53" i="33"/>
  <c r="F53" i="33" s="1"/>
  <c r="AB23" i="21"/>
  <c r="U23" i="21"/>
  <c r="E41" i="78"/>
  <c r="G41" i="78"/>
  <c r="I41" i="78" s="1"/>
  <c r="O7" i="1"/>
  <c r="I46" i="37"/>
  <c r="J46" i="37" s="1"/>
  <c r="G58" i="86"/>
  <c r="D26" i="77"/>
  <c r="C25" i="77" s="1"/>
  <c r="D26" i="78"/>
  <c r="C25" i="78" s="1"/>
  <c r="S17" i="59"/>
  <c r="B16" i="59"/>
  <c r="B15" i="59" s="1"/>
  <c r="B14" i="59" s="1"/>
  <c r="B13" i="59" s="1"/>
  <c r="D33" i="59"/>
  <c r="T33" i="59"/>
  <c r="E38" i="77"/>
  <c r="G38" i="77"/>
  <c r="I38" i="77" s="1"/>
  <c r="AA11" i="21"/>
  <c r="S11" i="21"/>
  <c r="R49" i="33"/>
  <c r="G42" i="78"/>
  <c r="I42" i="78" s="1"/>
  <c r="E42" i="78"/>
  <c r="E39" i="78"/>
  <c r="G39" i="78"/>
  <c r="I39" i="78" s="1"/>
  <c r="G122" i="76"/>
  <c r="H122" i="76" s="1"/>
  <c r="I119" i="76"/>
  <c r="J119" i="76" s="1"/>
  <c r="K119" i="76" s="1"/>
  <c r="L119" i="76" s="1"/>
  <c r="M119" i="76" s="1"/>
  <c r="B122" i="76"/>
  <c r="C122" i="76" s="1"/>
  <c r="D119" i="76"/>
  <c r="E119" i="76" s="1"/>
  <c r="F119" i="76" s="1"/>
  <c r="G119" i="76" s="1"/>
  <c r="H119" i="76" s="1"/>
  <c r="D117" i="76"/>
  <c r="D122" i="76"/>
  <c r="E122" i="76" s="1"/>
  <c r="F122" i="76" s="1"/>
  <c r="D120" i="76"/>
  <c r="E120" i="76" s="1"/>
  <c r="F120" i="76" s="1"/>
  <c r="G120" i="76" s="1"/>
  <c r="H120" i="76" s="1"/>
  <c r="B119" i="76"/>
  <c r="C119" i="76" s="1"/>
  <c r="I123" i="76"/>
  <c r="J123" i="76" s="1"/>
  <c r="K123" i="76" s="1"/>
  <c r="L123" i="76" s="1"/>
  <c r="M123" i="76" s="1"/>
  <c r="I121" i="76"/>
  <c r="J121" i="76" s="1"/>
  <c r="K121" i="76" s="1"/>
  <c r="L121" i="76" s="1"/>
  <c r="M121" i="76" s="1"/>
  <c r="D123" i="76"/>
  <c r="E123" i="76" s="1"/>
  <c r="F123" i="76" s="1"/>
  <c r="G123" i="76" s="1"/>
  <c r="H123" i="76" s="1"/>
  <c r="D121" i="76"/>
  <c r="E121" i="76" s="1"/>
  <c r="F121" i="76" s="1"/>
  <c r="G121" i="76" s="1"/>
  <c r="H121" i="76" s="1"/>
  <c r="B120" i="76"/>
  <c r="C120" i="76" s="1"/>
  <c r="I122" i="76"/>
  <c r="J122" i="76" s="1"/>
  <c r="K122" i="76" s="1"/>
  <c r="L122" i="76" s="1"/>
  <c r="M122" i="76" s="1"/>
  <c r="I120" i="76"/>
  <c r="J120" i="76" s="1"/>
  <c r="K120" i="76" s="1"/>
  <c r="L120" i="76" s="1"/>
  <c r="M120" i="76" s="1"/>
  <c r="B123" i="76"/>
  <c r="C123" i="76" s="1"/>
  <c r="B121" i="76"/>
  <c r="C121" i="76" s="1"/>
  <c r="E41" i="36"/>
  <c r="F41" i="36" s="1"/>
  <c r="E40" i="36"/>
  <c r="F40" i="36" s="1"/>
  <c r="C36" i="36"/>
  <c r="C37" i="36"/>
  <c r="B3" i="36" s="1"/>
  <c r="B2" i="36" s="1"/>
  <c r="F12" i="59"/>
  <c r="F11" i="59" s="1"/>
  <c r="F10" i="59" s="1"/>
  <c r="F9" i="59" s="1"/>
  <c r="V13" i="59"/>
  <c r="G42" i="77"/>
  <c r="I42" i="77" s="1"/>
  <c r="E42" i="77"/>
  <c r="I53" i="33"/>
  <c r="J53" i="33" s="1"/>
  <c r="I52" i="33"/>
  <c r="J52" i="33" s="1"/>
  <c r="R48" i="21"/>
  <c r="I123" i="77"/>
  <c r="J123" i="77" s="1"/>
  <c r="K123" i="77" s="1"/>
  <c r="L123" i="77" s="1"/>
  <c r="M123" i="77" s="1"/>
  <c r="I121" i="77"/>
  <c r="J121" i="77" s="1"/>
  <c r="K121" i="77" s="1"/>
  <c r="L121" i="77" s="1"/>
  <c r="M121" i="77" s="1"/>
  <c r="D123" i="77"/>
  <c r="E123" i="77" s="1"/>
  <c r="F123" i="77" s="1"/>
  <c r="G123" i="77" s="1"/>
  <c r="H123" i="77" s="1"/>
  <c r="D121" i="77"/>
  <c r="E121" i="77" s="1"/>
  <c r="F121" i="77" s="1"/>
  <c r="G121" i="77" s="1"/>
  <c r="H121" i="77" s="1"/>
  <c r="B120" i="77"/>
  <c r="C120" i="77" s="1"/>
  <c r="I122" i="77"/>
  <c r="J122" i="77" s="1"/>
  <c r="K122" i="77" s="1"/>
  <c r="L122" i="77" s="1"/>
  <c r="M122" i="77" s="1"/>
  <c r="I120" i="77"/>
  <c r="J120" i="77" s="1"/>
  <c r="K120" i="77" s="1"/>
  <c r="L120" i="77" s="1"/>
  <c r="M120" i="77" s="1"/>
  <c r="B123" i="77"/>
  <c r="C123" i="77" s="1"/>
  <c r="B121" i="77"/>
  <c r="C121" i="77" s="1"/>
  <c r="G122" i="77"/>
  <c r="H122" i="77" s="1"/>
  <c r="I119" i="77"/>
  <c r="J119" i="77" s="1"/>
  <c r="K119" i="77" s="1"/>
  <c r="L119" i="77" s="1"/>
  <c r="M119" i="77" s="1"/>
  <c r="B122" i="77"/>
  <c r="C122" i="77" s="1"/>
  <c r="D119" i="77"/>
  <c r="E119" i="77" s="1"/>
  <c r="F119" i="77" s="1"/>
  <c r="G119" i="77" s="1"/>
  <c r="H119" i="77" s="1"/>
  <c r="D117" i="77"/>
  <c r="D122" i="77"/>
  <c r="E122" i="77" s="1"/>
  <c r="F122" i="77" s="1"/>
  <c r="D120" i="77"/>
  <c r="E120" i="77" s="1"/>
  <c r="F120" i="77" s="1"/>
  <c r="G120" i="77" s="1"/>
  <c r="H120" i="77" s="1"/>
  <c r="B119" i="77"/>
  <c r="C119" i="77" s="1"/>
  <c r="G48" i="35"/>
  <c r="D21" i="12"/>
  <c r="C21" i="12" s="1"/>
  <c r="D12" i="11"/>
  <c r="C12" i="11" s="1"/>
  <c r="G122" i="78"/>
  <c r="H122" i="78" s="1"/>
  <c r="I119" i="78"/>
  <c r="J119" i="78" s="1"/>
  <c r="K119" i="78" s="1"/>
  <c r="L119" i="78" s="1"/>
  <c r="M119" i="78" s="1"/>
  <c r="B122" i="78"/>
  <c r="C122" i="78" s="1"/>
  <c r="D119" i="78"/>
  <c r="E119" i="78" s="1"/>
  <c r="F119" i="78" s="1"/>
  <c r="G119" i="78" s="1"/>
  <c r="H119" i="78" s="1"/>
  <c r="D117" i="78"/>
  <c r="D122" i="78"/>
  <c r="E122" i="78" s="1"/>
  <c r="F122" i="78" s="1"/>
  <c r="D120" i="78"/>
  <c r="E120" i="78" s="1"/>
  <c r="F120" i="78" s="1"/>
  <c r="G120" i="78" s="1"/>
  <c r="H120" i="78" s="1"/>
  <c r="B119" i="78"/>
  <c r="C119" i="78" s="1"/>
  <c r="I123" i="78"/>
  <c r="J123" i="78" s="1"/>
  <c r="K123" i="78" s="1"/>
  <c r="L123" i="78" s="1"/>
  <c r="M123" i="78" s="1"/>
  <c r="I121" i="78"/>
  <c r="J121" i="78" s="1"/>
  <c r="K121" i="78" s="1"/>
  <c r="L121" i="78" s="1"/>
  <c r="M121" i="78" s="1"/>
  <c r="D123" i="78"/>
  <c r="E123" i="78" s="1"/>
  <c r="F123" i="78" s="1"/>
  <c r="G123" i="78" s="1"/>
  <c r="H123" i="78" s="1"/>
  <c r="D121" i="78"/>
  <c r="E121" i="78" s="1"/>
  <c r="F121" i="78" s="1"/>
  <c r="G121" i="78" s="1"/>
  <c r="H121" i="78" s="1"/>
  <c r="B120" i="78"/>
  <c r="C120" i="78" s="1"/>
  <c r="I122" i="78"/>
  <c r="J122" i="78" s="1"/>
  <c r="K122" i="78" s="1"/>
  <c r="L122" i="78" s="1"/>
  <c r="M122" i="78" s="1"/>
  <c r="I120" i="78"/>
  <c r="J120" i="78" s="1"/>
  <c r="K120" i="78" s="1"/>
  <c r="L120" i="78" s="1"/>
  <c r="M120" i="78" s="1"/>
  <c r="B123" i="78"/>
  <c r="C123" i="78" s="1"/>
  <c r="B121" i="78"/>
  <c r="C121" i="78" s="1"/>
  <c r="G39" i="77"/>
  <c r="I39" i="77" s="1"/>
  <c r="E39" i="77"/>
  <c r="G59" i="34"/>
  <c r="I123" i="46"/>
  <c r="J123" i="46" s="1"/>
  <c r="K123" i="46" s="1"/>
  <c r="L123" i="46" s="1"/>
  <c r="M123" i="46" s="1"/>
  <c r="G122" i="46"/>
  <c r="H122" i="46" s="1"/>
  <c r="D120" i="46"/>
  <c r="E120" i="46" s="1"/>
  <c r="F120" i="46" s="1"/>
  <c r="G120" i="46" s="1"/>
  <c r="H120" i="46" s="1"/>
  <c r="I122" i="46"/>
  <c r="J122" i="46" s="1"/>
  <c r="K122" i="46" s="1"/>
  <c r="L122" i="46" s="1"/>
  <c r="M122" i="46" s="1"/>
  <c r="B123" i="46"/>
  <c r="C123" i="46" s="1"/>
  <c r="D122" i="46"/>
  <c r="E122" i="46" s="1"/>
  <c r="F122" i="46" s="1"/>
  <c r="D121" i="46"/>
  <c r="E121" i="46" s="1"/>
  <c r="F121" i="46" s="1"/>
  <c r="G121" i="46" s="1"/>
  <c r="H121" i="46" s="1"/>
  <c r="D119" i="46"/>
  <c r="E119" i="46" s="1"/>
  <c r="F119" i="46" s="1"/>
  <c r="G119" i="46" s="1"/>
  <c r="H119" i="46" s="1"/>
  <c r="B122" i="46"/>
  <c r="C122" i="46" s="1"/>
  <c r="I119" i="46"/>
  <c r="J119" i="46" s="1"/>
  <c r="K119" i="46" s="1"/>
  <c r="L119" i="46" s="1"/>
  <c r="M119" i="46" s="1"/>
  <c r="I120" i="46"/>
  <c r="J120" i="46" s="1"/>
  <c r="K120" i="46" s="1"/>
  <c r="L120" i="46" s="1"/>
  <c r="M120" i="46" s="1"/>
  <c r="B119" i="46"/>
  <c r="C119" i="46" s="1"/>
  <c r="B121" i="46"/>
  <c r="C121" i="46" s="1"/>
  <c r="D123" i="46"/>
  <c r="E123" i="46" s="1"/>
  <c r="F123" i="46" s="1"/>
  <c r="G123" i="46" s="1"/>
  <c r="H123" i="46" s="1"/>
  <c r="B120" i="46"/>
  <c r="C120" i="46" s="1"/>
  <c r="I121" i="46"/>
  <c r="J121" i="46" s="1"/>
  <c r="K121" i="46" s="1"/>
  <c r="L121" i="46" s="1"/>
  <c r="M121" i="46" s="1"/>
  <c r="D117" i="46"/>
  <c r="J66" i="40"/>
  <c r="K64" i="40"/>
  <c r="G40" i="78"/>
  <c r="I40" i="78" s="1"/>
  <c r="E40" i="78"/>
  <c r="E37" i="78"/>
  <c r="G37" i="78"/>
  <c r="I37" i="78" s="1"/>
  <c r="H69" i="39" l="1"/>
  <c r="G71" i="39"/>
  <c r="T21" i="59"/>
  <c r="C20" i="59"/>
  <c r="D21" i="59"/>
  <c r="F21" i="6"/>
  <c r="BC13" i="3"/>
  <c r="H13" i="3"/>
  <c r="K5" i="3"/>
  <c r="E40" i="76"/>
  <c r="G40" i="76"/>
  <c r="I40" i="76" s="1"/>
  <c r="E39" i="76"/>
  <c r="G39" i="76"/>
  <c r="I39" i="76" s="1"/>
  <c r="E41" i="76"/>
  <c r="G41" i="76"/>
  <c r="I41" i="76" s="1"/>
  <c r="G42" i="76"/>
  <c r="I42" i="76" s="1"/>
  <c r="E42" i="76"/>
  <c r="G38" i="76"/>
  <c r="I38" i="76" s="1"/>
  <c r="E38" i="76"/>
  <c r="E37" i="76"/>
  <c r="G37" i="76"/>
  <c r="I37" i="76" s="1"/>
  <c r="T48" i="21"/>
  <c r="G48" i="21" s="1"/>
  <c r="G52" i="21" s="1"/>
  <c r="H52" i="21" s="1"/>
  <c r="E33" i="46"/>
  <c r="C30" i="46" s="1"/>
  <c r="B2" i="46" s="1"/>
  <c r="D4" i="46" s="1"/>
  <c r="I52" i="21"/>
  <c r="J52" i="21" s="1"/>
  <c r="L64" i="40"/>
  <c r="K66" i="40"/>
  <c r="H59" i="34"/>
  <c r="E48" i="21"/>
  <c r="H5" i="72"/>
  <c r="J5" i="72" s="1"/>
  <c r="C33" i="78"/>
  <c r="H58" i="86"/>
  <c r="I58" i="86" s="1"/>
  <c r="J58" i="86" s="1"/>
  <c r="K58" i="86" s="1"/>
  <c r="L58" i="86" s="1"/>
  <c r="M58" i="86" s="1"/>
  <c r="N58" i="86" s="1"/>
  <c r="O58" i="86" s="1"/>
  <c r="J7" i="86" s="1"/>
  <c r="F7" i="86"/>
  <c r="H3" i="72"/>
  <c r="J3" i="72" s="1"/>
  <c r="C33" i="76"/>
  <c r="P7" i="1"/>
  <c r="E46" i="37"/>
  <c r="F46" i="37" s="1"/>
  <c r="E47" i="37"/>
  <c r="F47" i="37" s="1"/>
  <c r="H48" i="35"/>
  <c r="I48" i="35" s="1"/>
  <c r="J48" i="35" s="1"/>
  <c r="K48" i="35" s="1"/>
  <c r="L48" i="35" s="1"/>
  <c r="M48" i="35" s="1"/>
  <c r="N48" i="35" s="1"/>
  <c r="O48" i="35" s="1"/>
  <c r="H7" i="35"/>
  <c r="F7" i="35"/>
  <c r="V9" i="59"/>
  <c r="F8" i="59"/>
  <c r="F7" i="59" s="1"/>
  <c r="F6" i="59" s="1"/>
  <c r="F5" i="59" s="1"/>
  <c r="V5" i="59" s="1"/>
  <c r="B12" i="59"/>
  <c r="B11" i="59" s="1"/>
  <c r="B10" i="59" s="1"/>
  <c r="B9" i="59" s="1"/>
  <c r="S13" i="59"/>
  <c r="H4" i="72"/>
  <c r="J4" i="72" s="1"/>
  <c r="C33" i="77"/>
  <c r="I47" i="37"/>
  <c r="J47" i="37" s="1"/>
  <c r="C42" i="37"/>
  <c r="C43" i="37"/>
  <c r="B3" i="37" s="1"/>
  <c r="B2" i="37" s="1"/>
  <c r="B4" i="46"/>
  <c r="B3" i="46"/>
  <c r="C48" i="33"/>
  <c r="C49" i="33"/>
  <c r="B3" i="33" s="1"/>
  <c r="B2" i="33" s="1"/>
  <c r="H7" i="86"/>
  <c r="U9" i="59"/>
  <c r="E8" i="59"/>
  <c r="E7" i="59" s="1"/>
  <c r="E6" i="59" s="1"/>
  <c r="E5" i="59" s="1"/>
  <c r="U5" i="59" s="1"/>
  <c r="H5" i="3" l="1"/>
  <c r="G13" i="3"/>
  <c r="C19" i="59"/>
  <c r="D20" i="59"/>
  <c r="BC5" i="3"/>
  <c r="BA13" i="3"/>
  <c r="C34" i="34"/>
  <c r="D33" i="78"/>
  <c r="D1" i="78" s="1"/>
  <c r="M7" i="6"/>
  <c r="E21" i="6"/>
  <c r="I4" i="6"/>
  <c r="I69" i="39"/>
  <c r="H71" i="39"/>
  <c r="G53" i="21"/>
  <c r="H53" i="21" s="1"/>
  <c r="R49" i="21"/>
  <c r="C48" i="21" s="1"/>
  <c r="C8" i="73" s="1"/>
  <c r="B12" i="72" s="1"/>
  <c r="I12" i="72" s="1"/>
  <c r="AB7" i="35"/>
  <c r="T38" i="35" s="1"/>
  <c r="G38" i="35" s="1"/>
  <c r="U7" i="35"/>
  <c r="C34" i="76"/>
  <c r="E34" i="76" s="1"/>
  <c r="C31" i="76" s="1"/>
  <c r="E33" i="76"/>
  <c r="C30" i="76" s="1"/>
  <c r="B2" i="76" s="1"/>
  <c r="K5" i="72"/>
  <c r="B18" i="72"/>
  <c r="E53" i="21"/>
  <c r="F53" i="21" s="1"/>
  <c r="E52" i="21"/>
  <c r="F52" i="21" s="1"/>
  <c r="K4" i="72"/>
  <c r="B17" i="72"/>
  <c r="S9" i="59"/>
  <c r="B8" i="59"/>
  <c r="B7" i="59" s="1"/>
  <c r="B6" i="59" s="1"/>
  <c r="B5" i="59" s="1"/>
  <c r="K3" i="72"/>
  <c r="B16" i="72"/>
  <c r="S7" i="86"/>
  <c r="AA7" i="86"/>
  <c r="R48" i="86" s="1"/>
  <c r="M64" i="40"/>
  <c r="L66" i="40"/>
  <c r="I53" i="21"/>
  <c r="J53" i="21" s="1"/>
  <c r="AB7" i="86"/>
  <c r="T48" i="86" s="1"/>
  <c r="G48" i="86" s="1"/>
  <c r="U7" i="86"/>
  <c r="C34" i="77"/>
  <c r="E34" i="77" s="1"/>
  <c r="C31" i="77" s="1"/>
  <c r="E33" i="77"/>
  <c r="C30" i="77" s="1"/>
  <c r="B2" i="77" s="1"/>
  <c r="W7" i="86"/>
  <c r="AC7" i="86"/>
  <c r="V48" i="86" s="1"/>
  <c r="I48" i="86" s="1"/>
  <c r="S7" i="35"/>
  <c r="AA7" i="35"/>
  <c r="R38" i="35" s="1"/>
  <c r="C34" i="78"/>
  <c r="E34" i="78" s="1"/>
  <c r="C31" i="78" s="1"/>
  <c r="E33" i="78"/>
  <c r="C30" i="78" s="1"/>
  <c r="B2" i="78" s="1"/>
  <c r="I59" i="34"/>
  <c r="J59" i="34" s="1"/>
  <c r="K59" i="34" s="1"/>
  <c r="L59" i="34" s="1"/>
  <c r="M59" i="34" s="1"/>
  <c r="N59" i="34" s="1"/>
  <c r="O59" i="34" s="1"/>
  <c r="H7" i="34" s="1"/>
  <c r="J7" i="35"/>
  <c r="F26" i="79"/>
  <c r="E13" i="67"/>
  <c r="C16" i="79"/>
  <c r="F18" i="44"/>
  <c r="M22" i="15"/>
  <c r="F6" i="15"/>
  <c r="M29" i="44"/>
  <c r="F42" i="81"/>
  <c r="M9" i="79"/>
  <c r="L47" i="79"/>
  <c r="I3" i="65"/>
  <c r="C20" i="9"/>
  <c r="F43" i="79"/>
  <c r="M24" i="15"/>
  <c r="M28" i="44"/>
  <c r="L48" i="81"/>
  <c r="M9" i="15"/>
  <c r="M27" i="81"/>
  <c r="F37" i="81"/>
  <c r="M23" i="15"/>
  <c r="M6" i="81"/>
  <c r="F42" i="15"/>
  <c r="B12" i="67"/>
  <c r="E10" i="67"/>
  <c r="L49" i="44"/>
  <c r="M8" i="44"/>
  <c r="M9" i="81"/>
  <c r="M6" i="79"/>
  <c r="F37" i="15"/>
  <c r="M8" i="79"/>
  <c r="M30" i="44"/>
  <c r="F40" i="81"/>
  <c r="F9" i="79"/>
  <c r="M26" i="81"/>
  <c r="M29" i="15"/>
  <c r="M11" i="44"/>
  <c r="M26" i="79"/>
  <c r="C19" i="44"/>
  <c r="M22" i="79"/>
  <c r="F38" i="15"/>
  <c r="F37" i="44"/>
  <c r="E11" i="67"/>
  <c r="M8" i="81"/>
  <c r="F8" i="44"/>
  <c r="F26" i="15"/>
  <c r="L48" i="79"/>
  <c r="F40" i="44"/>
  <c r="F14" i="67"/>
  <c r="D21" i="9"/>
  <c r="E14" i="67"/>
  <c r="F16" i="81"/>
  <c r="D19" i="9"/>
  <c r="F13" i="79"/>
  <c r="E8" i="67"/>
  <c r="M28" i="79"/>
  <c r="M29" i="79"/>
  <c r="F7" i="15"/>
  <c r="F8" i="67"/>
  <c r="N5" i="65"/>
  <c r="J36" i="81"/>
  <c r="J3" i="65"/>
  <c r="J17" i="44"/>
  <c r="M25" i="44"/>
  <c r="F12" i="67"/>
  <c r="F26" i="81"/>
  <c r="F28" i="44"/>
  <c r="M24" i="79"/>
  <c r="L48" i="44"/>
  <c r="B13" i="67"/>
  <c r="F43" i="15"/>
  <c r="F38" i="81"/>
  <c r="J6" i="65"/>
  <c r="I4" i="65"/>
  <c r="I5" i="65"/>
  <c r="B9" i="67"/>
  <c r="B10" i="67"/>
  <c r="J7" i="65"/>
  <c r="M23" i="79"/>
  <c r="J36" i="79"/>
  <c r="F9" i="15"/>
  <c r="F16" i="15"/>
  <c r="F38" i="79"/>
  <c r="F6" i="79"/>
  <c r="F45" i="44"/>
  <c r="F9" i="44"/>
  <c r="M24" i="81"/>
  <c r="F10" i="67"/>
  <c r="F7" i="79"/>
  <c r="E7" i="67"/>
  <c r="F11" i="67"/>
  <c r="F15" i="44"/>
  <c r="I7" i="65"/>
  <c r="F33" i="74"/>
  <c r="E9" i="67"/>
  <c r="M6" i="15"/>
  <c r="N3" i="65"/>
  <c r="I6" i="65"/>
  <c r="B11" i="67"/>
  <c r="M23" i="81"/>
  <c r="B7" i="67"/>
  <c r="F7" i="67"/>
  <c r="J5" i="65"/>
  <c r="C15" i="74"/>
  <c r="F11" i="44"/>
  <c r="N6" i="65"/>
  <c r="F13" i="81"/>
  <c r="F43" i="44"/>
  <c r="L48" i="15"/>
  <c r="F10" i="44"/>
  <c r="J15" i="15"/>
  <c r="M24" i="44"/>
  <c r="F39" i="44"/>
  <c r="L47" i="81"/>
  <c r="F37" i="79"/>
  <c r="M10" i="44"/>
  <c r="F42" i="79"/>
  <c r="D20" i="9"/>
  <c r="C21" i="9"/>
  <c r="M31" i="44"/>
  <c r="C15" i="75"/>
  <c r="F9" i="67"/>
  <c r="M26" i="44"/>
  <c r="M27" i="79"/>
  <c r="J15" i="79"/>
  <c r="M28" i="15"/>
  <c r="F36" i="79"/>
  <c r="F40" i="15"/>
  <c r="F36" i="81"/>
  <c r="F40" i="79"/>
  <c r="F41" i="15"/>
  <c r="F34" i="73"/>
  <c r="M22" i="81"/>
  <c r="F33" i="75"/>
  <c r="L47" i="15"/>
  <c r="F8" i="81"/>
  <c r="E12" i="67"/>
  <c r="M27" i="15"/>
  <c r="F8" i="79"/>
  <c r="C19" i="9"/>
  <c r="M23" i="44"/>
  <c r="F13" i="15"/>
  <c r="F36" i="15"/>
  <c r="F46" i="44"/>
  <c r="B8" i="67"/>
  <c r="F41" i="79"/>
  <c r="M8" i="15"/>
  <c r="F13" i="67"/>
  <c r="F38" i="44"/>
  <c r="N7" i="65"/>
  <c r="F8" i="15"/>
  <c r="J4" i="65"/>
  <c r="F9" i="81"/>
  <c r="B14" i="67"/>
  <c r="J36" i="15"/>
  <c r="M28" i="81"/>
  <c r="J15" i="81"/>
  <c r="N4" i="65"/>
  <c r="M26" i="15"/>
  <c r="E2" i="65"/>
  <c r="C4" i="65" l="1"/>
  <c r="B39" i="1" s="1"/>
  <c r="Q72" i="15"/>
  <c r="F50" i="15"/>
  <c r="F68" i="79"/>
  <c r="F63" i="15"/>
  <c r="J22" i="44"/>
  <c r="D22" i="9"/>
  <c r="G19" i="9"/>
  <c r="N43" i="9" s="1"/>
  <c r="L43" i="9"/>
  <c r="F50" i="79"/>
  <c r="F50" i="81"/>
  <c r="L58" i="15"/>
  <c r="Q61" i="15" s="1"/>
  <c r="L59" i="15"/>
  <c r="C34" i="75"/>
  <c r="D33" i="75" s="1"/>
  <c r="C35" i="73"/>
  <c r="D34" i="73" s="1"/>
  <c r="F68" i="15"/>
  <c r="F67" i="79"/>
  <c r="F63" i="81"/>
  <c r="F67" i="15"/>
  <c r="F63" i="79"/>
  <c r="G21" i="9"/>
  <c r="F64" i="79"/>
  <c r="L58" i="81"/>
  <c r="Q61" i="81" s="1"/>
  <c r="L59" i="81"/>
  <c r="Q62" i="81" s="1"/>
  <c r="L57" i="15"/>
  <c r="I54" i="15"/>
  <c r="J53" i="15"/>
  <c r="Q53" i="15" s="1"/>
  <c r="L60" i="15"/>
  <c r="Q67" i="15" s="1"/>
  <c r="J60" i="15"/>
  <c r="Q49" i="15" s="1"/>
  <c r="J59" i="15"/>
  <c r="L56" i="15"/>
  <c r="J57" i="15"/>
  <c r="J55" i="15" s="1"/>
  <c r="J58" i="15" s="1"/>
  <c r="Q51" i="15" s="1"/>
  <c r="Q73" i="44"/>
  <c r="E4" i="67"/>
  <c r="B2" i="67"/>
  <c r="F48" i="15"/>
  <c r="C34" i="74"/>
  <c r="D33" i="74" s="1"/>
  <c r="E3" i="67"/>
  <c r="M7" i="79"/>
  <c r="J6" i="79" s="1"/>
  <c r="J18" i="79" s="1"/>
  <c r="F49" i="79"/>
  <c r="M9" i="44"/>
  <c r="J8" i="44" s="1"/>
  <c r="C6" i="79"/>
  <c r="F65" i="79"/>
  <c r="Q72" i="79"/>
  <c r="F65" i="81"/>
  <c r="F70" i="15"/>
  <c r="L60" i="44"/>
  <c r="Q63" i="44" s="1"/>
  <c r="L59" i="44"/>
  <c r="Q75" i="44" s="1"/>
  <c r="C29" i="44"/>
  <c r="C27" i="81"/>
  <c r="J1" i="65"/>
  <c r="Q72" i="81"/>
  <c r="F49" i="15"/>
  <c r="M7" i="15"/>
  <c r="J6" i="15" s="1"/>
  <c r="J19" i="15" s="1"/>
  <c r="L44" i="9"/>
  <c r="J60" i="79"/>
  <c r="Q49" i="79" s="1"/>
  <c r="L60" i="79"/>
  <c r="Q67" i="79" s="1"/>
  <c r="J53" i="79"/>
  <c r="F1" i="79" s="1"/>
  <c r="J59" i="79"/>
  <c r="L56" i="79"/>
  <c r="J57" i="79"/>
  <c r="J55" i="79" s="1"/>
  <c r="J58" i="79" s="1"/>
  <c r="Q51" i="79" s="1"/>
  <c r="C27" i="15"/>
  <c r="C8" i="44"/>
  <c r="C35" i="44" s="1"/>
  <c r="C36" i="44"/>
  <c r="F65" i="15"/>
  <c r="F67" i="81"/>
  <c r="F64" i="15"/>
  <c r="F48" i="79"/>
  <c r="C48" i="79" s="1"/>
  <c r="C60" i="79" s="1"/>
  <c r="J54" i="44"/>
  <c r="F1" i="44" s="1"/>
  <c r="I55" i="44"/>
  <c r="J58" i="44"/>
  <c r="J56" i="44" s="1"/>
  <c r="J59" i="44" s="1"/>
  <c r="Q52" i="44" s="1"/>
  <c r="L57" i="44"/>
  <c r="F48" i="81"/>
  <c r="F64" i="81"/>
  <c r="J53" i="81"/>
  <c r="Q53" i="81" s="1"/>
  <c r="L57" i="81"/>
  <c r="J59" i="81"/>
  <c r="L60" i="81"/>
  <c r="Q67" i="81" s="1"/>
  <c r="J57" i="81"/>
  <c r="J55" i="81" s="1"/>
  <c r="J58" i="81" s="1"/>
  <c r="Q51" i="81" s="1"/>
  <c r="L56" i="81"/>
  <c r="J60" i="81"/>
  <c r="Q49" i="81" s="1"/>
  <c r="I54" i="81"/>
  <c r="F70" i="79"/>
  <c r="G20" i="9"/>
  <c r="L59" i="79"/>
  <c r="Q75" i="79" s="1"/>
  <c r="L58" i="79"/>
  <c r="Q61" i="79" s="1"/>
  <c r="C6" i="15"/>
  <c r="C32" i="15" s="1"/>
  <c r="C27" i="79"/>
  <c r="M11" i="15"/>
  <c r="J10" i="15" s="1"/>
  <c r="J5" i="15" s="1"/>
  <c r="J24" i="15" s="1"/>
  <c r="Q75" i="81"/>
  <c r="C33" i="15"/>
  <c r="B40" i="1"/>
  <c r="L36" i="76" s="1"/>
  <c r="M36" i="76" s="1"/>
  <c r="J60" i="44"/>
  <c r="J61" i="44" s="1"/>
  <c r="F11" i="81"/>
  <c r="C52" i="81" s="1"/>
  <c r="F11" i="15"/>
  <c r="C52" i="15" s="1"/>
  <c r="F13" i="44"/>
  <c r="C12" i="44" s="1"/>
  <c r="C7" i="44" s="1"/>
  <c r="C40" i="44" s="1"/>
  <c r="C34" i="44"/>
  <c r="J19" i="79"/>
  <c r="Q58" i="79"/>
  <c r="Q58" i="15"/>
  <c r="Q62" i="79"/>
  <c r="Q54" i="44"/>
  <c r="Q74" i="15"/>
  <c r="Q58" i="81"/>
  <c r="Q62" i="44"/>
  <c r="Q53" i="79"/>
  <c r="Q76" i="44"/>
  <c r="C32" i="9"/>
  <c r="O38" i="9" s="1"/>
  <c r="K25" i="9" s="1"/>
  <c r="J34" i="34"/>
  <c r="H34" i="34"/>
  <c r="F34" i="34"/>
  <c r="D19" i="59"/>
  <c r="C18" i="59"/>
  <c r="K8" i="1"/>
  <c r="C9" i="75"/>
  <c r="D3" i="34"/>
  <c r="AZ13" i="3"/>
  <c r="AZ5" i="3" s="1"/>
  <c r="BA5" i="3"/>
  <c r="E27" i="6" s="1"/>
  <c r="G5" i="3"/>
  <c r="B3" i="3" s="1"/>
  <c r="E13" i="3" s="1"/>
  <c r="J69" i="39"/>
  <c r="I71" i="39"/>
  <c r="E10" i="6"/>
  <c r="E14" i="6"/>
  <c r="E11" i="6"/>
  <c r="E15" i="6"/>
  <c r="E13" i="6"/>
  <c r="E8" i="6"/>
  <c r="E12" i="6"/>
  <c r="C49" i="21"/>
  <c r="B3" i="21" s="1"/>
  <c r="B2" i="21" s="1"/>
  <c r="AB7" i="34"/>
  <c r="U7" i="34"/>
  <c r="J7" i="34"/>
  <c r="G52" i="86"/>
  <c r="H52" i="86" s="1"/>
  <c r="G53" i="86"/>
  <c r="H53" i="86" s="1"/>
  <c r="M66" i="40"/>
  <c r="N64" i="40"/>
  <c r="N66" i="40" s="1"/>
  <c r="R49" i="86"/>
  <c r="E48" i="86"/>
  <c r="D4" i="78"/>
  <c r="B3" i="78"/>
  <c r="B4" i="78"/>
  <c r="R39" i="35"/>
  <c r="E38" i="35"/>
  <c r="F7" i="34"/>
  <c r="B3" i="76"/>
  <c r="B4" i="76"/>
  <c r="D4" i="76"/>
  <c r="I52" i="86"/>
  <c r="J52" i="86" s="1"/>
  <c r="B4" i="77"/>
  <c r="D4" i="77"/>
  <c r="B3" i="77"/>
  <c r="AC7" i="35"/>
  <c r="V38" i="35" s="1"/>
  <c r="I38" i="35" s="1"/>
  <c r="W7" i="35"/>
  <c r="S5" i="59"/>
  <c r="G42" i="35"/>
  <c r="H42" i="35" s="1"/>
  <c r="G43" i="35"/>
  <c r="H43" i="35" s="1"/>
  <c r="H9" i="40"/>
  <c r="C10" i="73"/>
  <c r="C6" i="73" s="1"/>
  <c r="B8" i="72"/>
  <c r="I8" i="72" s="1"/>
  <c r="C18" i="44"/>
  <c r="F43" i="81"/>
  <c r="C16" i="15"/>
  <c r="E3" i="65"/>
  <c r="M29" i="81"/>
  <c r="F7" i="81"/>
  <c r="C10" i="15" l="1"/>
  <c r="C5" i="15" s="1"/>
  <c r="C38" i="15" s="1"/>
  <c r="F1" i="81"/>
  <c r="C48" i="15"/>
  <c r="C60" i="15" s="1"/>
  <c r="F17" i="11"/>
  <c r="C17" i="11" s="1"/>
  <c r="C19" i="11" s="1"/>
  <c r="C20" i="11" s="1"/>
  <c r="C21" i="11" s="1"/>
  <c r="Q75" i="15"/>
  <c r="Q62" i="15"/>
  <c r="M11" i="79"/>
  <c r="J10" i="79" s="1"/>
  <c r="M11" i="81"/>
  <c r="J10" i="81" s="1"/>
  <c r="J26" i="15"/>
  <c r="J29" i="15" s="1"/>
  <c r="F1" i="15"/>
  <c r="Q74" i="81"/>
  <c r="Q74" i="79"/>
  <c r="J5" i="79"/>
  <c r="J24" i="79" s="1"/>
  <c r="C33" i="44"/>
  <c r="M13" i="44"/>
  <c r="J12" i="44" s="1"/>
  <c r="J7" i="44" s="1"/>
  <c r="J28" i="44" s="1"/>
  <c r="J31" i="44" s="1"/>
  <c r="Q67" i="44" s="1"/>
  <c r="J18" i="15"/>
  <c r="F11" i="79"/>
  <c r="C10" i="79" s="1"/>
  <c r="C5" i="79" s="1"/>
  <c r="C38" i="79" s="1"/>
  <c r="C33" i="79"/>
  <c r="C32" i="79"/>
  <c r="J21" i="44"/>
  <c r="J20" i="44"/>
  <c r="J19" i="44" s="1"/>
  <c r="B4" i="67"/>
  <c r="B3" i="67"/>
  <c r="F26" i="75"/>
  <c r="C27" i="75" s="1"/>
  <c r="D26" i="75" s="1"/>
  <c r="C32" i="75" s="1"/>
  <c r="D30" i="75" s="1"/>
  <c r="N36" i="76"/>
  <c r="L37" i="76"/>
  <c r="P37" i="76" s="1"/>
  <c r="F26" i="44"/>
  <c r="C26" i="44" s="1"/>
  <c r="F26" i="12"/>
  <c r="C27" i="12" s="1"/>
  <c r="D26" i="12" s="1"/>
  <c r="C32" i="12" s="1"/>
  <c r="D30" i="12" s="1"/>
  <c r="L36" i="46"/>
  <c r="L37" i="46" s="1"/>
  <c r="Q37" i="46" s="1"/>
  <c r="F24" i="79"/>
  <c r="C24" i="79" s="1"/>
  <c r="P36" i="76"/>
  <c r="L36" i="77"/>
  <c r="N36" i="77" s="1"/>
  <c r="F27" i="73"/>
  <c r="C28" i="73" s="1"/>
  <c r="D27" i="73" s="1"/>
  <c r="C33" i="73" s="1"/>
  <c r="D31" i="73" s="1"/>
  <c r="F24" i="15"/>
  <c r="C24" i="15" s="1"/>
  <c r="L36" i="78"/>
  <c r="L37" i="78" s="1"/>
  <c r="P37" i="78" s="1"/>
  <c r="F24" i="81"/>
  <c r="C24" i="81" s="1"/>
  <c r="C47" i="15"/>
  <c r="C59" i="15" s="1"/>
  <c r="O36" i="76"/>
  <c r="Q36" i="76"/>
  <c r="F26" i="74"/>
  <c r="C27" i="74" s="1"/>
  <c r="D26" i="74" s="1"/>
  <c r="C32" i="74" s="1"/>
  <c r="D30" i="74" s="1"/>
  <c r="F20" i="43"/>
  <c r="D20" i="43" s="1"/>
  <c r="Q49" i="44"/>
  <c r="Q37" i="76"/>
  <c r="L47" i="44"/>
  <c r="Q50" i="44"/>
  <c r="J26" i="44"/>
  <c r="K26" i="9"/>
  <c r="O43" i="9"/>
  <c r="C42" i="9"/>
  <c r="D63" i="9" s="1"/>
  <c r="D73" i="9" s="1"/>
  <c r="N73" i="9" s="1"/>
  <c r="P37" i="46"/>
  <c r="M7" i="81"/>
  <c r="J6" i="81" s="1"/>
  <c r="F49" i="81"/>
  <c r="C48" i="81" s="1"/>
  <c r="F70" i="81"/>
  <c r="E66" i="39"/>
  <c r="E61" i="40"/>
  <c r="E31" i="6"/>
  <c r="K26" i="6"/>
  <c r="M26" i="6" s="1"/>
  <c r="I26" i="6" s="1"/>
  <c r="S26" i="6" s="1"/>
  <c r="K22" i="6"/>
  <c r="M22" i="6" s="1"/>
  <c r="I22" i="6" s="1"/>
  <c r="S22" i="6" s="1"/>
  <c r="K23" i="6"/>
  <c r="M23" i="6" s="1"/>
  <c r="I23" i="6" s="1"/>
  <c r="S23" i="6" s="1"/>
  <c r="K20" i="6"/>
  <c r="K25" i="6"/>
  <c r="M25" i="6" s="1"/>
  <c r="I25" i="6" s="1"/>
  <c r="S25" i="6" s="1"/>
  <c r="K24" i="6"/>
  <c r="M24" i="6" s="1"/>
  <c r="I24" i="6" s="1"/>
  <c r="S24" i="6" s="1"/>
  <c r="K19" i="6"/>
  <c r="D22" i="75"/>
  <c r="C22" i="75" s="1"/>
  <c r="C20" i="75" s="1"/>
  <c r="D16" i="75"/>
  <c r="C16" i="75" s="1"/>
  <c r="D19" i="75"/>
  <c r="C19" i="75" s="1"/>
  <c r="E63" i="39"/>
  <c r="E58" i="40"/>
  <c r="M8" i="1"/>
  <c r="Q16" i="1"/>
  <c r="K16" i="1"/>
  <c r="AP16" i="1"/>
  <c r="F22" i="11" s="1"/>
  <c r="C22" i="11" s="1"/>
  <c r="C23" i="11" s="1"/>
  <c r="B2" i="11" s="1"/>
  <c r="H16" i="1"/>
  <c r="G16" i="1"/>
  <c r="AA34" i="34"/>
  <c r="S34" i="34"/>
  <c r="E57" i="40"/>
  <c r="E62" i="39"/>
  <c r="J71" i="39"/>
  <c r="K69" i="39"/>
  <c r="AY6" i="3"/>
  <c r="E3" i="6"/>
  <c r="E53" i="40"/>
  <c r="E16" i="6"/>
  <c r="E58" i="39"/>
  <c r="F27" i="6"/>
  <c r="F31" i="6" s="1"/>
  <c r="E60" i="40"/>
  <c r="E65" i="39"/>
  <c r="I3" i="6"/>
  <c r="E193" i="3"/>
  <c r="E84" i="3"/>
  <c r="E405" i="3"/>
  <c r="E272" i="3"/>
  <c r="E479" i="3"/>
  <c r="E526" i="3"/>
  <c r="E129" i="3"/>
  <c r="E288" i="3"/>
  <c r="E74" i="3"/>
  <c r="E66" i="3"/>
  <c r="E508" i="3"/>
  <c r="E277" i="3"/>
  <c r="E35" i="3"/>
  <c r="E514" i="3"/>
  <c r="E329" i="3"/>
  <c r="E18" i="3"/>
  <c r="E452" i="3"/>
  <c r="E303" i="3"/>
  <c r="E309" i="3"/>
  <c r="AI6" i="3"/>
  <c r="E176" i="3"/>
  <c r="E569" i="3"/>
  <c r="E485" i="3"/>
  <c r="E155" i="3"/>
  <c r="E93" i="3"/>
  <c r="E124" i="3"/>
  <c r="E57" i="3"/>
  <c r="E269" i="3"/>
  <c r="E254" i="3"/>
  <c r="E69" i="3"/>
  <c r="X6" i="3"/>
  <c r="E389" i="3"/>
  <c r="E36" i="3"/>
  <c r="E478" i="3"/>
  <c r="E443" i="3"/>
  <c r="E149" i="3"/>
  <c r="E178" i="3"/>
  <c r="E104" i="3"/>
  <c r="AP6" i="3"/>
  <c r="W6" i="3"/>
  <c r="E166" i="3"/>
  <c r="E449" i="3"/>
  <c r="E78" i="3"/>
  <c r="E422" i="3"/>
  <c r="E393" i="3"/>
  <c r="AG6" i="3"/>
  <c r="E386" i="3"/>
  <c r="E180" i="3"/>
  <c r="E385" i="3"/>
  <c r="E361" i="3"/>
  <c r="E501" i="3"/>
  <c r="AB6" i="3"/>
  <c r="E358" i="3"/>
  <c r="E536" i="3"/>
  <c r="L6" i="3"/>
  <c r="E416" i="3"/>
  <c r="E133" i="3"/>
  <c r="E256" i="3"/>
  <c r="AJ6" i="3"/>
  <c r="E483" i="3"/>
  <c r="E346" i="3"/>
  <c r="E394" i="3"/>
  <c r="E222" i="3"/>
  <c r="E286" i="3"/>
  <c r="E338" i="3"/>
  <c r="E341" i="3"/>
  <c r="E446" i="3"/>
  <c r="AA6" i="3"/>
  <c r="E230" i="3"/>
  <c r="E237" i="3"/>
  <c r="E317" i="3"/>
  <c r="E194" i="3"/>
  <c r="E249" i="3"/>
  <c r="E75" i="3"/>
  <c r="E49" i="3"/>
  <c r="E185" i="3"/>
  <c r="E556" i="3"/>
  <c r="E435" i="3"/>
  <c r="E347" i="3"/>
  <c r="E555" i="3"/>
  <c r="E153" i="3"/>
  <c r="E572" i="3"/>
  <c r="E481" i="3"/>
  <c r="E486" i="3"/>
  <c r="E331" i="3"/>
  <c r="E354" i="3"/>
  <c r="E68" i="3"/>
  <c r="E164" i="3"/>
  <c r="E566" i="3"/>
  <c r="E115" i="3"/>
  <c r="E418" i="3"/>
  <c r="E34" i="3"/>
  <c r="E274" i="3"/>
  <c r="E392" i="3"/>
  <c r="E280" i="3"/>
  <c r="E64" i="3"/>
  <c r="E539" i="3"/>
  <c r="E211" i="3"/>
  <c r="E203" i="3"/>
  <c r="E61" i="3"/>
  <c r="E217" i="3"/>
  <c r="E163" i="3"/>
  <c r="E137" i="3"/>
  <c r="E232" i="3"/>
  <c r="E198" i="3"/>
  <c r="E334" i="3"/>
  <c r="E352" i="3"/>
  <c r="E470" i="3"/>
  <c r="E360" i="3"/>
  <c r="AO6" i="3"/>
  <c r="E548" i="3"/>
  <c r="E441" i="3"/>
  <c r="E157" i="3"/>
  <c r="AE6" i="3"/>
  <c r="E343" i="3"/>
  <c r="E245" i="3"/>
  <c r="Y6" i="3"/>
  <c r="E172" i="3"/>
  <c r="E433" i="3"/>
  <c r="E177" i="3"/>
  <c r="E351" i="3"/>
  <c r="E301" i="3"/>
  <c r="E507" i="3"/>
  <c r="E281" i="3"/>
  <c r="E353" i="3"/>
  <c r="E519" i="3"/>
  <c r="E186" i="3"/>
  <c r="E497" i="3"/>
  <c r="E91" i="3"/>
  <c r="E202" i="3"/>
  <c r="E447" i="3"/>
  <c r="E468" i="3"/>
  <c r="E445" i="3"/>
  <c r="E187" i="3"/>
  <c r="E145" i="3"/>
  <c r="E191" i="3"/>
  <c r="E432" i="3"/>
  <c r="E522" i="3"/>
  <c r="E326" i="3"/>
  <c r="E67" i="3"/>
  <c r="E440" i="3"/>
  <c r="E474" i="3"/>
  <c r="E523" i="3"/>
  <c r="E424" i="3"/>
  <c r="E571" i="3"/>
  <c r="E333" i="3"/>
  <c r="E411" i="3"/>
  <c r="E141" i="3"/>
  <c r="E201" i="3"/>
  <c r="E504" i="3"/>
  <c r="E23" i="3"/>
  <c r="E365" i="3"/>
  <c r="E162" i="3"/>
  <c r="E558" i="3"/>
  <c r="E488" i="3"/>
  <c r="E65" i="3"/>
  <c r="E330" i="3"/>
  <c r="E216" i="3"/>
  <c r="E266" i="3"/>
  <c r="E165" i="3"/>
  <c r="E119" i="3"/>
  <c r="E139" i="3"/>
  <c r="E252" i="3"/>
  <c r="E219" i="3"/>
  <c r="E520" i="3"/>
  <c r="E295" i="3"/>
  <c r="E168" i="3"/>
  <c r="E247" i="3"/>
  <c r="E398" i="3"/>
  <c r="E538" i="3"/>
  <c r="E406" i="3"/>
  <c r="E466" i="3"/>
  <c r="E366" i="3"/>
  <c r="E396" i="3"/>
  <c r="E127" i="3"/>
  <c r="AM6" i="3"/>
  <c r="Q6" i="3"/>
  <c r="E568" i="3"/>
  <c r="E420" i="3"/>
  <c r="E403" i="3"/>
  <c r="E244" i="3"/>
  <c r="E51" i="3"/>
  <c r="E231" i="3"/>
  <c r="E421" i="3"/>
  <c r="E492" i="3"/>
  <c r="E332" i="3"/>
  <c r="E402" i="3"/>
  <c r="E436" i="3"/>
  <c r="E240" i="3"/>
  <c r="E345" i="3"/>
  <c r="E138" i="3"/>
  <c r="T6" i="3"/>
  <c r="E475" i="3"/>
  <c r="E161" i="3"/>
  <c r="E534" i="3"/>
  <c r="E431" i="3"/>
  <c r="E363" i="3"/>
  <c r="E102" i="3"/>
  <c r="E43" i="3"/>
  <c r="E296" i="3"/>
  <c r="E293" i="3"/>
  <c r="E88" i="3"/>
  <c r="E121" i="3"/>
  <c r="E76" i="3"/>
  <c r="E493" i="3"/>
  <c r="E524" i="3"/>
  <c r="E182" i="3"/>
  <c r="E512" i="3"/>
  <c r="E26" i="3"/>
  <c r="E509" i="3"/>
  <c r="E462" i="3"/>
  <c r="E429" i="3"/>
  <c r="E477" i="3"/>
  <c r="E239" i="3"/>
  <c r="E554" i="3"/>
  <c r="E546" i="3"/>
  <c r="E532" i="3"/>
  <c r="E541" i="3"/>
  <c r="E55" i="3"/>
  <c r="E388" i="3"/>
  <c r="E183" i="3"/>
  <c r="E562" i="3"/>
  <c r="E316" i="3"/>
  <c r="E152" i="3"/>
  <c r="AD6" i="3"/>
  <c r="E143" i="3"/>
  <c r="E428" i="3"/>
  <c r="E357" i="3"/>
  <c r="E297" i="3"/>
  <c r="E549" i="3"/>
  <c r="E48" i="3"/>
  <c r="E387" i="3"/>
  <c r="E70" i="3"/>
  <c r="E113" i="3"/>
  <c r="O6" i="3"/>
  <c r="E196" i="3"/>
  <c r="E225" i="3"/>
  <c r="E560" i="3"/>
  <c r="E480" i="3"/>
  <c r="E505" i="3"/>
  <c r="E287" i="3"/>
  <c r="E551" i="3"/>
  <c r="E95" i="3"/>
  <c r="E315" i="3"/>
  <c r="E384" i="3"/>
  <c r="S6" i="3"/>
  <c r="E20" i="3"/>
  <c r="E545" i="3"/>
  <c r="E116" i="3"/>
  <c r="E96" i="3"/>
  <c r="E87" i="3"/>
  <c r="E491" i="3"/>
  <c r="E15" i="3"/>
  <c r="E340" i="3"/>
  <c r="E557" i="3"/>
  <c r="E282" i="3"/>
  <c r="E430" i="3"/>
  <c r="E320" i="3"/>
  <c r="E518" i="3"/>
  <c r="E318" i="3"/>
  <c r="E437" i="3"/>
  <c r="E299" i="3"/>
  <c r="E250" i="3"/>
  <c r="E100" i="3"/>
  <c r="E179" i="3"/>
  <c r="AN6" i="3"/>
  <c r="E460" i="3"/>
  <c r="J6" i="3"/>
  <c r="E278" i="3"/>
  <c r="E469" i="3"/>
  <c r="E527" i="3"/>
  <c r="E98" i="3"/>
  <c r="AQ6" i="3"/>
  <c r="E499" i="3"/>
  <c r="E14" i="3"/>
  <c r="E227" i="3"/>
  <c r="E213" i="3"/>
  <c r="V6" i="3"/>
  <c r="E150" i="3"/>
  <c r="E335" i="3"/>
  <c r="E439" i="3"/>
  <c r="E325" i="3"/>
  <c r="E112" i="3"/>
  <c r="E321" i="3"/>
  <c r="E131" i="3"/>
  <c r="E265" i="3"/>
  <c r="E33" i="3"/>
  <c r="E454" i="3"/>
  <c r="E170" i="3"/>
  <c r="E410" i="3"/>
  <c r="E52" i="3"/>
  <c r="E390" i="3"/>
  <c r="E417" i="3"/>
  <c r="E529" i="3"/>
  <c r="E307" i="3"/>
  <c r="AL6" i="3"/>
  <c r="E484" i="3"/>
  <c r="E467" i="3"/>
  <c r="E290" i="3"/>
  <c r="E236" i="3"/>
  <c r="E544" i="3"/>
  <c r="E263" i="3"/>
  <c r="E506" i="3"/>
  <c r="E132" i="3"/>
  <c r="AK6" i="3"/>
  <c r="E28" i="3"/>
  <c r="E89" i="3"/>
  <c r="E109" i="3"/>
  <c r="E451" i="3"/>
  <c r="E199" i="3"/>
  <c r="E279" i="3"/>
  <c r="E300" i="3"/>
  <c r="E90" i="3"/>
  <c r="E368" i="3"/>
  <c r="E356" i="3"/>
  <c r="E214" i="3"/>
  <c r="AF6" i="3"/>
  <c r="E171" i="3"/>
  <c r="E86" i="3"/>
  <c r="E82" i="3"/>
  <c r="E563" i="3"/>
  <c r="E391" i="3"/>
  <c r="E415" i="3"/>
  <c r="E535" i="3"/>
  <c r="E27" i="3"/>
  <c r="E291" i="3"/>
  <c r="E110" i="3"/>
  <c r="E453" i="3"/>
  <c r="E355" i="3"/>
  <c r="E339" i="3"/>
  <c r="E516" i="3"/>
  <c r="E253" i="3"/>
  <c r="E264" i="3"/>
  <c r="E362" i="3"/>
  <c r="E495" i="3"/>
  <c r="E147" i="3"/>
  <c r="E262" i="3"/>
  <c r="E273" i="3"/>
  <c r="E195" i="3"/>
  <c r="E414" i="3"/>
  <c r="E550" i="3"/>
  <c r="E547" i="3"/>
  <c r="R6" i="3"/>
  <c r="E38" i="3"/>
  <c r="E79" i="3"/>
  <c r="E25" i="3"/>
  <c r="E276" i="3"/>
  <c r="E423" i="3"/>
  <c r="E111" i="3"/>
  <c r="E220" i="3"/>
  <c r="E224" i="3"/>
  <c r="E24" i="3"/>
  <c r="E108" i="3"/>
  <c r="E19" i="3"/>
  <c r="E267" i="3"/>
  <c r="E371" i="3"/>
  <c r="E322" i="3"/>
  <c r="E564" i="3"/>
  <c r="E482" i="3"/>
  <c r="E372" i="3"/>
  <c r="E540" i="3"/>
  <c r="E234" i="3"/>
  <c r="E525" i="3"/>
  <c r="E251" i="3"/>
  <c r="E521" i="3"/>
  <c r="E476" i="3"/>
  <c r="E570" i="3"/>
  <c r="E146" i="3"/>
  <c r="E45" i="3"/>
  <c r="E167" i="3"/>
  <c r="E380" i="3"/>
  <c r="E46" i="3"/>
  <c r="E327" i="3"/>
  <c r="E471" i="3"/>
  <c r="E374" i="3"/>
  <c r="AS6" i="3"/>
  <c r="E59" i="3"/>
  <c r="E292" i="3"/>
  <c r="E455" i="3"/>
  <c r="E125" i="3"/>
  <c r="E151" i="3"/>
  <c r="E425" i="3"/>
  <c r="E204" i="3"/>
  <c r="E259" i="3"/>
  <c r="E490" i="3"/>
  <c r="E261" i="3"/>
  <c r="E517" i="3"/>
  <c r="E419" i="3"/>
  <c r="E188" i="3"/>
  <c r="E246" i="3"/>
  <c r="E498" i="3"/>
  <c r="E323" i="3"/>
  <c r="E310" i="3"/>
  <c r="E511" i="3"/>
  <c r="E337" i="3"/>
  <c r="N6" i="3"/>
  <c r="E465" i="3"/>
  <c r="E160" i="3"/>
  <c r="E458" i="3"/>
  <c r="E319" i="3"/>
  <c r="E56" i="3"/>
  <c r="E130" i="3"/>
  <c r="E192" i="3"/>
  <c r="E375" i="3"/>
  <c r="E77" i="3"/>
  <c r="E284" i="3"/>
  <c r="E515" i="3"/>
  <c r="E413" i="3"/>
  <c r="E221" i="3"/>
  <c r="E103" i="3"/>
  <c r="E408" i="3"/>
  <c r="E223" i="3"/>
  <c r="E444" i="3"/>
  <c r="E464" i="3"/>
  <c r="E463" i="3"/>
  <c r="E438" i="3"/>
  <c r="E21" i="3"/>
  <c r="E85" i="3"/>
  <c r="E248" i="3"/>
  <c r="E233" i="3"/>
  <c r="E235" i="3"/>
  <c r="E173" i="3"/>
  <c r="E378" i="3"/>
  <c r="E71" i="3"/>
  <c r="E473" i="3"/>
  <c r="E513" i="3"/>
  <c r="E502" i="3"/>
  <c r="E496" i="3"/>
  <c r="E528" i="3"/>
  <c r="E373" i="3"/>
  <c r="E503" i="3"/>
  <c r="I6" i="3"/>
  <c r="E30" i="3"/>
  <c r="E270" i="3"/>
  <c r="E97" i="3"/>
  <c r="E404" i="3"/>
  <c r="E500" i="3"/>
  <c r="E148" i="3"/>
  <c r="U6" i="3"/>
  <c r="E218" i="3"/>
  <c r="E400" i="3"/>
  <c r="E379" i="3"/>
  <c r="E210" i="3"/>
  <c r="E510" i="3"/>
  <c r="E158" i="3"/>
  <c r="E543" i="3"/>
  <c r="E40" i="3"/>
  <c r="E531" i="3"/>
  <c r="E135" i="3"/>
  <c r="E99" i="3"/>
  <c r="E553" i="3"/>
  <c r="E359" i="3"/>
  <c r="E92" i="3"/>
  <c r="E407" i="3"/>
  <c r="E32" i="3"/>
  <c r="E427" i="3"/>
  <c r="E412" i="3"/>
  <c r="E305" i="3"/>
  <c r="E174" i="3"/>
  <c r="E58" i="3"/>
  <c r="E530" i="3"/>
  <c r="E106" i="3"/>
  <c r="E54" i="3"/>
  <c r="E369" i="3"/>
  <c r="E559" i="3"/>
  <c r="E344" i="3"/>
  <c r="E22" i="3"/>
  <c r="E101" i="3"/>
  <c r="E565" i="3"/>
  <c r="E215" i="3"/>
  <c r="E376" i="3"/>
  <c r="E136" i="3"/>
  <c r="E190" i="3"/>
  <c r="E118" i="3"/>
  <c r="E47" i="3"/>
  <c r="E314" i="3"/>
  <c r="E117" i="3"/>
  <c r="E175" i="3"/>
  <c r="E395" i="3"/>
  <c r="AH6" i="3"/>
  <c r="E313" i="3"/>
  <c r="E401" i="3"/>
  <c r="E258" i="3"/>
  <c r="E370" i="3"/>
  <c r="E442" i="3"/>
  <c r="E39" i="3"/>
  <c r="E448" i="3"/>
  <c r="E123" i="3"/>
  <c r="E271" i="3"/>
  <c r="E81" i="3"/>
  <c r="E212" i="3"/>
  <c r="E312" i="3"/>
  <c r="E567" i="3"/>
  <c r="E17" i="3"/>
  <c r="E472" i="3"/>
  <c r="E533" i="3"/>
  <c r="E154" i="3"/>
  <c r="E134" i="3"/>
  <c r="E128" i="3"/>
  <c r="E122" i="3"/>
  <c r="E461" i="3"/>
  <c r="E114" i="3"/>
  <c r="E409" i="3"/>
  <c r="E434" i="3"/>
  <c r="E42" i="3"/>
  <c r="E494" i="3"/>
  <c r="M6" i="3"/>
  <c r="E457" i="3"/>
  <c r="E200" i="3"/>
  <c r="E238" i="3"/>
  <c r="E205" i="3"/>
  <c r="E383" i="3"/>
  <c r="E209" i="3"/>
  <c r="E60" i="3"/>
  <c r="E156" i="3"/>
  <c r="P6" i="3"/>
  <c r="E53" i="3"/>
  <c r="E257" i="3"/>
  <c r="E207" i="3"/>
  <c r="E308" i="3"/>
  <c r="E63" i="3"/>
  <c r="E107" i="3"/>
  <c r="E105" i="3"/>
  <c r="E302" i="3"/>
  <c r="E306" i="3"/>
  <c r="E16" i="3"/>
  <c r="E298" i="3"/>
  <c r="E159" i="3"/>
  <c r="E487" i="3"/>
  <c r="E377" i="3"/>
  <c r="E537" i="3"/>
  <c r="E37" i="3"/>
  <c r="E243" i="3"/>
  <c r="E242" i="3"/>
  <c r="E29" i="3"/>
  <c r="E456" i="3"/>
  <c r="E208" i="3"/>
  <c r="E328" i="3"/>
  <c r="E348" i="3"/>
  <c r="E83" i="3"/>
  <c r="E552" i="3"/>
  <c r="E181" i="3"/>
  <c r="E542" i="3"/>
  <c r="E241" i="3"/>
  <c r="E31" i="3"/>
  <c r="E62" i="3"/>
  <c r="E44" i="3"/>
  <c r="E399" i="3"/>
  <c r="E561" i="3"/>
  <c r="E450" i="3"/>
  <c r="E426" i="3"/>
  <c r="E283" i="3"/>
  <c r="E142" i="3"/>
  <c r="AR6" i="3"/>
  <c r="E255" i="3"/>
  <c r="E120" i="3"/>
  <c r="E260" i="3"/>
  <c r="E342" i="3"/>
  <c r="E382" i="3"/>
  <c r="E275" i="3"/>
  <c r="E72" i="3"/>
  <c r="E50" i="3"/>
  <c r="E311" i="3"/>
  <c r="E206" i="3"/>
  <c r="E80" i="3"/>
  <c r="E381" i="3"/>
  <c r="E94" i="3"/>
  <c r="E73" i="3"/>
  <c r="E197" i="3"/>
  <c r="E169" i="3"/>
  <c r="E397" i="3"/>
  <c r="E228" i="3"/>
  <c r="E459" i="3"/>
  <c r="E268" i="3"/>
  <c r="E304" i="3"/>
  <c r="E294" i="3"/>
  <c r="E126" i="3"/>
  <c r="E285" i="3"/>
  <c r="E226" i="3"/>
  <c r="E184" i="3"/>
  <c r="E324" i="3"/>
  <c r="E350" i="3"/>
  <c r="E144" i="3"/>
  <c r="E41" i="3"/>
  <c r="E140" i="3"/>
  <c r="E336" i="3"/>
  <c r="E229" i="3"/>
  <c r="E364" i="3"/>
  <c r="E189" i="3"/>
  <c r="E489" i="3"/>
  <c r="E349" i="3"/>
  <c r="Z6" i="3"/>
  <c r="E367" i="3"/>
  <c r="E289" i="3"/>
  <c r="K6" i="3"/>
  <c r="K21" i="6"/>
  <c r="AB34" i="34"/>
  <c r="T49" i="34" s="1"/>
  <c r="G49" i="34" s="1"/>
  <c r="G53" i="34" s="1"/>
  <c r="H53" i="34" s="1"/>
  <c r="U34" i="34"/>
  <c r="E59" i="40"/>
  <c r="E64" i="39"/>
  <c r="C17" i="59"/>
  <c r="D18" i="59"/>
  <c r="AC34" i="34"/>
  <c r="W34" i="34"/>
  <c r="AA7" i="34"/>
  <c r="R49" i="34" s="1"/>
  <c r="S7" i="34"/>
  <c r="E42" i="35"/>
  <c r="F42" i="35" s="1"/>
  <c r="E43" i="35"/>
  <c r="F43" i="35" s="1"/>
  <c r="E53" i="86"/>
  <c r="F53" i="86" s="1"/>
  <c r="E52" i="86"/>
  <c r="F52" i="86" s="1"/>
  <c r="AC7" i="34"/>
  <c r="V49" i="34" s="1"/>
  <c r="I49" i="34" s="1"/>
  <c r="W7" i="34"/>
  <c r="C39" i="35"/>
  <c r="B3" i="35" s="1"/>
  <c r="B2" i="35" s="1"/>
  <c r="C38" i="35"/>
  <c r="C49" i="86"/>
  <c r="B3" i="86" s="1"/>
  <c r="B2" i="86" s="1"/>
  <c r="C48" i="86"/>
  <c r="C8" i="74" s="1"/>
  <c r="B13" i="72" s="1"/>
  <c r="I13" i="72" s="1"/>
  <c r="C25" i="73"/>
  <c r="C30" i="73"/>
  <c r="I42" i="35"/>
  <c r="J42" i="35" s="1"/>
  <c r="I43" i="35"/>
  <c r="J43" i="35" s="1"/>
  <c r="F9" i="40"/>
  <c r="J9" i="40"/>
  <c r="AB9" i="40"/>
  <c r="T44" i="40" s="1"/>
  <c r="G44" i="40" s="1"/>
  <c r="U9" i="40"/>
  <c r="I53" i="86"/>
  <c r="J53" i="86" s="1"/>
  <c r="AE8" i="1"/>
  <c r="F41" i="81"/>
  <c r="C16" i="81"/>
  <c r="N36" i="78" l="1"/>
  <c r="P36" i="46"/>
  <c r="C111" i="9"/>
  <c r="C104" i="9" s="1"/>
  <c r="Q36" i="78"/>
  <c r="M36" i="46"/>
  <c r="M37" i="46"/>
  <c r="J26" i="79"/>
  <c r="J29" i="79" s="1"/>
  <c r="Q58" i="44"/>
  <c r="C52" i="79"/>
  <c r="C47" i="79" s="1"/>
  <c r="C65" i="79" s="1"/>
  <c r="F68" i="81"/>
  <c r="N37" i="76"/>
  <c r="O37" i="76"/>
  <c r="M37" i="76"/>
  <c r="P36" i="78"/>
  <c r="M36" i="78"/>
  <c r="N36" i="46"/>
  <c r="N37" i="46"/>
  <c r="O36" i="46"/>
  <c r="Q36" i="77"/>
  <c r="L37" i="77"/>
  <c r="O37" i="77" s="1"/>
  <c r="O36" i="77"/>
  <c r="M36" i="77"/>
  <c r="P36" i="77"/>
  <c r="O37" i="46"/>
  <c r="M37" i="78"/>
  <c r="C65" i="15"/>
  <c r="Q37" i="78"/>
  <c r="O37" i="78"/>
  <c r="N37" i="78"/>
  <c r="Q36" i="46"/>
  <c r="O36" i="78"/>
  <c r="N68" i="9"/>
  <c r="Q55" i="44"/>
  <c r="H6" i="3"/>
  <c r="D70" i="9"/>
  <c r="C103" i="9"/>
  <c r="C82" i="9"/>
  <c r="C81" i="9" s="1"/>
  <c r="C85" i="9" s="1"/>
  <c r="C86" i="9" s="1"/>
  <c r="D72" i="9" s="1"/>
  <c r="C96" i="9"/>
  <c r="C91" i="9" s="1"/>
  <c r="D71" i="9"/>
  <c r="C90" i="9"/>
  <c r="C97" i="9" s="1"/>
  <c r="R5" i="54"/>
  <c r="B48" i="63" s="1"/>
  <c r="C16" i="59"/>
  <c r="T17" i="59"/>
  <c r="D17" i="59"/>
  <c r="AC6" i="3"/>
  <c r="E6" i="3" s="1"/>
  <c r="S6" i="1"/>
  <c r="M19" i="6"/>
  <c r="K27" i="6"/>
  <c r="M21" i="6"/>
  <c r="I21" i="6" s="1"/>
  <c r="S21" i="6" s="1"/>
  <c r="S8" i="1"/>
  <c r="D44" i="9"/>
  <c r="D45" i="9"/>
  <c r="D16" i="12"/>
  <c r="D16" i="43"/>
  <c r="C16" i="43" s="1"/>
  <c r="L38" i="9"/>
  <c r="E6" i="6"/>
  <c r="C21" i="4"/>
  <c r="O5" i="54" s="1"/>
  <c r="B45" i="63" s="1"/>
  <c r="D46" i="9"/>
  <c r="C33" i="9"/>
  <c r="H12" i="40"/>
  <c r="F12" i="39"/>
  <c r="F12" i="40"/>
  <c r="H12" i="39"/>
  <c r="J12" i="40"/>
  <c r="J12" i="39"/>
  <c r="F21" i="43"/>
  <c r="F33" i="12"/>
  <c r="C34" i="12" s="1"/>
  <c r="D33" i="12" s="1"/>
  <c r="G54" i="34"/>
  <c r="H54" i="34" s="1"/>
  <c r="AY214" i="3"/>
  <c r="AY245" i="3"/>
  <c r="AY559" i="3"/>
  <c r="AY297" i="3"/>
  <c r="AY312" i="3"/>
  <c r="AY476" i="3"/>
  <c r="AY63" i="3"/>
  <c r="AY284" i="3"/>
  <c r="AY471" i="3"/>
  <c r="AY433" i="3"/>
  <c r="AY530" i="3"/>
  <c r="AY155" i="3"/>
  <c r="BN6" i="3"/>
  <c r="AY511" i="3"/>
  <c r="AY524" i="3"/>
  <c r="AY538" i="3"/>
  <c r="AY546" i="3"/>
  <c r="AY187" i="3"/>
  <c r="AY203" i="3"/>
  <c r="AY286" i="3"/>
  <c r="AY382" i="3"/>
  <c r="AY136" i="3"/>
  <c r="AY91" i="3"/>
  <c r="AY206" i="3"/>
  <c r="AY522" i="3"/>
  <c r="AY421" i="3"/>
  <c r="AY17" i="3"/>
  <c r="AY498" i="3"/>
  <c r="AY258" i="3"/>
  <c r="AY126" i="3"/>
  <c r="AY310" i="3"/>
  <c r="AY572" i="3"/>
  <c r="AY197" i="3"/>
  <c r="AY44" i="3"/>
  <c r="AY280" i="3"/>
  <c r="AY515" i="3"/>
  <c r="AY217" i="3"/>
  <c r="AY316" i="3"/>
  <c r="AY375" i="3"/>
  <c r="AY490" i="3"/>
  <c r="AY54" i="3"/>
  <c r="AY529" i="3"/>
  <c r="AY351" i="3"/>
  <c r="AY251" i="3"/>
  <c r="AY85" i="3"/>
  <c r="AY267" i="3"/>
  <c r="AY474" i="3"/>
  <c r="AY62" i="3"/>
  <c r="AY14" i="3"/>
  <c r="BJ6" i="3"/>
  <c r="AY300" i="3"/>
  <c r="AY557" i="3"/>
  <c r="AY417" i="3"/>
  <c r="AY369" i="3"/>
  <c r="AY37" i="3"/>
  <c r="AY202" i="3"/>
  <c r="AY542" i="3"/>
  <c r="AY537" i="3"/>
  <c r="BC6" i="3"/>
  <c r="AY96" i="3"/>
  <c r="AY33" i="3"/>
  <c r="AY111" i="3"/>
  <c r="AY322" i="3"/>
  <c r="AY521" i="3"/>
  <c r="AY110" i="3"/>
  <c r="AY344" i="3"/>
  <c r="AY149" i="3"/>
  <c r="AY151" i="3"/>
  <c r="AY93" i="3"/>
  <c r="AY166" i="3"/>
  <c r="AY264" i="3"/>
  <c r="AY516" i="3"/>
  <c r="AY378" i="3"/>
  <c r="AY391" i="3"/>
  <c r="AY68" i="3"/>
  <c r="AY29" i="3"/>
  <c r="AY67" i="3"/>
  <c r="AY141" i="3"/>
  <c r="AY481" i="3"/>
  <c r="AY42" i="3"/>
  <c r="AY432" i="3"/>
  <c r="AY443" i="3"/>
  <c r="AY185" i="3"/>
  <c r="AY367" i="3"/>
  <c r="BB6" i="3"/>
  <c r="AY533" i="3"/>
  <c r="AY39" i="3"/>
  <c r="AY294" i="3"/>
  <c r="AY313" i="3"/>
  <c r="AY16" i="3"/>
  <c r="AY161" i="3"/>
  <c r="AY318" i="3"/>
  <c r="AY211" i="3"/>
  <c r="AY299" i="3"/>
  <c r="AY488" i="3"/>
  <c r="AY399" i="3"/>
  <c r="AY342" i="3"/>
  <c r="AY243" i="3"/>
  <c r="AY227" i="3"/>
  <c r="AY347" i="3"/>
  <c r="AY385" i="3"/>
  <c r="AY104" i="3"/>
  <c r="AY435" i="3"/>
  <c r="AY302" i="3"/>
  <c r="AY541" i="3"/>
  <c r="AY410" i="3"/>
  <c r="AY519" i="3"/>
  <c r="AY168" i="3"/>
  <c r="AY317" i="3"/>
  <c r="AY272" i="3"/>
  <c r="AY341" i="3"/>
  <c r="AY162" i="3"/>
  <c r="AY544" i="3"/>
  <c r="AY221" i="3"/>
  <c r="AY40" i="3"/>
  <c r="AY353" i="3"/>
  <c r="AY376" i="3"/>
  <c r="AY534" i="3"/>
  <c r="AY139" i="3"/>
  <c r="AY329" i="3"/>
  <c r="AY484" i="3"/>
  <c r="AY105" i="3"/>
  <c r="AY333" i="3"/>
  <c r="AY172" i="3"/>
  <c r="AY336" i="3"/>
  <c r="AY60" i="3"/>
  <c r="AY196" i="3"/>
  <c r="AY363" i="3"/>
  <c r="AY553" i="3"/>
  <c r="AY57" i="3"/>
  <c r="AY131" i="3"/>
  <c r="AY270" i="3"/>
  <c r="AY500" i="3"/>
  <c r="AY182" i="3"/>
  <c r="AY157" i="3"/>
  <c r="AY38" i="3"/>
  <c r="AY61" i="3"/>
  <c r="AY84" i="3"/>
  <c r="AY127" i="3"/>
  <c r="AY549" i="3"/>
  <c r="AY343" i="3"/>
  <c r="AY501" i="3"/>
  <c r="AY431" i="3"/>
  <c r="AY204" i="3"/>
  <c r="AY158" i="3"/>
  <c r="D3" i="6"/>
  <c r="AY271" i="3"/>
  <c r="AY20" i="3"/>
  <c r="AY281" i="3"/>
  <c r="AY228" i="3"/>
  <c r="AY255" i="3"/>
  <c r="AY531" i="3"/>
  <c r="AY213" i="3"/>
  <c r="AY98" i="3"/>
  <c r="AY358" i="3"/>
  <c r="AY296" i="3"/>
  <c r="AY397" i="3"/>
  <c r="AY275" i="3"/>
  <c r="AY184" i="3"/>
  <c r="AY119" i="3"/>
  <c r="AY130" i="3"/>
  <c r="AY355" i="3"/>
  <c r="AY323" i="3"/>
  <c r="AY146" i="3"/>
  <c r="AY277" i="3"/>
  <c r="AY72" i="3"/>
  <c r="AY236" i="3"/>
  <c r="AY550" i="3"/>
  <c r="AY156" i="3"/>
  <c r="AY180" i="3"/>
  <c r="AY507" i="3"/>
  <c r="AY113" i="3"/>
  <c r="AY325" i="3"/>
  <c r="AY224" i="3"/>
  <c r="AY80" i="3"/>
  <c r="AY55" i="3"/>
  <c r="AY340" i="3"/>
  <c r="AY408" i="3"/>
  <c r="AY526" i="3"/>
  <c r="AY406" i="3"/>
  <c r="AY282" i="3"/>
  <c r="AY371" i="3"/>
  <c r="AY124" i="3"/>
  <c r="AY247" i="3"/>
  <c r="AY475" i="3"/>
  <c r="AY260" i="3"/>
  <c r="AY165" i="3"/>
  <c r="AY368" i="3"/>
  <c r="AY339" i="3"/>
  <c r="AY491" i="3"/>
  <c r="AY480" i="3"/>
  <c r="AY564" i="3"/>
  <c r="AY262" i="3"/>
  <c r="AY449" i="3"/>
  <c r="AY520" i="3"/>
  <c r="AY89" i="3"/>
  <c r="AY331" i="3"/>
  <c r="BR6" i="3"/>
  <c r="AY239" i="3"/>
  <c r="AY315" i="3"/>
  <c r="AY45" i="3"/>
  <c r="AY348" i="3"/>
  <c r="AY308" i="3"/>
  <c r="AY178" i="3"/>
  <c r="AY558" i="3"/>
  <c r="AY292" i="3"/>
  <c r="AY215" i="3"/>
  <c r="AY208" i="3"/>
  <c r="AY18" i="3"/>
  <c r="AY485" i="3"/>
  <c r="AY170" i="3"/>
  <c r="AY338" i="3"/>
  <c r="AY414" i="3"/>
  <c r="AY470" i="3"/>
  <c r="AY15" i="3"/>
  <c r="AY361" i="3"/>
  <c r="AY115" i="3"/>
  <c r="AY269" i="3"/>
  <c r="AY439" i="3"/>
  <c r="AY512" i="3"/>
  <c r="AY66" i="3"/>
  <c r="AY295" i="3"/>
  <c r="AY234" i="3"/>
  <c r="AY101" i="3"/>
  <c r="AY25" i="3"/>
  <c r="AY147" i="3"/>
  <c r="AY437" i="3"/>
  <c r="AY396" i="3"/>
  <c r="AY460" i="3"/>
  <c r="AY69" i="3"/>
  <c r="AY191" i="3"/>
  <c r="AY220" i="3"/>
  <c r="BK6" i="3"/>
  <c r="AY477" i="3"/>
  <c r="AY186" i="3"/>
  <c r="AY118" i="3"/>
  <c r="AY337" i="3"/>
  <c r="AY359" i="3"/>
  <c r="AY268" i="3"/>
  <c r="AY189" i="3"/>
  <c r="BE6" i="3"/>
  <c r="AY554" i="3"/>
  <c r="AY190" i="3"/>
  <c r="AY463" i="3"/>
  <c r="AY523" i="3"/>
  <c r="AY434" i="3"/>
  <c r="AY409" i="3"/>
  <c r="AY467" i="3"/>
  <c r="AY87" i="3"/>
  <c r="BD6" i="3"/>
  <c r="AY499" i="3"/>
  <c r="AY563" i="3"/>
  <c r="AY259" i="3"/>
  <c r="AY58" i="3"/>
  <c r="AY265" i="3"/>
  <c r="AY36" i="3"/>
  <c r="AY34" i="3"/>
  <c r="AY28" i="3"/>
  <c r="AY219" i="3"/>
  <c r="AY413" i="3"/>
  <c r="AY570" i="3"/>
  <c r="AY545" i="3"/>
  <c r="AY536" i="3"/>
  <c r="AY335" i="3"/>
  <c r="AY144" i="3"/>
  <c r="AY403" i="3"/>
  <c r="AY430" i="3"/>
  <c r="AY459" i="3"/>
  <c r="AY392" i="3"/>
  <c r="AY148" i="3"/>
  <c r="AY415" i="3"/>
  <c r="BM6" i="3"/>
  <c r="AY314" i="3"/>
  <c r="AY482" i="3"/>
  <c r="AY539" i="3"/>
  <c r="AY330" i="3"/>
  <c r="AY102" i="3"/>
  <c r="AY497" i="3"/>
  <c r="AY464" i="3"/>
  <c r="AY238" i="3"/>
  <c r="AY326" i="3"/>
  <c r="AY452" i="3"/>
  <c r="AY125" i="3"/>
  <c r="BF6" i="3"/>
  <c r="AY525" i="3"/>
  <c r="AY31" i="3"/>
  <c r="AY400" i="3"/>
  <c r="AY123" i="3"/>
  <c r="AY288" i="3"/>
  <c r="AY394" i="3"/>
  <c r="AY446" i="3"/>
  <c r="AY26" i="3"/>
  <c r="AY75" i="3"/>
  <c r="AY153" i="3"/>
  <c r="AY393" i="3"/>
  <c r="AY568" i="3"/>
  <c r="AY121" i="3"/>
  <c r="AY199" i="3"/>
  <c r="AY532" i="3"/>
  <c r="AY352" i="3"/>
  <c r="AY235" i="3"/>
  <c r="AY373" i="3"/>
  <c r="AY135" i="3"/>
  <c r="AY120" i="3"/>
  <c r="AY535" i="3"/>
  <c r="AY513" i="3"/>
  <c r="AY418" i="3"/>
  <c r="AY163" i="3"/>
  <c r="AY154" i="3"/>
  <c r="AY88" i="3"/>
  <c r="AY425" i="3"/>
  <c r="AY30" i="3"/>
  <c r="AY109" i="3"/>
  <c r="AY122" i="3"/>
  <c r="AY160" i="3"/>
  <c r="AY551" i="3"/>
  <c r="AY514" i="3"/>
  <c r="AY133" i="3"/>
  <c r="AY527" i="3"/>
  <c r="AY253" i="3"/>
  <c r="AY179" i="3"/>
  <c r="AY560" i="3"/>
  <c r="AY405" i="3"/>
  <c r="AY183" i="3"/>
  <c r="AY309" i="3"/>
  <c r="AY150" i="3"/>
  <c r="AY24" i="3"/>
  <c r="AY380" i="3"/>
  <c r="AY229" i="3"/>
  <c r="AY78" i="3"/>
  <c r="AY395" i="3"/>
  <c r="AY566" i="3"/>
  <c r="AY354" i="3"/>
  <c r="AY244" i="3"/>
  <c r="AY571" i="3"/>
  <c r="AY366" i="3"/>
  <c r="AY223" i="3"/>
  <c r="AY79" i="3"/>
  <c r="AY379" i="3"/>
  <c r="AY304" i="3"/>
  <c r="AY370" i="3"/>
  <c r="AY345" i="3"/>
  <c r="AY289" i="3"/>
  <c r="AY492" i="3"/>
  <c r="AY138" i="3"/>
  <c r="AY106" i="3"/>
  <c r="AY384" i="3"/>
  <c r="AY241" i="3"/>
  <c r="AY52" i="3"/>
  <c r="AY389" i="3"/>
  <c r="AY27" i="3"/>
  <c r="AY167" i="3"/>
  <c r="AY116" i="3"/>
  <c r="AY483" i="3"/>
  <c r="AY444" i="3"/>
  <c r="AY71" i="3"/>
  <c r="BT6" i="3"/>
  <c r="AY97" i="3"/>
  <c r="BL6" i="3"/>
  <c r="AY263" i="3"/>
  <c r="AY489" i="3"/>
  <c r="AY128" i="3"/>
  <c r="AY420" i="3"/>
  <c r="AY13" i="3"/>
  <c r="AY59" i="3"/>
  <c r="AY436" i="3"/>
  <c r="AY552" i="3"/>
  <c r="AY291" i="3"/>
  <c r="AY181" i="3"/>
  <c r="AY442" i="3"/>
  <c r="AY465" i="3"/>
  <c r="AY303" i="3"/>
  <c r="AY494" i="3"/>
  <c r="AY293" i="3"/>
  <c r="AY383" i="3"/>
  <c r="AY90" i="3"/>
  <c r="AY453" i="3"/>
  <c r="AY32" i="3"/>
  <c r="AY528" i="3"/>
  <c r="AY48" i="3"/>
  <c r="AY319" i="3"/>
  <c r="AY65" i="3"/>
  <c r="AY428" i="3"/>
  <c r="AY290" i="3"/>
  <c r="AY518" i="3"/>
  <c r="AY205" i="3"/>
  <c r="AY21" i="3"/>
  <c r="AY301" i="3"/>
  <c r="AY487" i="3"/>
  <c r="AY412" i="3"/>
  <c r="AY462" i="3"/>
  <c r="AY404" i="3"/>
  <c r="AY278" i="3"/>
  <c r="AY70" i="3"/>
  <c r="AY49" i="3"/>
  <c r="BQ6" i="3"/>
  <c r="AY362" i="3"/>
  <c r="AY222" i="3"/>
  <c r="AY386" i="3"/>
  <c r="AY47" i="3"/>
  <c r="AY346" i="3"/>
  <c r="AY374" i="3"/>
  <c r="AY356" i="3"/>
  <c r="AY254" i="3"/>
  <c r="AY283" i="3"/>
  <c r="AY503" i="3"/>
  <c r="AY328" i="3"/>
  <c r="AY441" i="3"/>
  <c r="AY231" i="3"/>
  <c r="AY41" i="3"/>
  <c r="AY543" i="3"/>
  <c r="AY192" i="3"/>
  <c r="AY422" i="3"/>
  <c r="AY429" i="3"/>
  <c r="AY562" i="3"/>
  <c r="AY53" i="3"/>
  <c r="AY447" i="3"/>
  <c r="AY451" i="3"/>
  <c r="AY174" i="3"/>
  <c r="AY411" i="3"/>
  <c r="AY466" i="3"/>
  <c r="AY266" i="3"/>
  <c r="AY19" i="3"/>
  <c r="AY287" i="3"/>
  <c r="AY82" i="3"/>
  <c r="AY230" i="3"/>
  <c r="AY457" i="3"/>
  <c r="AY473" i="3"/>
  <c r="AY387" i="3"/>
  <c r="AY461" i="3"/>
  <c r="AY324" i="3"/>
  <c r="AY416" i="3"/>
  <c r="AY305" i="3"/>
  <c r="AY76" i="3"/>
  <c r="AY22" i="3"/>
  <c r="AY493" i="3"/>
  <c r="AY279" i="3"/>
  <c r="AY112" i="3"/>
  <c r="AY240" i="3"/>
  <c r="AY252" i="3"/>
  <c r="BG6" i="3"/>
  <c r="AY200" i="3"/>
  <c r="AY495" i="3"/>
  <c r="AY73" i="3"/>
  <c r="AY164" i="3"/>
  <c r="AY83" i="3"/>
  <c r="AY114" i="3"/>
  <c r="AY390" i="3"/>
  <c r="AY226" i="3"/>
  <c r="BS6" i="3"/>
  <c r="AY506" i="3"/>
  <c r="AY440" i="3"/>
  <c r="AY198" i="3"/>
  <c r="AY177" i="3"/>
  <c r="AY95" i="3"/>
  <c r="AY274" i="3"/>
  <c r="AY468" i="3"/>
  <c r="AY450" i="3"/>
  <c r="AY364" i="3"/>
  <c r="AY540" i="3"/>
  <c r="AY117" i="3"/>
  <c r="AY210" i="3"/>
  <c r="AY175" i="3"/>
  <c r="AY99" i="3"/>
  <c r="AY261" i="3"/>
  <c r="AY472" i="3"/>
  <c r="AY188" i="3"/>
  <c r="AY407" i="3"/>
  <c r="AY86" i="3"/>
  <c r="AY423" i="3"/>
  <c r="AY132" i="3"/>
  <c r="AY321" i="3"/>
  <c r="AY508" i="3"/>
  <c r="AY517" i="3"/>
  <c r="AY142" i="3"/>
  <c r="AY207" i="3"/>
  <c r="AY218" i="3"/>
  <c r="BP6" i="3"/>
  <c r="AY107" i="3"/>
  <c r="AY143" i="3"/>
  <c r="AY74" i="3"/>
  <c r="AY548" i="3"/>
  <c r="AY137" i="3"/>
  <c r="AY152" i="3"/>
  <c r="AY173" i="3"/>
  <c r="AY567" i="3"/>
  <c r="AY100" i="3"/>
  <c r="AY349" i="3"/>
  <c r="AY81" i="3"/>
  <c r="AY458" i="3"/>
  <c r="AY250" i="3"/>
  <c r="AY193" i="3"/>
  <c r="AY171" i="3"/>
  <c r="AY320" i="3"/>
  <c r="AY350" i="3"/>
  <c r="AY496" i="3"/>
  <c r="AY201" i="3"/>
  <c r="AY285" i="3"/>
  <c r="AY169" i="3"/>
  <c r="AY360" i="3"/>
  <c r="AY365" i="3"/>
  <c r="AY103" i="3"/>
  <c r="AY46" i="3"/>
  <c r="AY377" i="3"/>
  <c r="AY426" i="3"/>
  <c r="AY307" i="3"/>
  <c r="AY327" i="3"/>
  <c r="AY398" i="3"/>
  <c r="AY225" i="3"/>
  <c r="AY256" i="3"/>
  <c r="AY94" i="3"/>
  <c r="AY232" i="3"/>
  <c r="AY445" i="3"/>
  <c r="AY176" i="3"/>
  <c r="AY547" i="3"/>
  <c r="AY424" i="3"/>
  <c r="AY216" i="3"/>
  <c r="AY195" i="3"/>
  <c r="AY469" i="3"/>
  <c r="AY556" i="3"/>
  <c r="AY129" i="3"/>
  <c r="BI6" i="3"/>
  <c r="AY510" i="3"/>
  <c r="AY306" i="3"/>
  <c r="AY273" i="3"/>
  <c r="AY212" i="3"/>
  <c r="AY478" i="3"/>
  <c r="AY248" i="3"/>
  <c r="AY159" i="3"/>
  <c r="AY311" i="3"/>
  <c r="AY509" i="3"/>
  <c r="AY332" i="3"/>
  <c r="AY194" i="3"/>
  <c r="AY381" i="3"/>
  <c r="AY56" i="3"/>
  <c r="AY209" i="3"/>
  <c r="AY561" i="3"/>
  <c r="AY456" i="3"/>
  <c r="AY438" i="3"/>
  <c r="AY502" i="3"/>
  <c r="AY51" i="3"/>
  <c r="AY35" i="3"/>
  <c r="AY448" i="3"/>
  <c r="AY388" i="3"/>
  <c r="AY455" i="3"/>
  <c r="AY92" i="3"/>
  <c r="AY298" i="3"/>
  <c r="AY50" i="3"/>
  <c r="BA6" i="3"/>
  <c r="AY334" i="3"/>
  <c r="AY486" i="3"/>
  <c r="AY108" i="3"/>
  <c r="AY77" i="3"/>
  <c r="AY504" i="3"/>
  <c r="AY276" i="3"/>
  <c r="AY43" i="3"/>
  <c r="AY427" i="3"/>
  <c r="AY242" i="3"/>
  <c r="AY402" i="3"/>
  <c r="BO6" i="3"/>
  <c r="AY372" i="3"/>
  <c r="AY479" i="3"/>
  <c r="AY505" i="3"/>
  <c r="AY246" i="3"/>
  <c r="AY233" i="3"/>
  <c r="AY23" i="3"/>
  <c r="BH6" i="3"/>
  <c r="AY134" i="3"/>
  <c r="AY145" i="3"/>
  <c r="AY555" i="3"/>
  <c r="AY419" i="3"/>
  <c r="AY249" i="3"/>
  <c r="AY257" i="3"/>
  <c r="AY357" i="3"/>
  <c r="AY565" i="3"/>
  <c r="AY237" i="3"/>
  <c r="AY64" i="3"/>
  <c r="AY140" i="3"/>
  <c r="AY401" i="3"/>
  <c r="AY454" i="3"/>
  <c r="AY569" i="3"/>
  <c r="O8" i="1"/>
  <c r="M16" i="1"/>
  <c r="C60" i="81"/>
  <c r="C47" i="81"/>
  <c r="L69" i="39"/>
  <c r="K71" i="39"/>
  <c r="B3" i="11"/>
  <c r="B5" i="11"/>
  <c r="B4" i="11"/>
  <c r="S7" i="1"/>
  <c r="M20" i="6"/>
  <c r="I20" i="6" s="1"/>
  <c r="S20" i="6" s="1"/>
  <c r="J18" i="81"/>
  <c r="J19" i="81"/>
  <c r="J5" i="81"/>
  <c r="C113" i="9"/>
  <c r="R50" i="34"/>
  <c r="E49" i="34"/>
  <c r="G48" i="40"/>
  <c r="H48" i="40" s="1"/>
  <c r="AC9" i="40"/>
  <c r="V44" i="40" s="1"/>
  <c r="I44" i="40" s="1"/>
  <c r="W9" i="40"/>
  <c r="C10" i="74"/>
  <c r="C6" i="74" s="1"/>
  <c r="B9" i="72"/>
  <c r="I9" i="72" s="1"/>
  <c r="I53" i="34"/>
  <c r="J53" i="34" s="1"/>
  <c r="AA9" i="40"/>
  <c r="R44" i="40" s="1"/>
  <c r="S9" i="40"/>
  <c r="C17" i="79"/>
  <c r="C17" i="15"/>
  <c r="C17" i="81"/>
  <c r="C59" i="79" l="1"/>
  <c r="P37" i="77"/>
  <c r="M37" i="77"/>
  <c r="Q37" i="77"/>
  <c r="N37" i="77"/>
  <c r="L71" i="39"/>
  <c r="M69" i="39"/>
  <c r="H20" i="6"/>
  <c r="D15" i="6"/>
  <c r="D12" i="6"/>
  <c r="D14" i="6"/>
  <c r="F45" i="9"/>
  <c r="H26" i="6"/>
  <c r="R26" i="6" s="1"/>
  <c r="K38" i="9"/>
  <c r="D9" i="6"/>
  <c r="D31" i="6"/>
  <c r="H23" i="6"/>
  <c r="R23" i="6" s="1"/>
  <c r="F44" i="9"/>
  <c r="E46" i="9"/>
  <c r="D21" i="6"/>
  <c r="D19" i="6"/>
  <c r="E45" i="9"/>
  <c r="H25" i="6"/>
  <c r="R25" i="6" s="1"/>
  <c r="D5" i="6"/>
  <c r="D11" i="6"/>
  <c r="C22" i="4"/>
  <c r="E44" i="9"/>
  <c r="G22" i="9"/>
  <c r="H21" i="6"/>
  <c r="C14" i="66"/>
  <c r="B2" i="66" s="1"/>
  <c r="E67" i="39"/>
  <c r="D6" i="6"/>
  <c r="H24" i="6"/>
  <c r="R24" i="6" s="1"/>
  <c r="D13" i="6"/>
  <c r="D8" i="6"/>
  <c r="H22" i="6"/>
  <c r="R22" i="6" s="1"/>
  <c r="F46" i="9"/>
  <c r="D20" i="6"/>
  <c r="R20" i="6" s="1"/>
  <c r="R7" i="1" s="1"/>
  <c r="D10" i="6"/>
  <c r="E62" i="40"/>
  <c r="C34" i="9"/>
  <c r="C35" i="9"/>
  <c r="F42" i="9" s="1"/>
  <c r="AA12" i="40"/>
  <c r="S12" i="40"/>
  <c r="T8" i="1"/>
  <c r="S16" i="1"/>
  <c r="J24" i="81"/>
  <c r="J26" i="81"/>
  <c r="J29" i="81" s="1"/>
  <c r="N16" i="1"/>
  <c r="F22" i="43" s="1"/>
  <c r="C13" i="43"/>
  <c r="L16" i="1"/>
  <c r="P8" i="1"/>
  <c r="O16" i="1"/>
  <c r="C59" i="81"/>
  <c r="C65" i="81"/>
  <c r="W12" i="39"/>
  <c r="AC12" i="39"/>
  <c r="S12" i="39"/>
  <c r="AA12" i="39"/>
  <c r="D19" i="12"/>
  <c r="C19" i="12" s="1"/>
  <c r="C16" i="12"/>
  <c r="C15" i="59"/>
  <c r="D16" i="59"/>
  <c r="W12" i="40"/>
  <c r="AC12" i="40"/>
  <c r="U12" i="40"/>
  <c r="AB12" i="40"/>
  <c r="D13" i="11"/>
  <c r="C13" i="11" s="1"/>
  <c r="D22" i="12"/>
  <c r="C22" i="12" s="1"/>
  <c r="C20" i="12" s="1"/>
  <c r="T7" i="1"/>
  <c r="AB12" i="39"/>
  <c r="U12" i="39"/>
  <c r="D42" i="9"/>
  <c r="Q5" i="54" s="1"/>
  <c r="B47" i="63" s="1"/>
  <c r="N38" i="9"/>
  <c r="K28" i="9" s="1"/>
  <c r="I19" i="6"/>
  <c r="H19" i="6" s="1"/>
  <c r="M27" i="6"/>
  <c r="C99" i="9"/>
  <c r="C98" i="9"/>
  <c r="E98" i="9" s="1"/>
  <c r="E99" i="9" s="1"/>
  <c r="C115" i="9"/>
  <c r="D76" i="9" s="1"/>
  <c r="D74" i="9" s="1"/>
  <c r="N74" i="9" s="1"/>
  <c r="O77" i="9" s="1"/>
  <c r="C114" i="9"/>
  <c r="E114" i="9" s="1"/>
  <c r="E115" i="9" s="1"/>
  <c r="I48" i="40"/>
  <c r="J48" i="40" s="1"/>
  <c r="E54" i="34"/>
  <c r="F54" i="34" s="1"/>
  <c r="E53" i="34"/>
  <c r="F53" i="34" s="1"/>
  <c r="G49" i="40"/>
  <c r="H49" i="40" s="1"/>
  <c r="C49" i="34"/>
  <c r="U8" i="1" s="1"/>
  <c r="C50" i="34"/>
  <c r="B3" i="34" s="1"/>
  <c r="B2" i="34" s="1"/>
  <c r="I54" i="34"/>
  <c r="J54" i="34" s="1"/>
  <c r="C24" i="74"/>
  <c r="C29" i="74"/>
  <c r="E44" i="40"/>
  <c r="R45" i="40"/>
  <c r="M21" i="15"/>
  <c r="F6" i="81"/>
  <c r="F35" i="15"/>
  <c r="C14" i="15"/>
  <c r="C13" i="75"/>
  <c r="C13" i="74"/>
  <c r="C14" i="81"/>
  <c r="R19" i="6" l="1"/>
  <c r="C14" i="75"/>
  <c r="C17" i="75"/>
  <c r="C14" i="74"/>
  <c r="C17" i="74"/>
  <c r="C15" i="15"/>
  <c r="C18" i="15"/>
  <c r="C18" i="81"/>
  <c r="C15" i="81"/>
  <c r="F62" i="15"/>
  <c r="C61" i="15" s="1"/>
  <c r="C58" i="15" s="1"/>
  <c r="C34" i="15"/>
  <c r="C31" i="15" s="1"/>
  <c r="J20" i="15"/>
  <c r="J17" i="15" s="1"/>
  <c r="R6" i="1"/>
  <c r="S19" i="6"/>
  <c r="S27" i="6" s="1"/>
  <c r="I27" i="6"/>
  <c r="R21" i="6"/>
  <c r="R8" i="1" s="1"/>
  <c r="I6" i="6"/>
  <c r="I5" i="6"/>
  <c r="P16" i="1"/>
  <c r="C13" i="12" s="1"/>
  <c r="E42" i="9"/>
  <c r="P5" i="54" s="1"/>
  <c r="B46" i="63" s="1"/>
  <c r="M38" i="9"/>
  <c r="K27" i="9" s="1"/>
  <c r="C14" i="59"/>
  <c r="D15" i="59"/>
  <c r="C14" i="43"/>
  <c r="C17" i="43"/>
  <c r="T6" i="1"/>
  <c r="T9" i="1"/>
  <c r="T10" i="1"/>
  <c r="T11" i="1"/>
  <c r="T12" i="1"/>
  <c r="T13" i="1"/>
  <c r="H27" i="6"/>
  <c r="D16" i="6"/>
  <c r="N69" i="39"/>
  <c r="N71" i="39" s="1"/>
  <c r="M71" i="39"/>
  <c r="J9" i="39" s="1"/>
  <c r="D8" i="66"/>
  <c r="D7" i="66"/>
  <c r="D6" i="66"/>
  <c r="A20" i="64"/>
  <c r="A6" i="51"/>
  <c r="B7" i="63" s="1"/>
  <c r="A6" i="64"/>
  <c r="A20" i="51"/>
  <c r="B15" i="63" s="1"/>
  <c r="N5" i="54"/>
  <c r="B43" i="63" s="1"/>
  <c r="Q77" i="9"/>
  <c r="O78" i="9"/>
  <c r="O79" i="9"/>
  <c r="C6" i="81"/>
  <c r="E49" i="40"/>
  <c r="F49" i="40" s="1"/>
  <c r="E48" i="40"/>
  <c r="F48" i="40" s="1"/>
  <c r="I49" i="40"/>
  <c r="J49" i="40" s="1"/>
  <c r="C45" i="40"/>
  <c r="C44" i="40"/>
  <c r="C14" i="79"/>
  <c r="F35" i="79"/>
  <c r="C13" i="73"/>
  <c r="M21" i="81"/>
  <c r="F35" i="81"/>
  <c r="M21" i="79"/>
  <c r="C16" i="44"/>
  <c r="C19" i="81" l="1"/>
  <c r="C20" i="81" s="1"/>
  <c r="C23" i="81" s="1"/>
  <c r="C19" i="15"/>
  <c r="C20" i="15" s="1"/>
  <c r="C26" i="15" s="1"/>
  <c r="C18" i="75"/>
  <c r="C23" i="75" s="1"/>
  <c r="C18" i="43"/>
  <c r="C19" i="43" s="1"/>
  <c r="C21" i="43" s="1"/>
  <c r="C18" i="74"/>
  <c r="C23" i="74" s="1"/>
  <c r="C35" i="74" s="1"/>
  <c r="C33" i="74" s="1"/>
  <c r="C20" i="44"/>
  <c r="C17" i="44"/>
  <c r="F62" i="81"/>
  <c r="C61" i="81" s="1"/>
  <c r="C58" i="81" s="1"/>
  <c r="C34" i="81"/>
  <c r="J20" i="81"/>
  <c r="J17" i="81" s="1"/>
  <c r="C18" i="79"/>
  <c r="C15" i="79"/>
  <c r="C17" i="73"/>
  <c r="C14" i="73"/>
  <c r="J20" i="79"/>
  <c r="J17" i="79" s="1"/>
  <c r="F62" i="79"/>
  <c r="C61" i="79" s="1"/>
  <c r="C58" i="79" s="1"/>
  <c r="C34" i="79"/>
  <c r="C31" i="79" s="1"/>
  <c r="F9" i="39"/>
  <c r="H9" i="39"/>
  <c r="R27" i="6"/>
  <c r="W9" i="39"/>
  <c r="AC9" i="39"/>
  <c r="V49" i="39" s="1"/>
  <c r="I49" i="39" s="1"/>
  <c r="T16" i="1"/>
  <c r="C17" i="12"/>
  <c r="C14" i="12"/>
  <c r="D14" i="59"/>
  <c r="C13" i="59"/>
  <c r="R16" i="1"/>
  <c r="O81" i="9"/>
  <c r="O80" i="9"/>
  <c r="B60" i="40"/>
  <c r="F60" i="40" s="1"/>
  <c r="B55" i="40"/>
  <c r="F55" i="40" s="1"/>
  <c r="B58" i="40"/>
  <c r="F58" i="40" s="1"/>
  <c r="B59" i="40"/>
  <c r="F59" i="40" s="1"/>
  <c r="B61" i="40"/>
  <c r="F61" i="40" s="1"/>
  <c r="B57" i="40"/>
  <c r="F57" i="40" s="1"/>
  <c r="B56" i="40"/>
  <c r="F56" i="40" s="1"/>
  <c r="B53" i="40"/>
  <c r="F53" i="40" s="1"/>
  <c r="B54" i="40"/>
  <c r="F54" i="40" s="1"/>
  <c r="F62" i="40"/>
  <c r="B2" i="40" s="1"/>
  <c r="C10" i="81"/>
  <c r="C5" i="81" s="1"/>
  <c r="C32" i="81"/>
  <c r="C33" i="81"/>
  <c r="C20" i="43" l="1"/>
  <c r="C23" i="43" s="1"/>
  <c r="C27" i="43" s="1"/>
  <c r="B2" i="43" s="1"/>
  <c r="B5" i="43" s="1"/>
  <c r="C18" i="73"/>
  <c r="C24" i="73" s="1"/>
  <c r="C36" i="73" s="1"/>
  <c r="C34" i="73" s="1"/>
  <c r="C18" i="12"/>
  <c r="C23" i="12" s="1"/>
  <c r="C28" i="12" s="1"/>
  <c r="C26" i="12" s="1"/>
  <c r="C31" i="12" s="1"/>
  <c r="C30" i="12" s="1"/>
  <c r="C26" i="81"/>
  <c r="C29" i="81" s="1"/>
  <c r="C21" i="44"/>
  <c r="C22" i="44" s="1"/>
  <c r="C28" i="44" s="1"/>
  <c r="S9" i="39"/>
  <c r="AA9" i="39"/>
  <c r="R49" i="39" s="1"/>
  <c r="C28" i="74"/>
  <c r="C26" i="74" s="1"/>
  <c r="C31" i="74" s="1"/>
  <c r="C30" i="74" s="1"/>
  <c r="C36" i="74" s="1"/>
  <c r="B2" i="74" s="1"/>
  <c r="I53" i="39"/>
  <c r="J53" i="39" s="1"/>
  <c r="C12" i="59"/>
  <c r="D13" i="59"/>
  <c r="T13" i="59"/>
  <c r="AB9" i="39"/>
  <c r="T49" i="39" s="1"/>
  <c r="G49" i="39" s="1"/>
  <c r="U9" i="39"/>
  <c r="C23" i="15"/>
  <c r="C29" i="15" s="1"/>
  <c r="C38" i="81"/>
  <c r="B5" i="40"/>
  <c r="B4" i="40"/>
  <c r="B3" i="40"/>
  <c r="C31" i="81"/>
  <c r="B5" i="74"/>
  <c r="B4" i="43" l="1"/>
  <c r="B3" i="43"/>
  <c r="C19" i="79"/>
  <c r="C20" i="79" s="1"/>
  <c r="C23" i="79" s="1"/>
  <c r="C13" i="81"/>
  <c r="C55" i="81" s="1"/>
  <c r="C64" i="81" s="1"/>
  <c r="Q50" i="81"/>
  <c r="C56" i="81"/>
  <c r="C63" i="81" s="1"/>
  <c r="C36" i="81"/>
  <c r="J14" i="81"/>
  <c r="J13" i="81" s="1"/>
  <c r="J23" i="81" s="1"/>
  <c r="C25" i="44"/>
  <c r="C31" i="44" s="1"/>
  <c r="Q51" i="44" s="1"/>
  <c r="C29" i="73"/>
  <c r="C27" i="73" s="1"/>
  <c r="C32" i="73" s="1"/>
  <c r="C31" i="73" s="1"/>
  <c r="C37" i="73" s="1"/>
  <c r="B2" i="73" s="1"/>
  <c r="C11" i="59"/>
  <c r="D12" i="59"/>
  <c r="C56" i="15"/>
  <c r="C63" i="15" s="1"/>
  <c r="C36" i="15"/>
  <c r="C13" i="15"/>
  <c r="Q50" i="15"/>
  <c r="J14" i="15"/>
  <c r="G54" i="39"/>
  <c r="H54" i="39" s="1"/>
  <c r="G53" i="39"/>
  <c r="H53" i="39" s="1"/>
  <c r="C35" i="12"/>
  <c r="C33" i="12" s="1"/>
  <c r="C36" i="12" s="1"/>
  <c r="B2" i="12" s="1"/>
  <c r="R50" i="39"/>
  <c r="E49" i="39"/>
  <c r="B4" i="74"/>
  <c r="B3" i="74"/>
  <c r="J22" i="81" l="1"/>
  <c r="J16" i="81" s="1"/>
  <c r="J25" i="81" s="1"/>
  <c r="J35" i="81"/>
  <c r="C37" i="81"/>
  <c r="C30" i="81" s="1"/>
  <c r="C39" i="81" s="1"/>
  <c r="C40" i="81" s="1"/>
  <c r="Q66" i="81" s="1"/>
  <c r="Q76" i="81" s="1"/>
  <c r="Q71" i="81"/>
  <c r="C38" i="44"/>
  <c r="J16" i="44"/>
  <c r="J24" i="44" s="1"/>
  <c r="C57" i="81"/>
  <c r="C66" i="81" s="1"/>
  <c r="C67" i="81" s="1"/>
  <c r="C70" i="81" s="1"/>
  <c r="C15" i="44"/>
  <c r="C39" i="44" s="1"/>
  <c r="C26" i="79"/>
  <c r="C29" i="79" s="1"/>
  <c r="C36" i="79" s="1"/>
  <c r="J9" i="72"/>
  <c r="J13" i="72"/>
  <c r="K13" i="72" s="1"/>
  <c r="B3" i="12"/>
  <c r="B5" i="12"/>
  <c r="B4" i="12"/>
  <c r="E54" i="39"/>
  <c r="F54" i="39" s="1"/>
  <c r="E53" i="39"/>
  <c r="F53" i="39" s="1"/>
  <c r="I54" i="39"/>
  <c r="J54" i="39" s="1"/>
  <c r="J13" i="15"/>
  <c r="J23" i="15" s="1"/>
  <c r="J22" i="15"/>
  <c r="Q71" i="15"/>
  <c r="C55" i="15"/>
  <c r="C64" i="15" s="1"/>
  <c r="C57" i="15" s="1"/>
  <c r="C66" i="15" s="1"/>
  <c r="C67" i="15" s="1"/>
  <c r="J35" i="15"/>
  <c r="C37" i="15"/>
  <c r="C30" i="15" s="1"/>
  <c r="C39" i="15" s="1"/>
  <c r="D11" i="59"/>
  <c r="C10" i="59"/>
  <c r="C49" i="39"/>
  <c r="C50" i="39"/>
  <c r="B5" i="73"/>
  <c r="B3" i="73"/>
  <c r="B4" i="73"/>
  <c r="J15" i="44" l="1"/>
  <c r="J25" i="44" s="1"/>
  <c r="Q48" i="81"/>
  <c r="Q54" i="81" s="1"/>
  <c r="Q70" i="81"/>
  <c r="Q69" i="81" s="1"/>
  <c r="J39" i="81"/>
  <c r="J40" i="81" s="1"/>
  <c r="Q72" i="44"/>
  <c r="Q57" i="81"/>
  <c r="Q63" i="81" s="1"/>
  <c r="B2" i="81"/>
  <c r="C10" i="75" s="1"/>
  <c r="C6" i="75" s="1"/>
  <c r="Q50" i="79"/>
  <c r="C32" i="44"/>
  <c r="C42" i="44" s="1"/>
  <c r="Q71" i="44" s="1"/>
  <c r="J14" i="79"/>
  <c r="J22" i="79" s="1"/>
  <c r="C43" i="44"/>
  <c r="C43" i="81"/>
  <c r="J42" i="81"/>
  <c r="J43" i="81" s="1"/>
  <c r="J16" i="15"/>
  <c r="J25" i="15" s="1"/>
  <c r="C46" i="81"/>
  <c r="C13" i="79"/>
  <c r="J35" i="79" s="1"/>
  <c r="C56" i="79"/>
  <c r="C63" i="79" s="1"/>
  <c r="J8" i="72"/>
  <c r="J12" i="72"/>
  <c r="K12" i="72" s="1"/>
  <c r="B64" i="39"/>
  <c r="F64" i="39" s="1"/>
  <c r="B58" i="39"/>
  <c r="F58" i="39" s="1"/>
  <c r="B61" i="39"/>
  <c r="F61" i="39" s="1"/>
  <c r="B60" i="39"/>
  <c r="F60" i="39" s="1"/>
  <c r="B63" i="39"/>
  <c r="F63" i="39" s="1"/>
  <c r="B62" i="39"/>
  <c r="F62" i="39" s="1"/>
  <c r="B59" i="39"/>
  <c r="F59" i="39" s="1"/>
  <c r="B66" i="39"/>
  <c r="F66" i="39" s="1"/>
  <c r="B65" i="39"/>
  <c r="F65" i="39" s="1"/>
  <c r="F67" i="39"/>
  <c r="B2" i="39" s="1"/>
  <c r="J13" i="79"/>
  <c r="J23" i="79" s="1"/>
  <c r="Q70" i="15"/>
  <c r="Q69" i="15" s="1"/>
  <c r="C40" i="15"/>
  <c r="C46" i="15" s="1"/>
  <c r="J18" i="44"/>
  <c r="J27" i="44" s="1"/>
  <c r="J39" i="15"/>
  <c r="J40" i="15" s="1"/>
  <c r="C9" i="59"/>
  <c r="D10" i="59"/>
  <c r="C70" i="15"/>
  <c r="K9" i="72"/>
  <c r="D17" i="72"/>
  <c r="L51" i="15"/>
  <c r="L51" i="81"/>
  <c r="Q68" i="81" l="1"/>
  <c r="B3" i="81"/>
  <c r="C8" i="75" s="1"/>
  <c r="B14" i="72" s="1"/>
  <c r="I14" i="72" s="1"/>
  <c r="Q70" i="44"/>
  <c r="C44" i="44"/>
  <c r="C45" i="44" s="1"/>
  <c r="L52" i="44" s="1"/>
  <c r="C37" i="79"/>
  <c r="C30" i="79" s="1"/>
  <c r="C39" i="79" s="1"/>
  <c r="J39" i="79" s="1"/>
  <c r="J40" i="79" s="1"/>
  <c r="C55" i="79"/>
  <c r="C64" i="79" s="1"/>
  <c r="C57" i="79" s="1"/>
  <c r="C66" i="79" s="1"/>
  <c r="C67" i="79" s="1"/>
  <c r="C70" i="79" s="1"/>
  <c r="Q71" i="79"/>
  <c r="Q68" i="15"/>
  <c r="B25" i="72"/>
  <c r="C25" i="72" s="1"/>
  <c r="D29" i="72"/>
  <c r="J17" i="72"/>
  <c r="D6" i="92" s="1"/>
  <c r="D25" i="72"/>
  <c r="E25" i="72" s="1"/>
  <c r="J16" i="79"/>
  <c r="J25" i="79" s="1"/>
  <c r="B4" i="39"/>
  <c r="B3" i="39"/>
  <c r="B5" i="39"/>
  <c r="T9" i="59"/>
  <c r="C8" i="59"/>
  <c r="D9" i="59"/>
  <c r="B2" i="15"/>
  <c r="B3" i="15" s="1"/>
  <c r="Q48" i="15"/>
  <c r="Q54" i="15" s="1"/>
  <c r="Q66" i="15"/>
  <c r="Q76" i="15" s="1"/>
  <c r="J42" i="15"/>
  <c r="J43" i="15" s="1"/>
  <c r="C43" i="15"/>
  <c r="Q57" i="15"/>
  <c r="Q63" i="15" s="1"/>
  <c r="D16" i="72"/>
  <c r="K8" i="72"/>
  <c r="C24" i="75"/>
  <c r="L51" i="79"/>
  <c r="B10" i="72" l="1"/>
  <c r="I10" i="72" s="1"/>
  <c r="B2" i="44"/>
  <c r="B4" i="44" s="1"/>
  <c r="C40" i="79"/>
  <c r="B2" i="79" s="1"/>
  <c r="B3" i="79" s="1"/>
  <c r="Q70" i="79"/>
  <c r="Q69" i="79" s="1"/>
  <c r="Q68" i="79"/>
  <c r="L57" i="79"/>
  <c r="Q69" i="44"/>
  <c r="L58" i="44"/>
  <c r="L61" i="44" s="1"/>
  <c r="D8" i="59"/>
  <c r="C7" i="59"/>
  <c r="K17" i="72"/>
  <c r="K51" i="86"/>
  <c r="D24" i="72"/>
  <c r="E24" i="72" s="1"/>
  <c r="D28" i="72"/>
  <c r="B24" i="72"/>
  <c r="C24" i="72" s="1"/>
  <c r="J16" i="72"/>
  <c r="C28" i="75"/>
  <c r="C26" i="75" s="1"/>
  <c r="C31" i="75" s="1"/>
  <c r="C30" i="75" s="1"/>
  <c r="C35" i="75"/>
  <c r="C33" i="75" s="1"/>
  <c r="C6" i="92" l="1"/>
  <c r="L15" i="21"/>
  <c r="B3" i="44"/>
  <c r="B5" i="44"/>
  <c r="C46" i="79"/>
  <c r="J42" i="79"/>
  <c r="J43" i="79" s="1"/>
  <c r="Q66" i="79"/>
  <c r="Q76" i="79" s="1"/>
  <c r="C43" i="79"/>
  <c r="Q48" i="79"/>
  <c r="Q54" i="79" s="1"/>
  <c r="Q57" i="79"/>
  <c r="Q63" i="79" s="1"/>
  <c r="Q68" i="44"/>
  <c r="Q77" i="44" s="1"/>
  <c r="Q59" i="44"/>
  <c r="Q64" i="44" s="1"/>
  <c r="J50" i="21"/>
  <c r="K16" i="72"/>
  <c r="L16" i="72" s="1"/>
  <c r="I16" i="72"/>
  <c r="D14" i="66" s="1"/>
  <c r="C6" i="59"/>
  <c r="D7" i="59"/>
  <c r="C36" i="75"/>
  <c r="B2" i="75" s="1"/>
  <c r="B3" i="75"/>
  <c r="C5" i="59" l="1"/>
  <c r="D6" i="59"/>
  <c r="B5" i="66"/>
  <c r="E14" i="66"/>
  <c r="F14" i="66"/>
  <c r="J10" i="72"/>
  <c r="J14" i="72"/>
  <c r="K14" i="72" s="1"/>
  <c r="B5" i="75"/>
  <c r="B4" i="75"/>
  <c r="C5" i="66" l="1"/>
  <c r="D5" i="66"/>
  <c r="T5" i="59"/>
  <c r="D5" i="59"/>
  <c r="M24" i="46" s="1"/>
  <c r="M24" i="77"/>
  <c r="M24" i="78"/>
  <c r="D18" i="72"/>
  <c r="K10" i="72"/>
  <c r="M24" i="76" l="1"/>
  <c r="D26" i="72"/>
  <c r="E26" i="72" s="1"/>
  <c r="D30" i="72"/>
  <c r="B26" i="72"/>
  <c r="C26" i="72" s="1"/>
  <c r="J18" i="72"/>
  <c r="K52" i="34" l="1"/>
  <c r="F6" i="92"/>
  <c r="K18" i="72"/>
  <c r="I18" i="72"/>
  <c r="I19" i="72" s="1"/>
  <c r="L18" i="72" l="1"/>
  <c r="I20" i="72"/>
  <c r="I2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A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A00-00000F000000}">
      <text>
        <r>
          <rPr>
            <sz val="12"/>
            <color indexed="81"/>
            <rFont val="宋体"/>
            <family val="3"/>
            <charset val="134"/>
          </rPr>
          <t>1.05~1.1</t>
        </r>
        <r>
          <rPr>
            <sz val="9"/>
            <color indexed="81"/>
            <rFont val="宋体"/>
            <family val="3"/>
            <charset val="134"/>
          </rPr>
          <t xml:space="preserve">
</t>
        </r>
      </text>
    </comment>
    <comment ref="E16" authorId="1" shapeId="0" xr:uid="{00000000-0006-0000-1A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A00-00001100000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J23" authorId="1" shapeId="0" xr:uid="{00000000-0006-0000-1A00-000012000000}">
      <text>
        <r>
          <rPr>
            <b/>
            <sz val="16"/>
            <color indexed="81"/>
            <rFont val="宋体"/>
            <family val="3"/>
            <charset val="134"/>
          </rPr>
          <t>工业选“中心城区”</t>
        </r>
      </text>
    </comment>
    <comment ref="B35" authorId="3" shapeId="0" xr:uid="{00000000-0006-0000-1A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color indexed="81"/>
            <rFont val="宋体"/>
            <family val="3"/>
            <charset val="134"/>
          </rPr>
          <t xml:space="preserve">需在此处填写剩余土地年限
</t>
        </r>
      </text>
    </comment>
    <comment ref="C1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A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A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A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A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Z9" authorId="0" shapeId="0" xr:uid="{00000000-0006-0000-1F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F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F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F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F000000}">
      <text>
        <r>
          <rPr>
            <sz val="12"/>
            <color indexed="81"/>
            <rFont val="宋体"/>
            <family val="3"/>
            <charset val="134"/>
          </rPr>
          <t>1.05~1.1</t>
        </r>
        <r>
          <rPr>
            <sz val="9"/>
            <color indexed="81"/>
            <rFont val="宋体"/>
            <family val="3"/>
            <charset val="134"/>
          </rPr>
          <t xml:space="preserve">
</t>
        </r>
      </text>
    </comment>
    <comment ref="E16" authorId="1" shapeId="0" xr:uid="{00000000-0006-0000-1F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F00-000012000000}">
      <text>
        <r>
          <rPr>
            <b/>
            <sz val="16"/>
            <color indexed="81"/>
            <rFont val="宋体"/>
            <family val="3"/>
            <charset val="134"/>
          </rPr>
          <t>工业选“中心城区”</t>
        </r>
      </text>
    </comment>
    <comment ref="B35" authorId="3" shapeId="0" xr:uid="{00000000-0006-0000-1F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color indexed="81"/>
            <rFont val="宋体"/>
            <family val="3"/>
            <charset val="134"/>
          </rPr>
          <t xml:space="preserve">需在此处填写剩余土地年限
</t>
        </r>
      </text>
    </comment>
    <comment ref="C112"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F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F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F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F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F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F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F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F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F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22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Z9" authorId="0" shapeId="0" xr:uid="{00000000-0006-0000-2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3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F000000}">
      <text>
        <r>
          <rPr>
            <sz val="12"/>
            <color indexed="81"/>
            <rFont val="宋体"/>
            <family val="3"/>
            <charset val="134"/>
          </rPr>
          <t>1.05~1.1</t>
        </r>
        <r>
          <rPr>
            <sz val="9"/>
            <color indexed="81"/>
            <rFont val="宋体"/>
            <family val="3"/>
            <charset val="134"/>
          </rPr>
          <t xml:space="preserve">
</t>
        </r>
      </text>
    </comment>
    <comment ref="E16" authorId="1" shapeId="0" xr:uid="{00000000-0006-0000-23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300-000012000000}">
      <text>
        <r>
          <rPr>
            <b/>
            <sz val="16"/>
            <color indexed="81"/>
            <rFont val="宋体"/>
            <family val="3"/>
            <charset val="134"/>
          </rPr>
          <t>工业选“中心城区”</t>
        </r>
      </text>
    </comment>
    <comment ref="B35" authorId="3" shapeId="0" xr:uid="{00000000-0006-0000-23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300-000014000000}">
      <text>
        <r>
          <rPr>
            <sz val="10"/>
            <color indexed="81"/>
            <rFont val="宋体"/>
            <family val="3"/>
            <charset val="134"/>
          </rPr>
          <t xml:space="preserve">需在此处填写剩余土地年限
</t>
        </r>
      </text>
    </comment>
    <comment ref="C112"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3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3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3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3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3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3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3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B00-000004000000}">
      <text>
        <r>
          <rPr>
            <b/>
            <sz val="12"/>
            <color indexed="81"/>
            <rFont val="宋体"/>
            <family val="3"/>
            <charset val="134"/>
          </rPr>
          <t>所属项目品质或
物业管理</t>
        </r>
      </text>
    </comment>
    <comment ref="B90" authorId="0" shapeId="0" xr:uid="{00000000-0006-0000-3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C00-000004000000}">
      <text>
        <r>
          <rPr>
            <b/>
            <sz val="12"/>
            <color indexed="81"/>
            <rFont val="宋体"/>
            <family val="3"/>
            <charset val="134"/>
          </rPr>
          <t>所属项目品质或
物业管理</t>
        </r>
      </text>
    </comment>
    <comment ref="B86" authorId="0" shapeId="0" xr:uid="{00000000-0006-0000-3C00-000005000000}">
      <text>
        <r>
          <rPr>
            <b/>
            <sz val="12"/>
            <color indexed="81"/>
            <rFont val="宋体"/>
            <family val="3"/>
            <charset val="134"/>
          </rPr>
          <t>所属项目品质</t>
        </r>
      </text>
    </comment>
    <comment ref="B89" authorId="0" shapeId="0" xr:uid="{00000000-0006-0000-3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xr:uid="{00000000-0006-0000-1500-00000F000000}">
      <text>
        <r>
          <rPr>
            <sz val="12"/>
            <color rgb="FF000000"/>
            <rFont val="宋体"/>
            <family val="3"/>
            <charset val="134"/>
          </rPr>
          <t>1.05~1.1</t>
        </r>
        <r>
          <rPr>
            <sz val="9"/>
            <color rgb="FF000000"/>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<sst xmlns="http://schemas.openxmlformats.org/spreadsheetml/2006/main" count="10536" uniqueCount="3670">
  <si>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</si>
  <si>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</si>
  <si>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</si>
  <si>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</si>
  <si>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</si>
  <si>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</si>
  <si>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</si>
  <si>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</si>
  <si>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</si>
  <si>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</si>
  <si>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</si>
  <si>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</si>
  <si>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</si>
  <si>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</si>
  <si>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</si>
  <si>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</si>
  <si>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</si>
  <si>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</si>
  <si>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</si>
  <si>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</si>
  <si>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</si>
  <si>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</si>
  <si>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</si>
  <si>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</si>
  <si>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</si>
  <si>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</si>
  <si>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</si>
  <si>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</si>
  <si>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</si>
  <si>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</si>
  <si>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</si>
  <si>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</si>
  <si>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</si>
  <si>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</si>
  <si>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</si>
  <si>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</si>
  <si>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</si>
  <si>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</si>
  <si>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</si>
  <si>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</si>
  <si>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</si>
  <si>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</si>
  <si>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</si>
  <si>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</si>
  <si>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</si>
  <si>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</si>
  <si>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</si>
  <si>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</si>
  <si>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</si>
  <si>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</si>
  <si>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</si>
  <si>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</si>
  <si>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</si>
  <si>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</si>
  <si>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</si>
  <si>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</si>
  <si>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</si>
  <si>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</si>
  <si>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</si>
  <si>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</si>
  <si>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</si>
  <si>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</si>
  <si>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</si>
  <si>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</si>
  <si>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</si>
  <si>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</si>
  <si>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</si>
  <si>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</si>
  <si>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</si>
  <si>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</si>
  <si>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</si>
  <si>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</si>
  <si>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</si>
  <si>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</si>
  <si>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</si>
  <si>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</si>
  <si>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</si>
  <si>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</si>
  <si>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</si>
  <si>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</si>
  <si>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</si>
  <si>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</si>
  <si>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</si>
  <si>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</si>
  <si>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</si>
  <si>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</si>
  <si>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</si>
  <si>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</si>
  <si>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</si>
  <si>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</si>
  <si>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</si>
  <si>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</si>
  <si>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</si>
  <si>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</si>
  <si>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</si>
  <si>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</si>
  <si>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</si>
  <si>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</si>
  <si>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</si>
  <si>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</si>
  <si>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</si>
  <si>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</si>
  <si>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</si>
  <si>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</si>
  <si>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</si>
  <si>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</si>
  <si>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</si>
  <si>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</si>
  <si>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</si>
  <si>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</si>
  <si>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</si>
  <si>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</si>
  <si>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</si>
  <si>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</si>
  <si>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</si>
  <si>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</si>
  <si>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</si>
  <si>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</si>
  <si>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</si>
  <si>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</si>
  <si>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</si>
  <si>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</si>
  <si>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</si>
  <si>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</si>
  <si>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</si>
  <si>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</si>
  <si>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</si>
  <si>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</si>
  <si>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</si>
  <si>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</si>
  <si>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</si>
  <si>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</si>
  <si>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</si>
  <si>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</si>
  <si>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</si>
  <si>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</si>
  <si>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</si>
  <si>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</si>
  <si>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</si>
  <si>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</si>
  <si>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</si>
  <si>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</si>
  <si>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</si>
  <si>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</si>
  <si>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</si>
  <si>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</si>
  <si>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</si>
  <si>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</si>
  <si>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</si>
  <si>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</si>
  <si>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</si>
  <si>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</si>
  <si>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</si>
  <si>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</si>
  <si>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</si>
  <si>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</si>
  <si>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</si>
  <si>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</si>
  <si>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</si>
  <si>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</si>
  <si>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</si>
  <si>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</si>
  <si>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</si>
  <si>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</si>
  <si>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</si>
  <si>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</si>
  <si>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</si>
  <si>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</si>
  <si>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</si>
  <si>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</si>
  <si>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</si>
  <si>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</si>
  <si>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</si>
  <si>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</si>
  <si>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</si>
  <si>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</si>
  <si>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</si>
  <si>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</si>
  <si>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</si>
  <si>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</si>
  <si>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</si>
  <si>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</si>
  <si>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</si>
  <si>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</si>
  <si>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</si>
  <si>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</si>
  <si>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</si>
  <si>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</si>
  <si>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</si>
  <si>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</si>
  <si>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</si>
  <si>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</si>
  <si>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</si>
  <si>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</si>
  <si>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</si>
  <si>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</si>
  <si>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</si>
  <si>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</si>
  <si>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</si>
  <si>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</si>
  <si>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</si>
  <si>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</si>
  <si>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</si>
  <si>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</si>
  <si>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</si>
  <si>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</si>
  <si>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</si>
  <si>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</si>
  <si>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</si>
  <si>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</si>
  <si>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</si>
  <si>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</si>
  <si>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</si>
  <si>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</si>
  <si>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</si>
  <si>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</si>
  <si>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</si>
  <si>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</si>
  <si>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</si>
  <si>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</si>
  <si>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</si>
  <si>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</si>
  <si>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</si>
  <si>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</si>
  <si>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</si>
  <si>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</si>
  <si>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</si>
  <si>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</si>
  <si>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</si>
  <si>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</si>
  <si>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</si>
  <si>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</si>
  <si>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</si>
  <si>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</si>
  <si>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</si>
  <si>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</si>
  <si>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</si>
  <si>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</si>
  <si>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</si>
  <si>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</si>
  <si>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</si>
  <si>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</si>
  <si>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</si>
  <si>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</si>
  <si>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</si>
  <si>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</si>
  <si>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</si>
  <si>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</si>
  <si>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</si>
  <si>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</si>
  <si>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</si>
  <si>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</si>
  <si>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</si>
  <si>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</si>
  <si>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</si>
  <si>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</si>
  <si>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</si>
  <si>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</si>
  <si>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</si>
  <si>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</si>
  <si>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</si>
  <si>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</si>
  <si>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</si>
  <si>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</si>
  <si>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</si>
  <si>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</si>
  <si>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</si>
  <si>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</si>
  <si>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</si>
  <si>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</si>
  <si>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</si>
  <si>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</si>
  <si>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</si>
  <si>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</si>
  <si>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</si>
  <si>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</si>
  <si>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</si>
  <si>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</si>
  <si>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</si>
  <si>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</si>
  <si>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</si>
  <si>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</si>
  <si>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</si>
  <si>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</si>
  <si>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</si>
  <si>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</si>
  <si>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</si>
  <si>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</si>
  <si>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</si>
  <si>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</si>
  <si>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</si>
  <si>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</si>
  <si>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</si>
  <si>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</si>
  <si>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</si>
  <si>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</si>
  <si>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</si>
  <si>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</si>
  <si>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</si>
  <si>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</si>
  <si>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</si>
  <si>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</si>
  <si>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</si>
  <si>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</si>
  <si>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</si>
  <si>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</si>
  <si>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</si>
  <si>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</si>
  <si>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</si>
  <si>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</si>
  <si>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</si>
  <si>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</si>
  <si>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</si>
  <si>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</si>
  <si>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</si>
  <si>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</si>
  <si>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</si>
  <si>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</si>
  <si>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</si>
  <si>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</si>
  <si>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</si>
  <si>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</si>
  <si>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</si>
  <si>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</si>
  <si>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</si>
  <si>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</si>
  <si>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</si>
  <si>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</si>
  <si>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</si>
  <si>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</si>
  <si>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</si>
  <si>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</si>
  <si>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</si>
  <si>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</si>
  <si>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</si>
  <si>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</si>
  <si>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</si>
  <si>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</si>
  <si>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</si>
  <si>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</si>
  <si>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</si>
  <si>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</si>
  <si>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</si>
  <si>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</si>
  <si>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</si>
  <si>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</si>
  <si>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</si>
  <si>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</si>
  <si>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</si>
  <si>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</si>
  <si>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</si>
  <si>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</si>
  <si>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</si>
  <si>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</si>
  <si>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</si>
  <si>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</si>
  <si>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</si>
  <si>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</si>
  <si>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</si>
  <si>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</si>
  <si>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</si>
  <si>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</si>
  <si>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</si>
  <si>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</si>
  <si>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</si>
  <si>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</si>
  <si>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</si>
  <si>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</si>
  <si>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</si>
  <si>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</si>
  <si>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</si>
  <si>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</si>
  <si>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</si>
  <si>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</si>
  <si>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</si>
  <si>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</si>
  <si>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</si>
  <si>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</si>
  <si>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</si>
  <si>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</si>
  <si>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</si>
  <si>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</si>
  <si>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</si>
  <si>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</si>
  <si>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</si>
  <si>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</si>
  <si>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</si>
  <si>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</si>
  <si>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</si>
  <si>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</si>
  <si>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</si>
  <si>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</si>
  <si>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</si>
  <si>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</si>
  <si>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</si>
  <si>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</si>
  <si>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</si>
  <si>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</si>
  <si>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</si>
  <si>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</si>
  <si>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</si>
  <si>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</si>
  <si>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</si>
  <si>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</si>
  <si>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</si>
  <si>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</si>
  <si>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</si>
  <si>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</si>
  <si>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</si>
  <si>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</si>
  <si>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</si>
  <si>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</si>
  <si>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</si>
  <si>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</si>
  <si>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</si>
  <si>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</si>
  <si>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</si>
  <si>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</si>
  <si>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</si>
  <si>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</si>
  <si>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</si>
  <si>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</si>
  <si>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</si>
  <si>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</si>
  <si>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</si>
  <si>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</si>
  <si>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</si>
  <si>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</si>
  <si>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</si>
  <si>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</si>
  <si>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</si>
  <si>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</si>
  <si>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</si>
  <si>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</si>
  <si>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</si>
  <si>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</si>
  <si>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</si>
  <si>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</si>
  <si>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</si>
  <si>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</si>
  <si>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</si>
  <si>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</si>
  <si>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</si>
  <si>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</si>
  <si>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</si>
  <si>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</si>
  <si>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</si>
  <si>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</si>
  <si>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</si>
  <si>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</si>
  <si>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</si>
  <si>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</si>
  <si>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</si>
  <si>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</si>
  <si>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</si>
  <si>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</si>
  <si>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</si>
  <si>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</si>
  <si>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</si>
  <si>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</si>
  <si>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</si>
  <si>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</si>
  <si>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</si>
  <si>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</si>
  <si>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</si>
  <si>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</si>
  <si>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</si>
  <si>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</si>
  <si>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</si>
  <si>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</si>
  <si>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</si>
  <si>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</si>
  <si>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</si>
  <si>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</si>
  <si>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</si>
  <si>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</si>
  <si>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</si>
  <si>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</si>
  <si>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</si>
  <si>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</si>
  <si>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</si>
  <si>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</si>
  <si>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</si>
  <si>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</si>
  <si>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</si>
  <si>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</si>
  <si>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</si>
  <si>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</si>
  <si>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</si>
  <si>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</si>
  <si>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</si>
  <si>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</si>
  <si>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</si>
  <si>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</si>
  <si>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</si>
  <si>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</si>
  <si>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</si>
  <si>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</si>
  <si>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</si>
  <si>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</si>
  <si>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</si>
  <si>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</si>
  <si>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</si>
  <si>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</si>
  <si>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</si>
  <si>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</si>
  <si>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</si>
  <si>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</si>
  <si>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</si>
  <si>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</si>
  <si>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</si>
  <si>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</si>
  <si>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</si>
  <si>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</si>
  <si>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</si>
  <si>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</si>
  <si>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</si>
  <si>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</si>
  <si>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</si>
  <si>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</si>
  <si>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</si>
  <si>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</si>
  <si>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</si>
  <si>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</si>
  <si>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</si>
  <si>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</si>
  <si>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</si>
  <si>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</si>
  <si>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</si>
  <si>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</si>
  <si>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</si>
  <si>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</si>
  <si>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</si>
  <si>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</si>
  <si>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</si>
  <si>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</si>
  <si>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</si>
  <si>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</si>
  <si>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</si>
  <si>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</si>
  <si>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</si>
  <si>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</si>
  <si>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</si>
  <si>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</si>
  <si>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</si>
  <si>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</si>
  <si>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</si>
  <si>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</si>
  <si>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</si>
  <si>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</si>
  <si>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</si>
  <si>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</si>
  <si>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</si>
  <si>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</si>
  <si>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</si>
  <si>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</si>
  <si>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</si>
  <si>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</si>
  <si>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</si>
  <si>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</si>
  <si>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</si>
  <si>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</si>
  <si>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</si>
  <si>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</si>
  <si>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</si>
  <si>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</si>
  <si>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</si>
  <si>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</si>
  <si>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</si>
  <si>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</si>
  <si>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</si>
  <si>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</si>
  <si>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</si>
  <si>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</si>
  <si>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</si>
  <si>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</si>
  <si>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</si>
  <si>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</si>
  <si>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</si>
  <si>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</si>
  <si>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</si>
  <si>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</si>
  <si>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</si>
  <si>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</si>
  <si>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</si>
  <si>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</si>
  <si>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</si>
  <si>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</si>
  <si>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</si>
  <si>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</si>
  <si>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</si>
  <si>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</si>
  <si>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</si>
  <si>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</si>
  <si>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</si>
  <si>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</si>
  <si>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</si>
  <si>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</si>
  <si>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</si>
  <si>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</si>
  <si>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</si>
  <si>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</si>
  <si>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</si>
  <si>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</si>
  <si>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</si>
  <si>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</si>
  <si>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</si>
  <si>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</si>
  <si>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</si>
  <si>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</si>
  <si>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</si>
  <si>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</si>
  <si>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</si>
  <si>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</si>
  <si>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</si>
  <si>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</si>
  <si>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</si>
  <si>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</si>
  <si>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</si>
  <si>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</si>
  <si>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</si>
  <si>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</si>
  <si>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</si>
  <si>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</si>
  <si>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</si>
  <si>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</si>
  <si>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</si>
  <si>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</si>
  <si>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</si>
  <si>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</si>
  <si>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</si>
  <si>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</si>
  <si>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</si>
  <si>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</si>
  <si>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</si>
  <si>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</si>
  <si>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</si>
  <si>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</si>
  <si>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</si>
  <si>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</si>
  <si>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</si>
  <si>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</si>
  <si>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</si>
  <si>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</si>
  <si>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</si>
  <si>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</si>
  <si>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</si>
  <si>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</si>
  <si>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</si>
  <si>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</si>
  <si>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</si>
  <si>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</si>
  <si>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</si>
  <si>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</si>
  <si>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</si>
  <si>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</si>
  <si>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</si>
  <si>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</si>
  <si>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</si>
  <si>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</si>
  <si>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</si>
  <si>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</si>
  <si>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</si>
  <si>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</si>
  <si>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</si>
  <si>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</si>
  <si>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</si>
  <si>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</si>
  <si>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</si>
  <si>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</si>
  <si>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</si>
  <si>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</si>
  <si>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</si>
  <si>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</si>
  <si>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</si>
  <si>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</si>
  <si>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</si>
  <si>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</si>
  <si>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</si>
  <si>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</si>
  <si>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</si>
  <si>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</si>
  <si>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</si>
  <si>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</si>
  <si>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</si>
  <si>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</si>
  <si>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</si>
  <si>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</si>
  <si>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</si>
  <si>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</si>
  <si>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</si>
  <si>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</si>
  <si>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</si>
  <si>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</si>
  <si>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</si>
  <si>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</si>
  <si>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</si>
  <si>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</si>
  <si>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</si>
  <si>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</si>
  <si>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</si>
  <si>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</si>
  <si>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</si>
  <si>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</si>
  <si>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</si>
  <si>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</si>
  <si>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</si>
  <si>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</si>
  <si>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</si>
  <si>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</si>
  <si>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</si>
  <si>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</si>
  <si>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</si>
  <si>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</si>
  <si>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</si>
  <si>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</si>
  <si>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</si>
  <si>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</si>
  <si>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</si>
  <si>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</si>
  <si>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</si>
  <si>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</si>
  <si>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</si>
  <si>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</si>
  <si>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</si>
  <si>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</si>
  <si>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</si>
  <si>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</si>
  <si>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</si>
  <si>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</si>
  <si>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</si>
  <si>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</si>
  <si>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</si>
  <si>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</si>
  <si>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</si>
  <si>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</si>
  <si>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</si>
  <si>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</si>
  <si>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</si>
  <si>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</si>
  <si>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</si>
  <si>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</si>
  <si>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</si>
  <si>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</si>
  <si>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</si>
  <si>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</si>
  <si>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</si>
  <si>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</si>
  <si>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</si>
  <si>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</si>
  <si>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</si>
  <si>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</si>
  <si>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</si>
  <si>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</si>
  <si>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</si>
  <si>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</si>
  <si>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</si>
  <si>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</si>
  <si>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</si>
  <si>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</si>
  <si>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</si>
  <si>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</si>
  <si>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</si>
  <si>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</si>
  <si>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</si>
  <si>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</si>
  <si>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</si>
  <si>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</si>
  <si>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</si>
  <si>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</si>
  <si>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</si>
  <si>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</si>
  <si>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</si>
  <si>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</si>
  <si>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</si>
  <si>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</si>
  <si>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</si>
  <si>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</si>
  <si>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</si>
  <si>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</si>
  <si>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</si>
  <si>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</si>
  <si>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</si>
  <si>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</si>
  <si>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</si>
  <si>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</si>
  <si>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</si>
  <si>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</si>
  <si>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</si>
  <si>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</si>
  <si>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</si>
  <si>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</si>
  <si>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</si>
  <si>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</si>
  <si>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</si>
  <si>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</si>
  <si>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</si>
  <si>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</si>
  <si>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</si>
  <si>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</si>
  <si>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</si>
  <si>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</si>
  <si>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</si>
  <si>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</si>
  <si>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</si>
  <si>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</si>
  <si>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</si>
  <si>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</si>
  <si>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</si>
  <si>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</si>
  <si>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</si>
  <si>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</si>
  <si>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</si>
  <si>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</si>
  <si>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</si>
  <si>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</si>
  <si>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</si>
  <si>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</si>
  <si>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</si>
  <si>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</si>
  <si>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</si>
  <si>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</si>
  <si>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</si>
  <si>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</si>
  <si>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</si>
  <si>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</si>
  <si>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</si>
  <si>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</si>
  <si>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</si>
  <si>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</si>
  <si>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</si>
  <si>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</si>
  <si>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</si>
  <si>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</si>
  <si>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</si>
  <si>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</si>
  <si>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</si>
  <si>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</si>
  <si>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</si>
  <si>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</si>
  <si>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</si>
  <si>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</si>
  <si>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</si>
  <si>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</si>
  <si>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</si>
  <si>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</si>
  <si>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</si>
  <si>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</si>
  <si>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</si>
  <si>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</si>
  <si>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</si>
  <si>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</si>
  <si>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</si>
  <si>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</si>
  <si>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</si>
  <si>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</si>
  <si>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</si>
  <si>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</si>
  <si>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</si>
  <si>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</si>
  <si>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</si>
  <si>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</si>
  <si>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</si>
  <si>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</si>
  <si>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</si>
  <si>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</si>
  <si>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</si>
  <si>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</si>
  <si>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</si>
  <si>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</si>
  <si>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</si>
  <si>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</si>
  <si>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</si>
  <si>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</si>
  <si>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</si>
  <si>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</si>
  <si>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</si>
  <si>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</si>
  <si>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</si>
  <si>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</si>
  <si>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</si>
  <si>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</si>
  <si>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</si>
  <si>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</si>
  <si>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</si>
  <si>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</si>
  <si>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</si>
  <si>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</si>
  <si>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</si>
  <si>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</si>
  <si>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</si>
  <si>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</si>
  <si>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</si>
  <si>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</si>
  <si>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</si>
  <si>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</si>
  <si>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</si>
  <si>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</si>
  <si>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</si>
  <si>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</si>
  <si>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</si>
  <si>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</si>
  <si>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</si>
  <si>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</si>
  <si>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</si>
  <si>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</si>
  <si>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</si>
  <si>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</si>
  <si>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</si>
  <si>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</si>
  <si>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</si>
  <si>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</si>
  <si>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</si>
  <si>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</si>
  <si>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</si>
  <si>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</si>
  <si>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</si>
  <si>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</si>
  <si>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</si>
  <si>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</si>
  <si>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</si>
  <si>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</si>
  <si>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</si>
  <si>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</si>
  <si>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</si>
  <si>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</si>
  <si>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</si>
  <si>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</si>
  <si>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</si>
  <si>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</si>
  <si>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</si>
  <si>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</si>
  <si>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</si>
  <si>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</si>
  <si>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</si>
  <si>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</si>
  <si>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</si>
  <si>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</si>
  <si>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</si>
  <si>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</si>
  <si>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</si>
  <si>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</si>
  <si>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</si>
  <si>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</si>
  <si>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</si>
  <si>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</si>
  <si>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</si>
  <si>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</si>
  <si>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</si>
  <si>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</si>
  <si>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</si>
  <si>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</si>
  <si>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</si>
  <si>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</si>
  <si>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</si>
  <si>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</si>
  <si>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</si>
  <si>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</si>
  <si>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</si>
  <si>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</si>
  <si>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</si>
  <si>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</si>
  <si>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</si>
  <si>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</si>
  <si>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</si>
  <si>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</si>
  <si>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</si>
  <si>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</si>
  <si>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</si>
  <si>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</si>
  <si>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</si>
  <si>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</si>
  <si>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</si>
  <si>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</si>
  <si>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</si>
  <si>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</si>
  <si>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</si>
  <si>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</si>
  <si>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</si>
  <si>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</si>
  <si>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</si>
  <si>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</si>
  <si>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</si>
  <si>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</si>
  <si>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</si>
  <si>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</si>
  <si>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</si>
  <si>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</si>
  <si>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</si>
  <si>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</si>
  <si>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</si>
  <si>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</si>
  <si>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</si>
  <si>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</si>
  <si>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</si>
  <si>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</si>
  <si>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</si>
  <si>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</si>
  <si>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</si>
  <si>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</si>
  <si>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</si>
  <si>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</si>
  <si>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</si>
  <si>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</si>
  <si>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</si>
  <si>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</si>
  <si>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</si>
  <si>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</si>
  <si>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</si>
  <si>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</si>
  <si>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</si>
  <si>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</si>
  <si>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</si>
  <si>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</si>
  <si>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</si>
  <si>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</si>
  <si>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</si>
  <si>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</si>
  <si>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</si>
  <si>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</si>
  <si>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</si>
  <si>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</si>
  <si>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</si>
  <si>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</si>
  <si>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</si>
  <si>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</si>
  <si>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</si>
  <si>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</si>
  <si>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</si>
  <si>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</si>
  <si>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</si>
  <si>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</si>
  <si>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</si>
  <si>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</si>
  <si>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</si>
  <si>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</si>
  <si>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</si>
  <si>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</si>
  <si>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</si>
  <si>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</si>
  <si>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</si>
  <si>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</si>
  <si>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</si>
  <si>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</si>
  <si>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</si>
  <si>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</si>
  <si>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</si>
  <si>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</si>
  <si>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</si>
  <si>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</si>
  <si>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</si>
  <si>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</si>
  <si>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</si>
  <si>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</si>
  <si>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</si>
  <si>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</si>
  <si>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</si>
  <si>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</si>
  <si>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</si>
  <si>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</si>
  <si>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</si>
  <si>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</si>
  <si>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</si>
  <si>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</si>
  <si>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</si>
  <si>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</si>
  <si>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</si>
  <si>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</si>
  <si>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</si>
  <si>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</si>
  <si>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</si>
  <si>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</si>
  <si>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</si>
  <si>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</si>
  <si>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</si>
  <si>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</si>
  <si>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</si>
  <si>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</si>
  <si>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</si>
  <si>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</si>
  <si>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</si>
  <si>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</si>
  <si>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</si>
  <si>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</si>
  <si>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</si>
  <si>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</si>
  <si>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</si>
  <si>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</si>
  <si>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</si>
  <si>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</si>
  <si>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</si>
  <si>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</si>
  <si>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</si>
  <si>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</si>
  <si>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</si>
  <si>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</si>
  <si>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</si>
  <si>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</si>
  <si>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</si>
  <si>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</si>
  <si>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</si>
  <si>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</si>
  <si>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</si>
  <si>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</si>
  <si>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</si>
  <si>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</si>
  <si>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</si>
  <si>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</si>
  <si>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</si>
  <si>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</si>
  <si>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</si>
  <si>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</si>
  <si>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</si>
  <si>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</si>
  <si>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</si>
  <si>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</si>
  <si>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</si>
  <si>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</si>
  <si>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</si>
  <si>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</si>
  <si>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</si>
  <si>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</si>
  <si>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</si>
  <si>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</si>
  <si>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</si>
  <si>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</si>
  <si>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</si>
  <si>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</si>
  <si>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</si>
  <si>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</si>
  <si>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</si>
  <si>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</si>
  <si>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</si>
  <si>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</si>
  <si>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</si>
  <si>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</si>
  <si>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</si>
  <si>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</si>
  <si>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</si>
  <si>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</si>
  <si>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</si>
  <si>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</si>
  <si>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</si>
  <si>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</si>
  <si>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</si>
  <si>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</si>
  <si>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</si>
  <si>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</si>
  <si>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</si>
  <si>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</si>
  <si>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</si>
  <si>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</si>
  <si>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</si>
  <si>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</si>
  <si>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</si>
  <si>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</si>
  <si>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</si>
  <si>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</si>
  <si>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</si>
  <si>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</si>
  <si>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</si>
  <si>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</si>
  <si>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</si>
  <si>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</si>
  <si>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</si>
  <si>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</si>
  <si>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</si>
  <si>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</si>
  <si>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</si>
  <si>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</si>
  <si>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</si>
  <si>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</si>
  <si>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</si>
  <si>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</si>
  <si>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</si>
  <si>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</si>
  <si>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</si>
  <si>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</si>
  <si>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</si>
  <si>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</si>
  <si>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</si>
  <si>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</si>
  <si>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</si>
  <si>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</si>
  <si>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</si>
  <si>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</si>
  <si>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</si>
  <si>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</si>
  <si>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</si>
  <si>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</si>
  <si>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</si>
  <si>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</si>
  <si>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</si>
  <si>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</si>
  <si>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</si>
  <si>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</si>
  <si>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</si>
  <si>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</si>
  <si>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</si>
  <si>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</si>
  <si>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</si>
  <si>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</si>
  <si>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</si>
  <si>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</si>
  <si>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</si>
  <si>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</si>
  <si>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</si>
  <si>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</si>
  <si>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</si>
  <si>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</si>
  <si>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</si>
  <si>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</si>
  <si>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</si>
  <si>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</si>
  <si>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</si>
  <si>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</si>
  <si>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</si>
  <si>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</si>
  <si>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</si>
  <si>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</si>
  <si>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</si>
  <si>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</si>
  <si>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</si>
  <si>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</si>
  <si>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</si>
  <si>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</si>
  <si>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</si>
  <si>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</si>
  <si>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</si>
  <si>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</si>
  <si>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</si>
  <si>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</si>
  <si>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</si>
  <si>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</si>
  <si>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</si>
  <si>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</si>
  <si>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</si>
  <si>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</si>
  <si>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</si>
  <si>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</si>
  <si>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</si>
  <si>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</si>
  <si>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</si>
  <si>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</si>
  <si>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</si>
  <si>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</si>
  <si>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</si>
  <si>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</si>
  <si>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</si>
  <si>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</si>
  <si>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</si>
  <si>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</si>
  <si>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</si>
  <si>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</si>
  <si>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</si>
  <si>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</si>
  <si>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</si>
  <si>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</si>
  <si>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</si>
  <si>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</si>
  <si>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</si>
  <si>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</si>
  <si>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</si>
  <si>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</si>
  <si>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</si>
  <si>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</si>
  <si>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</si>
  <si>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</si>
  <si>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</si>
  <si>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</si>
  <si>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</si>
  <si>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</si>
  <si>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</si>
  <si>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</si>
  <si>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</si>
  <si>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</si>
  <si>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</si>
  <si>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</si>
  <si>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</si>
  <si>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</si>
  <si>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</si>
  <si>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</si>
  <si>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</si>
  <si>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</si>
  <si>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</si>
  <si>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</si>
  <si>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</si>
  <si>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</si>
  <si>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</si>
  <si>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</si>
  <si>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</si>
  <si>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</si>
  <si>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</si>
  <si>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</si>
  <si>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</si>
  <si>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</si>
  <si>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</si>
  <si>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</si>
  <si>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</si>
  <si>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</si>
  <si>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</si>
  <si>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</si>
  <si>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</si>
  <si>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</si>
  <si>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</si>
  <si>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</si>
  <si>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</si>
  <si>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</si>
  <si>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</si>
  <si>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</si>
  <si>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</si>
  <si>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</si>
  <si>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</si>
  <si>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</si>
  <si>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</si>
  <si>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</si>
  <si>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</si>
  <si>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</si>
  <si>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</si>
  <si>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</si>
  <si>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</si>
  <si>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</si>
  <si>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</si>
  <si>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</si>
  <si>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</si>
  <si>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</si>
  <si>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</si>
  <si>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</si>
  <si>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</si>
  <si>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</si>
  <si>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</si>
  <si>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</si>
  <si>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</si>
  <si>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</si>
  <si>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</si>
  <si>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</si>
  <si>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</si>
  <si>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</si>
  <si>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</si>
  <si>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</si>
  <si>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</si>
  <si>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</si>
  <si>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</si>
  <si>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</si>
  <si>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</si>
  <si>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</si>
  <si>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</si>
  <si>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</si>
  <si>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</si>
  <si>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</si>
  <si>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</si>
  <si>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</si>
  <si>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</si>
  <si>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</si>
  <si>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</si>
  <si>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</si>
  <si>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</si>
  <si>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</si>
  <si>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</si>
  <si>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</si>
  <si>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</si>
  <si>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</si>
  <si>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</si>
  <si>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</si>
  <si>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</si>
  <si>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</si>
  <si>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</si>
  <si>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</si>
  <si>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</si>
  <si>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</si>
  <si>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</si>
  <si>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</si>
  <si>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</si>
  <si>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</si>
  <si>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</si>
  <si>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</si>
  <si>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</si>
  <si>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</si>
  <si>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</si>
  <si>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</si>
  <si>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</si>
  <si>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</si>
  <si>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</si>
  <si>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</si>
  <si>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</si>
  <si>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</si>
  <si>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</si>
  <si>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</si>
  <si>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</si>
  <si>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</si>
  <si>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</si>
  <si>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</si>
  <si>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</si>
  <si>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</si>
  <si>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</si>
  <si>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</si>
  <si>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</si>
  <si>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</si>
  <si>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</si>
  <si>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</si>
  <si>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</si>
  <si>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</si>
  <si>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</si>
  <si>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</si>
  <si>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</si>
  <si>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</si>
  <si>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</si>
  <si>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</si>
  <si>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</si>
  <si>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</si>
  <si>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</si>
  <si>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</si>
  <si>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</si>
  <si>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</si>
  <si>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</si>
  <si>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</si>
  <si>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</si>
  <si>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</si>
  <si>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</si>
  <si>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</si>
  <si>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</si>
  <si>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</si>
  <si>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</si>
  <si>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</si>
  <si>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</si>
  <si>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</si>
  <si>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</si>
  <si>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</si>
  <si>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</si>
  <si>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</si>
  <si>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</si>
  <si>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</si>
  <si>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</si>
  <si>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</si>
  <si>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</si>
  <si>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</si>
  <si>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</si>
  <si>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</si>
  <si>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</si>
  <si>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</si>
  <si>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</si>
  <si>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</si>
  <si>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</si>
  <si>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</si>
  <si>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</si>
  <si>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</si>
  <si>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</si>
  <si>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</si>
  <si>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</si>
  <si>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</si>
  <si>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</si>
  <si>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</si>
  <si>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</si>
  <si>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</si>
  <si>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</si>
  <si>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</si>
  <si>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</si>
  <si>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</si>
  <si>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</si>
  <si>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</si>
  <si>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</si>
  <si>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</si>
  <si>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</si>
  <si>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</si>
  <si>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</si>
  <si>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</si>
  <si>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</si>
  <si>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</si>
  <si>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</si>
  <si>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</si>
  <si>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</si>
  <si>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</si>
  <si>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</si>
  <si>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</si>
  <si>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</si>
  <si>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</si>
  <si>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</si>
  <si>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</si>
  <si>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</si>
  <si>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</si>
  <si>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</si>
  <si>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</si>
  <si>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</si>
  <si>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</si>
  <si>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</si>
  <si>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</si>
  <si>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</si>
  <si>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</si>
  <si>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</si>
  <si>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</si>
  <si>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</si>
  <si>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</si>
  <si>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</si>
  <si>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</si>
  <si>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</si>
  <si>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</si>
  <si>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</si>
  <si>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</si>
  <si>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</si>
  <si>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</si>
  <si>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</si>
  <si>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</si>
  <si>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</si>
  <si>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</si>
  <si>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</si>
  <si>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</si>
  <si>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</si>
  <si>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</si>
  <si>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</si>
  <si>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</si>
  <si>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</si>
  <si>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</si>
  <si>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</si>
  <si>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</si>
  <si>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</si>
  <si>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</si>
  <si>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</si>
  <si>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</si>
  <si>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</si>
  <si>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</si>
  <si>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</si>
  <si>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</si>
  <si>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</si>
  <si>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</si>
  <si>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</si>
  <si>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</si>
  <si>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</si>
  <si>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</si>
  <si>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</si>
  <si>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</si>
  <si>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</si>
  <si>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</si>
  <si>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</si>
  <si>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</si>
  <si>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</si>
  <si>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</si>
  <si>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</si>
  <si>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</si>
  <si>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</si>
  <si>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</si>
  <si>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</si>
  <si>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</si>
  <si>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</si>
  <si>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</si>
  <si>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</si>
  <si>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</si>
  <si>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</si>
  <si>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</si>
  <si>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</si>
  <si>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</si>
  <si>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</si>
  <si>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</si>
  <si>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</si>
  <si>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</si>
  <si>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</si>
  <si>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</si>
  <si>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</si>
  <si>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</si>
  <si>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</si>
  <si>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</si>
  <si>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</si>
  <si>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</si>
  <si>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</si>
  <si>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</si>
  <si>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</si>
  <si>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</si>
  <si>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</si>
  <si>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</si>
  <si>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</si>
  <si>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</si>
  <si>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</si>
  <si>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</si>
  <si>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</si>
  <si>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</si>
  <si>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</si>
  <si>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</si>
  <si>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</si>
  <si>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</si>
  <si>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</si>
  <si>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</si>
  <si>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</si>
  <si>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</si>
  <si>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</si>
  <si>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</si>
  <si>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</si>
  <si>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</si>
  <si>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</si>
  <si>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</si>
  <si>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</si>
  <si>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</si>
  <si>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</si>
  <si>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</si>
  <si>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</si>
  <si>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</si>
  <si>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</si>
  <si>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</si>
  <si>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</si>
  <si>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</si>
  <si>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</si>
  <si>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</si>
  <si>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</si>
  <si>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</si>
  <si>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</si>
  <si>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</si>
  <si>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</si>
  <si>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</si>
  <si>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</si>
  <si>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</si>
  <si>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</si>
  <si>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</si>
  <si>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</si>
  <si>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</si>
  <si>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</si>
  <si>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</si>
  <si>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</si>
  <si>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</si>
  <si>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</si>
  <si>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</si>
  <si>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</si>
  <si>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</si>
  <si>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</si>
  <si>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</si>
  <si>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</si>
  <si>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</si>
  <si>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</si>
  <si>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</si>
  <si>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</si>
  <si>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</si>
  <si>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</si>
  <si>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</si>
  <si>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</si>
  <si>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</si>
  <si>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</si>
  <si>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</si>
  <si>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</si>
  <si>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</si>
  <si>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</si>
  <si>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</si>
  <si>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</si>
  <si>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</si>
  <si>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</si>
  <si>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</si>
  <si>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</si>
  <si>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</si>
  <si>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</si>
  <si>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</si>
  <si>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</si>
  <si>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</si>
  <si>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</si>
  <si>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</si>
  <si>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</si>
  <si>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</si>
  <si>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</si>
  <si>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</si>
  <si>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</si>
  <si>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</si>
  <si>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</si>
  <si>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</si>
  <si>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</si>
  <si>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</si>
  <si>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</si>
  <si>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</si>
  <si>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</si>
  <si>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</si>
  <si>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</si>
  <si>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</si>
  <si>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</si>
  <si>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</si>
  <si>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</si>
  <si>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</si>
  <si>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</si>
  <si>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</si>
  <si>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</si>
  <si>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</si>
  <si>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</si>
  <si>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</si>
  <si>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</si>
  <si>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</si>
  <si>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</si>
  <si>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</si>
  <si>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</si>
  <si>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</si>
  <si>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</si>
  <si>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</si>
  <si>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</si>
  <si>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</si>
  <si>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</si>
  <si>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</si>
  <si>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</si>
  <si>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</si>
  <si>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</si>
  <si>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</si>
  <si>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</si>
  <si>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</si>
  <si>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</si>
  <si>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</si>
  <si>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</si>
  <si>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</si>
  <si>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</si>
  <si>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</si>
  <si>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</si>
  <si>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</si>
  <si>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</si>
  <si>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</si>
  <si>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</si>
  <si>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</si>
  <si>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</si>
  <si>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</si>
  <si>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</si>
  <si>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</si>
  <si>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</si>
  <si>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</si>
  <si>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</si>
  <si>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</si>
  <si>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</si>
  <si>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</si>
  <si>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</si>
  <si>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</si>
  <si>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</si>
  <si>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</si>
  <si>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</si>
  <si>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</si>
  <si>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</si>
  <si>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</si>
  <si>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</si>
  <si>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</si>
  <si>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</si>
  <si>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</si>
  <si>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</si>
  <si>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</si>
  <si>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</si>
  <si>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</si>
  <si>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</si>
  <si>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</si>
  <si>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</si>
  <si>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</si>
  <si>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</si>
  <si>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</si>
  <si>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</si>
  <si>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</si>
  <si>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</si>
  <si>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</si>
  <si>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</si>
  <si>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</si>
  <si>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</si>
  <si>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</si>
  <si>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</si>
  <si>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</si>
  <si>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</si>
  <si>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</si>
  <si>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</si>
  <si>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</si>
  <si>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</si>
  <si>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</si>
  <si>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</si>
  <si>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</si>
  <si>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</si>
  <si>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</si>
  <si>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</si>
  <si>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</si>
  <si>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</si>
  <si>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</si>
  <si>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</si>
  <si>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</si>
  <si>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</si>
  <si>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</si>
  <si>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</si>
  <si>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</si>
  <si>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</si>
  <si>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</si>
  <si>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</si>
  <si>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</si>
  <si>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</si>
  <si>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</si>
  <si>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</si>
  <si>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</si>
  <si>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</si>
  <si>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</si>
  <si>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</si>
  <si>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</si>
  <si>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</si>
  <si>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</si>
  <si>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</si>
  <si>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</si>
  <si>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</si>
  <si>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</si>
  <si>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</si>
  <si>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</si>
  <si>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</si>
  <si>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</si>
  <si>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</si>
  <si>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</si>
  <si>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</si>
  <si>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</si>
  <si>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</si>
  <si>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</si>
  <si>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</si>
  <si>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</si>
  <si>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</si>
  <si>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</si>
  <si>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</si>
  <si>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</si>
  <si>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</si>
  <si>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</si>
  <si>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</si>
  <si>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</si>
  <si>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</si>
  <si>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</si>
  <si>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</si>
  <si>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</si>
  <si>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</si>
  <si>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</si>
  <si>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</si>
  <si>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</si>
  <si>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</si>
  <si>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</si>
  <si>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</si>
  <si>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</si>
  <si>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</si>
  <si>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</si>
  <si>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</si>
  <si>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</si>
  <si>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</si>
  <si>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</si>
  <si>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</si>
  <si>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</si>
  <si>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</si>
  <si>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</si>
  <si>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</si>
  <si>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</si>
  <si>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</si>
  <si>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</si>
  <si>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</si>
  <si>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</si>
  <si>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</si>
  <si>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</si>
  <si>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</si>
  <si>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</si>
  <si>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</si>
  <si>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</si>
  <si>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</si>
  <si>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</si>
  <si>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</si>
  <si>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</si>
  <si>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</si>
  <si>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</si>
  <si>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</si>
  <si>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</si>
  <si>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</si>
  <si>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</si>
  <si>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</si>
  <si>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</si>
  <si>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</si>
  <si>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</si>
  <si>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</si>
  <si>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</si>
  <si>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</si>
  <si>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</si>
  <si>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</si>
  <si>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</si>
  <si>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</si>
  <si>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</si>
  <si>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</si>
  <si>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</si>
  <si>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</si>
  <si>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</si>
  <si>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</si>
  <si>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</si>
  <si>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</si>
  <si>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</si>
  <si>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</si>
  <si>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</si>
  <si>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</si>
  <si>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</si>
  <si>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</si>
  <si>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</si>
  <si>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</si>
  <si>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</si>
  <si>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</si>
  <si>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</si>
  <si>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</si>
  <si>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</si>
  <si>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</si>
  <si>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</si>
  <si>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</si>
  <si>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</si>
  <si>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</si>
  <si>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</si>
  <si>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</si>
  <si>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</si>
  <si>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</si>
  <si>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</si>
  <si>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</si>
  <si>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</si>
  <si>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</si>
  <si>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</si>
  <si>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</si>
  <si>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</si>
  <si>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</si>
  <si>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</si>
  <si>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</si>
  <si>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</si>
  <si>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</si>
  <si>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</si>
  <si>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</si>
  <si>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</si>
  <si>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</si>
  <si>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</si>
  <si>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</si>
  <si>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</si>
  <si>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</si>
  <si>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</si>
  <si>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</si>
  <si>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</si>
  <si>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</si>
  <si>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</si>
  <si>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</si>
  <si>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</si>
  <si>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</si>
  <si>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</si>
  <si>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</si>
  <si>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</si>
  <si>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</si>
  <si>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</si>
  <si>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</si>
  <si>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</si>
  <si>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</si>
  <si>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</si>
  <si>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</si>
  <si>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</si>
  <si>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</si>
  <si>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</si>
  <si>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</si>
  <si>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</si>
  <si>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</si>
  <si>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</si>
  <si>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</si>
  <si>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</si>
  <si>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</si>
  <si>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</si>
  <si>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</si>
  <si>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</si>
  <si>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</si>
  <si>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</si>
  <si>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</si>
  <si>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</si>
  <si>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</si>
  <si>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</si>
  <si>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</si>
  <si>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</si>
  <si>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</si>
  <si>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</si>
  <si>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</si>
  <si>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</si>
  <si>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</si>
  <si>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</si>
  <si>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</si>
  <si>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</si>
  <si>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</si>
  <si>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</si>
  <si>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</si>
  <si>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</si>
  <si>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</si>
  <si>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</si>
  <si>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</si>
  <si>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</si>
  <si>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</si>
  <si>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</si>
  <si>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</si>
  <si>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</si>
  <si>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</si>
  <si>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</si>
  <si>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</si>
  <si>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</si>
  <si>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</si>
  <si>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</si>
  <si>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</si>
  <si>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</si>
  <si>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</si>
  <si>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</si>
  <si>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</si>
  <si>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</si>
  <si>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</si>
  <si>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</si>
  <si>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</si>
  <si>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</si>
  <si>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</si>
  <si>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</si>
  <si>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</si>
  <si>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</si>
  <si>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</si>
  <si>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</si>
  <si>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</si>
  <si>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</si>
  <si>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</si>
  <si>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</si>
  <si>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</si>
  <si>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</si>
  <si>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</si>
  <si>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</si>
  <si>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</si>
  <si>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</si>
  <si>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</si>
  <si>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</si>
  <si>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</si>
  <si>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</si>
  <si>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</si>
  <si>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</si>
  <si>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</si>
  <si>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</si>
  <si>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</si>
  <si>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</si>
  <si>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</si>
  <si>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</si>
  <si>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</si>
  <si>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</si>
  <si>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</si>
  <si>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</si>
  <si>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</si>
  <si>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</si>
  <si>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</si>
  <si>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</si>
  <si>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</si>
  <si>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</si>
  <si>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</si>
  <si>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</si>
  <si>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</si>
  <si>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</si>
  <si>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</si>
  <si>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</si>
  <si>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</si>
  <si>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</si>
  <si>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</si>
  <si>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</si>
  <si>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</si>
  <si>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</si>
  <si>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</si>
  <si>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</si>
  <si>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</si>
  <si>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</si>
  <si>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</si>
  <si>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</si>
  <si>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</si>
  <si>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</si>
  <si>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</si>
  <si>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</si>
  <si>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</si>
  <si>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</si>
  <si>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</si>
  <si>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</si>
  <si>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</si>
  <si>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</si>
  <si>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</si>
  <si>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</si>
  <si>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</si>
  <si>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</si>
  <si>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</si>
  <si>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</si>
  <si>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</si>
  <si>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</si>
  <si>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</si>
  <si>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</si>
  <si>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</si>
  <si>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</si>
  <si>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</si>
  <si>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</si>
  <si>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</si>
  <si>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</si>
  <si>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</si>
  <si>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</si>
  <si>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</si>
  <si>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</si>
  <si>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</si>
  <si>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</si>
  <si>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</si>
  <si>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</si>
  <si>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</si>
  <si>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</si>
  <si>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</si>
  <si>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</si>
  <si>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</si>
  <si>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</si>
  <si>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</si>
  <si>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</si>
  <si>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</si>
  <si>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</si>
  <si>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</si>
  <si>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</si>
  <si>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</si>
  <si>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</si>
  <si>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</si>
  <si>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</si>
  <si>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</si>
  <si>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</si>
  <si>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</si>
  <si>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</si>
  <si>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</si>
  <si>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</si>
  <si>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</si>
  <si>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</si>
  <si>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</si>
  <si>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</si>
  <si>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</si>
  <si>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</si>
  <si>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</si>
  <si>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</si>
  <si>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</si>
  <si>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</si>
  <si>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</si>
  <si>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</si>
  <si>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</si>
  <si>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</si>
  <si>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</si>
  <si>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</si>
  <si>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</si>
  <si>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</si>
  <si>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</si>
  <si>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</si>
  <si>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</si>
  <si>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</si>
  <si>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</si>
  <si>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</si>
  <si>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</si>
  <si>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</si>
  <si>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</si>
  <si>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</si>
  <si>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</si>
  <si>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</si>
  <si>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</si>
  <si>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</si>
  <si>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</si>
  <si>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</si>
  <si>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</si>
  <si>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</si>
  <si>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</si>
  <si>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</si>
  <si>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</si>
  <si>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</si>
  <si>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</si>
  <si>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</si>
  <si>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</si>
  <si>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</si>
  <si>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</si>
  <si>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</si>
  <si>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</si>
  <si>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</si>
  <si>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</si>
  <si>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</si>
  <si>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</si>
  <si>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</si>
  <si>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</si>
  <si>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</si>
  <si>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</si>
  <si>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</si>
  <si>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</si>
  <si>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</si>
  <si>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</si>
  <si>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</si>
  <si>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</si>
  <si>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</si>
  <si>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</si>
  <si>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</si>
  <si>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</si>
  <si>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</si>
  <si>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</si>
  <si>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</si>
  <si>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</si>
  <si>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</si>
  <si>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</si>
  <si>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</si>
  <si>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</si>
  <si>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</si>
  <si>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</si>
  <si>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</si>
  <si>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</si>
  <si>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</si>
  <si>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</si>
  <si>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</si>
  <si>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</si>
  <si>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</si>
  <si>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</si>
  <si>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</si>
  <si>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</si>
  <si>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</si>
  <si>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</si>
  <si>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</si>
  <si>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</si>
  <si>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</si>
  <si>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</si>
  <si>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</si>
  <si>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</si>
  <si>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</si>
  <si>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</si>
  <si>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</si>
  <si>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</si>
  <si>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</si>
  <si>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</si>
  <si>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</si>
  <si>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</si>
  <si>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</si>
  <si>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</si>
  <si>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</si>
  <si>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</si>
  <si>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</si>
  <si>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</si>
  <si>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</si>
  <si>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</si>
  <si>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</si>
  <si>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</si>
  <si>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</si>
  <si>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</si>
  <si>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</si>
  <si>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</si>
  <si>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</si>
  <si>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</si>
  <si>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</si>
  <si>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</si>
  <si>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</si>
  <si>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</si>
  <si>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</si>
  <si>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</si>
  <si>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</si>
  <si>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</si>
  <si>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</si>
  <si>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</si>
  <si>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</si>
  <si>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</si>
  <si>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</si>
  <si>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</si>
  <si>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</si>
  <si>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</si>
  <si>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</si>
  <si>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</si>
  <si>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</si>
  <si>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</si>
  <si>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</si>
  <si>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</si>
  <si>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</si>
  <si>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</si>
  <si>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</si>
  <si>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</si>
  <si>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</si>
  <si>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</si>
  <si>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</si>
  <si>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</si>
  <si>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</si>
  <si>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</si>
  <si>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</si>
  <si>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</si>
  <si>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</si>
  <si>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</si>
  <si>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</si>
  <si>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</si>
  <si>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</si>
  <si>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</si>
  <si>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</si>
  <si>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</si>
  <si>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</si>
  <si>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</si>
  <si>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</si>
  <si>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</si>
  <si>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</si>
  <si>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</si>
  <si>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</si>
  <si>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</si>
  <si>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</si>
  <si>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</si>
  <si>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</si>
  <si>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</si>
  <si>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</si>
  <si>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</si>
  <si>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</si>
  <si>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</si>
  <si>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</si>
  <si>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</si>
  <si>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</si>
  <si>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</si>
  <si>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</si>
  <si>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</si>
  <si>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</si>
  <si>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</si>
  <si>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</si>
  <si>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</si>
  <si>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</si>
  <si>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</si>
  <si>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</si>
  <si>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</si>
  <si>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</si>
  <si>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</si>
  <si>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</si>
  <si>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</si>
  <si>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</si>
  <si>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</si>
  <si>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</si>
  <si>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</si>
  <si>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</si>
  <si>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</si>
  <si>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</si>
  <si>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</si>
  <si>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</si>
  <si>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</si>
  <si>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</si>
  <si>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</si>
  <si>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</si>
  <si>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</si>
  <si>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</si>
  <si>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</si>
  <si>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</si>
  <si>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</si>
  <si>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</si>
  <si>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</si>
  <si>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</si>
  <si>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</si>
  <si>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</si>
  <si>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</si>
  <si>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</si>
  <si>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</si>
  <si>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</si>
  <si>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</si>
  <si>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</si>
  <si>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</si>
  <si>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</si>
  <si>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</si>
  <si>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</si>
  <si>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</si>
  <si>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</si>
  <si>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</si>
  <si>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</si>
  <si>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</si>
  <si>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</si>
  <si>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</si>
  <si>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</si>
  <si>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</si>
  <si>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</si>
  <si>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</si>
  <si>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</si>
  <si>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</si>
  <si>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</si>
  <si>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</si>
  <si>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</si>
  <si>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</si>
  <si>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</si>
  <si>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</si>
  <si>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</si>
  <si>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</si>
  <si>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</si>
  <si>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</si>
  <si>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</si>
  <si>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</si>
  <si>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</si>
  <si>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</si>
  <si>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</si>
  <si>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</si>
  <si>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</si>
  <si>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</si>
  <si>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</si>
  <si>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</si>
  <si>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</si>
  <si>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</si>
  <si>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</si>
  <si>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</si>
  <si>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</si>
  <si>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</si>
  <si>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</si>
  <si>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</si>
  <si>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</si>
  <si>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</si>
  <si>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</si>
  <si>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</si>
  <si>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</si>
  <si>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</si>
  <si>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</si>
  <si>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</si>
  <si>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</si>
  <si>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</si>
  <si>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</si>
  <si>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</si>
  <si>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</si>
  <si>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</si>
  <si>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</si>
  <si>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</si>
  <si>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</si>
  <si>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</si>
  <si>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</si>
  <si>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</si>
  <si>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</si>
  <si>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</si>
  <si>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</si>
  <si>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</si>
  <si>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</si>
  <si>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</si>
  <si>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</si>
  <si>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</si>
  <si>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</si>
  <si>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</si>
  <si>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</si>
  <si>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</si>
  <si>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</si>
  <si>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</si>
  <si>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</si>
  <si>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</si>
  <si>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</si>
  <si>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</si>
  <si>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</si>
  <si>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</si>
  <si>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</si>
  <si>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</si>
  <si>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</si>
  <si>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</si>
  <si>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</si>
  <si>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</si>
  <si>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</si>
  <si>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</si>
  <si>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</si>
  <si>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</si>
  <si>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</si>
  <si>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</si>
  <si>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</si>
  <si>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</si>
  <si>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</si>
  <si>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</si>
  <si>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</si>
  <si>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</si>
  <si>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</si>
  <si>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</si>
  <si>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</si>
  <si>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</si>
  <si>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</si>
  <si>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</si>
  <si>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</si>
  <si>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</si>
  <si>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</si>
  <si>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</si>
  <si>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</si>
  <si>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</si>
  <si>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</si>
  <si>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</si>
  <si>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</si>
  <si>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</si>
  <si>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</si>
  <si>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</si>
  <si>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</si>
  <si>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</si>
  <si>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</si>
  <si>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</si>
  <si>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</si>
  <si>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</si>
  <si>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</si>
  <si>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</si>
  <si>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</si>
  <si>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</si>
  <si>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</si>
  <si>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</si>
  <si>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</si>
  <si>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</si>
  <si>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</si>
  <si>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</si>
  <si>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</si>
  <si>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</si>
  <si>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</si>
  <si>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</si>
  <si>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</si>
  <si>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</si>
  <si>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</si>
  <si>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</si>
  <si>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</si>
  <si>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</si>
  <si>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</si>
  <si>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</si>
  <si>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</si>
  <si>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</si>
  <si>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</si>
  <si>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</si>
  <si>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</si>
  <si>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</si>
  <si>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</si>
  <si>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</si>
  <si>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</si>
  <si>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</si>
  <si>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</si>
  <si>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</si>
  <si>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</si>
  <si>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</si>
  <si>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</si>
  <si>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</si>
  <si>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</si>
  <si>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</si>
  <si>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</si>
  <si>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</si>
  <si>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</si>
  <si>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</si>
  <si>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</si>
  <si>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</si>
  <si>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</si>
  <si>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</si>
  <si>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</si>
  <si>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</si>
  <si>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</si>
  <si>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</si>
  <si>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</si>
  <si>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</si>
  <si>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</si>
  <si>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</si>
  <si>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</si>
  <si>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</si>
  <si>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</si>
  <si>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</si>
  <si>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</si>
  <si>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</si>
  <si>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</si>
  <si>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</si>
  <si>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</si>
  <si>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</si>
  <si>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</si>
  <si>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</si>
  <si>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</si>
  <si>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</si>
  <si>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</si>
  <si>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</si>
  <si>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</si>
  <si>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</si>
  <si>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</si>
  <si>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</si>
  <si>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</si>
  <si>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</si>
  <si>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</si>
  <si>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</si>
  <si>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</si>
  <si>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</si>
  <si>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</si>
  <si>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</si>
  <si>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</si>
  <si>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</si>
  <si>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</si>
  <si>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</si>
  <si>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</si>
  <si>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</si>
  <si>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</si>
  <si>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</si>
  <si>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</si>
  <si>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</si>
  <si>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</si>
  <si>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</si>
  <si>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</si>
  <si>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</si>
  <si>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</si>
  <si>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</si>
  <si>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</si>
  <si>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</si>
  <si>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</si>
  <si>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</si>
  <si>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</si>
  <si>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</si>
  <si>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</si>
  <si>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</si>
  <si>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</si>
  <si>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</si>
  <si>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</si>
  <si>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</si>
  <si>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</si>
  <si>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</si>
  <si>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</si>
  <si>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</si>
  <si>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</si>
  <si>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</si>
  <si>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</si>
  <si>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</si>
  <si>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</si>
  <si>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</si>
  <si>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</si>
  <si>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</si>
  <si>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</si>
  <si>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</si>
  <si>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</si>
  <si>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</si>
  <si>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</si>
  <si>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</si>
  <si>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</si>
  <si>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</si>
  <si>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</si>
  <si>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</si>
  <si>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</si>
  <si>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</si>
  <si>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</si>
  <si>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</si>
  <si>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</si>
  <si>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</si>
  <si>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</si>
  <si>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</si>
  <si>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</si>
  <si>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</si>
  <si>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</si>
  <si>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</si>
  <si>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</si>
  <si>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</si>
  <si>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</si>
  <si>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</si>
  <si>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</si>
  <si>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</si>
  <si>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</si>
  <si>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</si>
  <si>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</si>
  <si>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</si>
  <si>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</si>
  <si>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</si>
  <si>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</si>
  <si>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</si>
  <si>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</si>
  <si>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</si>
  <si>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</si>
  <si>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</si>
  <si>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</si>
  <si>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</si>
  <si>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</si>
  <si>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</si>
  <si>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</si>
  <si>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</si>
  <si>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</si>
  <si>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</si>
  <si>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</si>
  <si>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</si>
  <si>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</si>
  <si>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</si>
  <si>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</si>
  <si>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</si>
  <si>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</si>
  <si>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</si>
  <si>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</si>
  <si>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</si>
  <si>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</si>
  <si>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</si>
  <si>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</si>
  <si>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</si>
  <si>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</si>
  <si>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</si>
  <si>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</si>
  <si>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</si>
  <si>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</si>
  <si>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</si>
  <si>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</si>
  <si>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</si>
  <si>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</si>
  <si>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</si>
  <si>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</si>
  <si>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</si>
  <si>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</si>
  <si>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</si>
  <si>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</si>
  <si>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</si>
  <si>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</si>
  <si>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</si>
  <si>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</si>
  <si>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</si>
  <si>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</si>
  <si>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</si>
  <si>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</si>
  <si>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</si>
  <si>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</si>
  <si>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</si>
  <si>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</si>
  <si>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</si>
  <si>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</si>
  <si>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</si>
  <si>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</si>
  <si>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</si>
  <si>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</si>
  <si>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</si>
  <si>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</si>
  <si>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</si>
  <si>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</si>
  <si>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</si>
  <si>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</si>
  <si>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</si>
  <si>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</si>
  <si>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</si>
  <si>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</si>
  <si>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</si>
  <si>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</si>
  <si>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</si>
  <si>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</si>
  <si>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</si>
  <si>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</si>
  <si>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</si>
  <si>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</si>
  <si>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</si>
  <si>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</si>
  <si>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</si>
  <si>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</si>
  <si>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</si>
  <si>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</si>
  <si>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</si>
  <si>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</si>
  <si>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</si>
  <si>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</si>
  <si>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</si>
  <si>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</si>
  <si>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</si>
  <si>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</si>
  <si>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</si>
  <si>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</si>
  <si>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</si>
  <si>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</si>
  <si>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</si>
  <si>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</si>
  <si>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</si>
  <si>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</si>
  <si>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</si>
  <si>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</si>
  <si>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</si>
  <si>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</si>
  <si>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</si>
  <si>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</si>
  <si>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</si>
  <si>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</si>
  <si>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</si>
  <si>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</si>
  <si>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</si>
  <si>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</si>
  <si>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</si>
  <si>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</si>
  <si>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</si>
  <si>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</si>
  <si>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</si>
  <si>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</si>
  <si>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</si>
  <si>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</si>
  <si>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</si>
  <si>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</si>
  <si>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</si>
  <si>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</si>
  <si>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</si>
  <si>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</si>
  <si>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</si>
  <si>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</si>
  <si>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</si>
  <si>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</si>
  <si>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</si>
  <si>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</si>
  <si>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</si>
  <si>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</si>
  <si>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</si>
  <si>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</si>
  <si>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</si>
  <si>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</si>
  <si>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</si>
  <si>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</si>
  <si>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</si>
  <si>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</si>
  <si>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</si>
  <si>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</si>
  <si>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</si>
  <si>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</si>
  <si>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</si>
  <si>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</si>
  <si>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</si>
  <si>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</si>
  <si>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</si>
  <si>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</si>
  <si>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</si>
  <si>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</si>
  <si>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</si>
  <si>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</si>
  <si>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</si>
  <si>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</si>
  <si>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</si>
  <si>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</si>
  <si>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</si>
  <si>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</si>
  <si>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</si>
  <si>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</si>
  <si>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</si>
  <si>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</si>
  <si>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</si>
  <si>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</si>
  <si>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</si>
  <si>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</si>
  <si>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</si>
  <si>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</si>
  <si>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</si>
  <si>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</si>
  <si>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</si>
  <si>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</si>
  <si>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</si>
  <si>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</si>
  <si>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</si>
  <si>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</si>
  <si>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</si>
  <si>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</si>
  <si>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</si>
  <si>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</si>
  <si>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</si>
  <si>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</si>
  <si>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</si>
  <si>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</si>
  <si>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</si>
  <si>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</si>
  <si>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</si>
  <si>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</si>
  <si>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</si>
  <si>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</si>
  <si>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</si>
  <si>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</si>
  <si>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</si>
  <si>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</si>
  <si>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</si>
  <si>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</si>
  <si>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</si>
  <si>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</si>
  <si>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</si>
  <si>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</si>
  <si>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</si>
  <si>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</si>
  <si>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</si>
  <si>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</si>
  <si>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</si>
  <si>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</si>
  <si>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</si>
  <si>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</si>
  <si>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</si>
  <si>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</si>
  <si>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</si>
  <si>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</si>
  <si>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</si>
  <si>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</si>
  <si>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</si>
  <si>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</si>
  <si>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</si>
  <si>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</si>
  <si>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</si>
  <si>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</si>
  <si>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</si>
  <si>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</si>
  <si>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</si>
  <si>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</si>
  <si>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</si>
  <si>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</si>
  <si>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</si>
  <si>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</si>
  <si>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</si>
  <si>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</si>
  <si>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</si>
  <si>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</si>
  <si>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</si>
  <si>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</si>
  <si>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</si>
  <si>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</si>
  <si>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</si>
  <si>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</si>
  <si>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</si>
  <si>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</si>
  <si>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</si>
  <si>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</si>
  <si>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</si>
  <si>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</si>
  <si>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</si>
  <si>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</si>
  <si>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</si>
  <si>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</si>
  <si>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</si>
  <si>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</si>
  <si>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</si>
  <si>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</si>
  <si>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</si>
  <si>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</si>
  <si>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</si>
  <si>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</si>
  <si>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</si>
  <si>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</si>
  <si>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</si>
  <si>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</si>
  <si>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</si>
  <si>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</si>
  <si>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</si>
  <si>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</si>
  <si>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</si>
  <si>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</si>
  <si>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</si>
  <si>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</si>
  <si>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</si>
  <si>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</si>
  <si>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</si>
  <si>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</si>
  <si>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</si>
  <si>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</si>
  <si>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</si>
  <si>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</si>
  <si>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</si>
  <si>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</si>
  <si>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</si>
  <si>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</si>
  <si>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</si>
  <si>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</si>
  <si>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</si>
  <si>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</si>
  <si>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</si>
  <si>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</si>
  <si>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</si>
  <si>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</si>
  <si>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</si>
  <si>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</si>
  <si>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</si>
  <si>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</si>
  <si>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</si>
  <si>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</si>
  <si>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</si>
  <si>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</si>
  <si>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</si>
  <si>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</si>
  <si>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</si>
  <si>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</si>
  <si>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</si>
  <si>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</si>
  <si>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</si>
  <si>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</si>
  <si>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</si>
  <si>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</si>
  <si>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</si>
  <si>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</si>
  <si>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</si>
  <si>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</si>
  <si>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</si>
  <si>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</si>
  <si>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</si>
  <si>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</si>
  <si>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</si>
  <si>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</si>
  <si>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</si>
  <si>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</si>
  <si>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</si>
  <si>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</si>
  <si>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</si>
  <si>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</si>
  <si>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</si>
  <si>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</si>
  <si>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</si>
  <si>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</si>
  <si>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</si>
  <si>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</si>
  <si>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</si>
  <si>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</si>
  <si>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</si>
  <si>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</si>
  <si>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</si>
  <si>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</si>
  <si>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</si>
  <si>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</si>
  <si>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</si>
  <si>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</si>
  <si>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</si>
  <si>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</si>
  <si>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</si>
  <si>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</si>
  <si>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</si>
  <si>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</si>
  <si>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</si>
  <si>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</si>
  <si>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</si>
  <si>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</si>
  <si>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</si>
  <si>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</si>
  <si>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</si>
  <si>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</si>
  <si>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</si>
  <si>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</si>
  <si>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</si>
  <si>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</si>
  <si>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</si>
  <si>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</si>
  <si>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</si>
  <si>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</si>
  <si>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</si>
  <si>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</si>
  <si>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</si>
  <si>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</si>
  <si>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</si>
  <si>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</si>
  <si>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</si>
  <si>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</si>
  <si>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</si>
  <si>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</si>
  <si>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</si>
  <si>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</si>
  <si>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</si>
  <si>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</si>
  <si>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</si>
  <si>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</si>
  <si>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</si>
  <si>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</si>
  <si>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</si>
  <si>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</si>
  <si>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</si>
  <si>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</si>
  <si>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</si>
  <si>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</si>
  <si>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</si>
  <si>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</si>
  <si>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</si>
  <si>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</si>
  <si>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</si>
  <si>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</si>
  <si>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</si>
  <si>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</si>
  <si>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</si>
  <si>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</si>
  <si>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</si>
  <si>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</si>
  <si>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</si>
  <si>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</si>
  <si>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</si>
  <si>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</si>
  <si>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</si>
  <si>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</si>
  <si>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</si>
  <si>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</si>
  <si>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</si>
  <si>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</si>
  <si>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</si>
  <si>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</si>
  <si>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</si>
  <si>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</si>
  <si>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</si>
  <si>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</si>
  <si>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</si>
  <si>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</si>
  <si>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</si>
  <si>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</si>
  <si>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</si>
  <si>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</si>
  <si>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</si>
  <si>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</si>
  <si>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</si>
  <si>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</si>
  <si>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</si>
  <si>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</si>
  <si>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</si>
  <si>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</si>
  <si>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</si>
  <si>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</si>
  <si>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</si>
  <si>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</si>
  <si>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</si>
  <si>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</si>
  <si>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</si>
  <si>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</si>
  <si>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</si>
  <si>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</si>
  <si>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</si>
  <si>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</si>
  <si>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</si>
  <si>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</si>
  <si>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</si>
  <si>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</si>
  <si>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</si>
  <si>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</si>
  <si>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</si>
  <si>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</si>
  <si>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</si>
  <si>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</si>
  <si>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</si>
  <si>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</si>
  <si>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</si>
  <si>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</si>
  <si>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</si>
  <si>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</si>
  <si>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</si>
  <si>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</si>
  <si>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</si>
  <si>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</si>
  <si>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</si>
  <si>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</si>
  <si>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</si>
  <si>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</si>
  <si>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</si>
  <si>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</si>
  <si>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</si>
  <si>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</si>
  <si>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</si>
  <si>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</si>
  <si>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</si>
  <si>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</si>
  <si>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</si>
  <si>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</si>
  <si>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</si>
  <si>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</si>
  <si>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</si>
  <si>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</si>
  <si>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</si>
  <si>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</si>
  <si>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</si>
  <si>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</si>
  <si>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</si>
  <si>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</si>
  <si>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</si>
  <si>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</si>
  <si>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</si>
  <si>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</si>
  <si>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</si>
  <si>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</si>
  <si>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</si>
  <si>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</si>
  <si>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</si>
  <si>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</si>
  <si>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</si>
  <si>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</si>
  <si>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</si>
  <si>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</si>
  <si>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</si>
  <si>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</si>
  <si>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</si>
  <si>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</si>
  <si>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</si>
  <si>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</si>
  <si>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</si>
  <si>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</si>
  <si>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</si>
  <si>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</si>
  <si>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</si>
  <si>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</si>
  <si>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</si>
  <si>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</si>
  <si>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</si>
  <si>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</si>
  <si>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</si>
  <si>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</si>
  <si>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</si>
  <si>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</si>
  <si>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</si>
  <si>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</si>
  <si>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</si>
  <si>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</si>
  <si>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</si>
  <si>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</si>
  <si>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</si>
  <si>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</si>
  <si>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</si>
  <si>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</si>
  <si>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</si>
  <si>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</si>
  <si>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</si>
  <si>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</si>
  <si>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</si>
  <si>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</si>
  <si>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</si>
  <si>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</si>
  <si>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</si>
  <si>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</si>
  <si>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</si>
  <si>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</si>
  <si>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</si>
  <si>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</si>
  <si>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</si>
  <si>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</si>
  <si>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</si>
  <si>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</si>
  <si>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</si>
  <si>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</si>
  <si>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</si>
  <si>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</si>
  <si>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</si>
  <si>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</si>
  <si>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</si>
  <si>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</si>
  <si>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</si>
  <si>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</si>
  <si>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</si>
  <si>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</si>
  <si>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</si>
  <si>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</si>
  <si>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</si>
  <si>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</si>
  <si>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</si>
  <si>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</si>
  <si>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</si>
  <si>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</si>
  <si>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</si>
  <si>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</si>
  <si>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</si>
  <si>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</si>
  <si>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</si>
  <si>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</si>
  <si>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</si>
  <si>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</si>
  <si>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</si>
  <si>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</si>
  <si>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</si>
  <si>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</si>
  <si>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</si>
  <si>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</si>
  <si>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</si>
  <si>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</si>
  <si>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</si>
  <si>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</si>
  <si>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</si>
  <si>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</si>
  <si>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</si>
  <si>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</si>
  <si>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</si>
  <si>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</si>
  <si>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</si>
  <si>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</si>
  <si>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</si>
  <si>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</si>
  <si>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</si>
  <si>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</si>
  <si>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</si>
  <si>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</si>
  <si>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</si>
  <si>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</si>
  <si>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</si>
  <si>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</si>
  <si>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</si>
  <si>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</si>
  <si>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</si>
  <si>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</si>
  <si>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</si>
  <si>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</si>
  <si>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</si>
  <si>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</si>
  <si>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</si>
  <si>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</si>
  <si>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</si>
  <si>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</si>
  <si>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</si>
  <si>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</si>
  <si>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</si>
  <si>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</si>
  <si>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</si>
  <si>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</si>
  <si>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</si>
  <si>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</si>
  <si>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</si>
  <si>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</si>
  <si>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</si>
  <si>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</si>
  <si>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</si>
  <si>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</si>
  <si>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</si>
  <si>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</si>
  <si>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</si>
  <si>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</si>
  <si>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</si>
  <si>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</si>
  <si>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</si>
  <si>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</si>
  <si>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</si>
  <si>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</si>
  <si>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</si>
  <si>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</si>
  <si>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</si>
  <si>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</si>
  <si>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</si>
  <si>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</si>
  <si>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</si>
  <si>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</si>
  <si>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</si>
  <si>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</si>
  <si>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</si>
  <si>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</si>
  <si>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</si>
  <si>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</si>
  <si>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</si>
  <si>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</si>
  <si>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</si>
  <si>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</si>
  <si>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</si>
  <si>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</si>
  <si>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</si>
  <si>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</si>
  <si>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</si>
  <si>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</si>
  <si>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</si>
  <si>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</si>
  <si>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</si>
  <si>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</si>
  <si>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</si>
  <si>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</si>
  <si>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</si>
  <si>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</si>
  <si>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</si>
  <si>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</si>
  <si>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</si>
  <si>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</si>
  <si>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</si>
  <si>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</si>
  <si>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</si>
  <si>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</si>
  <si>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</si>
  <si>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</si>
  <si>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</si>
  <si>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</si>
  <si>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</si>
  <si>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</si>
  <si>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</si>
  <si>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</si>
  <si>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</si>
  <si>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</si>
  <si>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</si>
  <si>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</si>
  <si>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</si>
  <si>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</si>
  <si>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</si>
  <si>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</si>
  <si>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</si>
  <si>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</si>
  <si>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</si>
  <si>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</si>
  <si>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</si>
  <si>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</si>
  <si>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</si>
  <si>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</si>
  <si>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</si>
  <si>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</si>
  <si>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</si>
  <si>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</si>
  <si>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</si>
  <si>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</si>
  <si>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</si>
  <si>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</si>
  <si>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</si>
  <si>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</si>
  <si>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</si>
  <si>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</si>
  <si>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</si>
  <si>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</si>
  <si>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</si>
  <si>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</si>
  <si>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</si>
  <si>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</si>
  <si>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</si>
  <si>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</si>
  <si>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</si>
  <si>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</si>
  <si>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</si>
  <si>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</si>
  <si>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</si>
  <si>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</si>
  <si>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</si>
  <si>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</si>
  <si>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</si>
  <si>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</si>
  <si>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</si>
  <si>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</si>
  <si>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</si>
  <si>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</si>
  <si>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</si>
  <si>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</si>
  <si>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</si>
  <si>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</si>
  <si>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</si>
  <si>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</si>
  <si>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</si>
  <si>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</si>
  <si>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</si>
  <si>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</si>
  <si>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</si>
  <si>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</si>
  <si>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</si>
  <si>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</si>
  <si>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</si>
  <si>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</si>
  <si>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</si>
  <si>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</si>
  <si>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</si>
  <si>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</si>
  <si>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</si>
  <si>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</si>
  <si>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</si>
  <si>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</si>
  <si>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</si>
  <si>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</si>
  <si>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</si>
  <si>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</si>
  <si>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</si>
  <si>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</si>
  <si>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</si>
  <si>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</si>
  <si>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</si>
  <si>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</si>
  <si>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</si>
  <si>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</si>
  <si>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</si>
  <si>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</si>
  <si>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</si>
  <si>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</si>
  <si>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</si>
  <si>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</si>
  <si>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</si>
  <si>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</si>
  <si>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</si>
  <si>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</si>
  <si>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</si>
  <si>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</si>
  <si>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</si>
  <si>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</si>
  <si>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</si>
  <si>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</si>
  <si>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</si>
  <si>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</si>
  <si>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2022-11</t>
  </si>
  <si>
    <t>2022-10</t>
  </si>
  <si>
    <t>2022-09</t>
  </si>
  <si>
    <t>2022-08</t>
  </si>
  <si>
    <t>2022-07</t>
  </si>
  <si>
    <t>2022-06</t>
  </si>
  <si>
    <t>2022-05</t>
  </si>
  <si>
    <t>公园十七区</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</si>
  <si>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</si>
  <si>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</si>
  <si>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</si>
  <si>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</si>
  <si>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</si>
  <si>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</si>
  <si>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</si>
  <si>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</si>
  <si>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</si>
  <si>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</si>
  <si>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</si>
  <si>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</si>
  <si>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</si>
  <si>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</si>
  <si>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</si>
  <si>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</si>
  <si>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</si>
  <si>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</si>
  <si>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</si>
  <si>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</si>
  <si>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</si>
  <si>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</si>
  <si>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</si>
  <si>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</si>
  <si>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</si>
  <si>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</si>
  <si>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</si>
  <si>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</si>
  <si>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</si>
  <si>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</si>
  <si>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顺义绿地启航国际顺平路商铺</t>
    <phoneticPr fontId="224" type="noConversion"/>
  </si>
  <si>
    <t>较差</t>
  </si>
  <si>
    <t>七通</t>
  </si>
  <si>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</si>
  <si>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</si>
  <si>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</si>
  <si>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</si>
  <si>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</si>
  <si>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</si>
  <si>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</si>
  <si>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</si>
  <si>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</si>
  <si>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</si>
  <si>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</si>
  <si>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 xml:space="preserve"> </t>
    <phoneticPr fontId="224"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</si>
  <si>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</si>
  <si>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</si>
  <si>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</si>
  <si>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</si>
  <si>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</si>
  <si>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</si>
  <si>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</si>
  <si>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</si>
  <si>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</si>
  <si>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</si>
  <si>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</si>
  <si>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</si>
  <si>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</si>
  <si>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</si>
  <si>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r>
      <t>顺义区高丽营镇夏县营村01-0008等地块(住商办九级</t>
    </r>
    <r>
      <rPr>
        <b/>
        <sz val="9"/>
        <color theme="1"/>
        <rFont val="等线"/>
        <family val="3"/>
        <charset val="134"/>
      </rPr>
      <t>Ⅶ</t>
    </r>
    <r>
      <rPr>
        <b/>
        <sz val="9"/>
        <color theme="1"/>
        <rFont val="宋体"/>
        <family val="3"/>
        <charset val="134"/>
      </rPr>
      <t>-顺5)</t>
    </r>
    <phoneticPr fontId="301"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</si>
  <si>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</si>
  <si>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区域自然环境：南郎中休闲公园、方氏渠；无人文环境；综合评价环境状况一般</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</si>
  <si>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</si>
  <si>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</si>
  <si>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</si>
  <si>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估价对象周边2公里范围内有双悦大楼、智慧谷商务中心等办公楼，周边办公楼项目较少，入驻率一般，办公集聚程度较差</t>
    <phoneticPr fontId="3"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</si>
  <si>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较好</t>
    </r>
    <phoneticPr fontId="21"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</si>
  <si>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</si>
  <si>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</si>
  <si>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</si>
  <si>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</si>
  <si>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</si>
  <si>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</si>
  <si>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</si>
  <si>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</si>
  <si>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</si>
  <si>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</si>
  <si>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</si>
  <si>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</si>
  <si>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</si>
  <si>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</si>
  <si>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</si>
  <si>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</si>
  <si>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t>（6）</t>
  </si>
  <si>
    <t>总户数</t>
  </si>
  <si>
    <t>户</t>
  </si>
  <si>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</si>
  <si>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</si>
  <si>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</si>
  <si>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</si>
  <si>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</si>
  <si>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</si>
  <si>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</si>
  <si>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</si>
  <si>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</si>
  <si>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</si>
  <si>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</si>
  <si>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</si>
  <si>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</si>
  <si>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</si>
  <si>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</si>
  <si>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</si>
  <si>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</si>
  <si>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</si>
  <si>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</si>
  <si>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</si>
  <si>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</si>
  <si>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</si>
  <si>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</si>
  <si>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</si>
  <si>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</si>
  <si>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</si>
  <si>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</si>
  <si>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</si>
  <si>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</si>
  <si>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</si>
  <si>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</si>
  <si>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</si>
  <si>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</si>
  <si>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</si>
  <si>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</si>
  <si>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</si>
  <si>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</si>
  <si>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</si>
  <si>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</si>
  <si>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t>公服合计面积</t>
    <phoneticPr fontId="224" type="noConversion"/>
  </si>
  <si>
    <t>多层板楼</t>
  </si>
  <si>
    <r>
      <t>《城市居住区规划设计标准》（GB50180-2018），各级生活圈居住区用地控制指标及居住街坊用地与建筑控制指标均按小康社会城镇人均住房建筑面积35</t>
    </r>
    <r>
      <rPr>
        <sz val="10"/>
        <color theme="1"/>
        <rFont val="宋体"/>
        <family val="3"/>
        <charset val="134"/>
      </rPr>
      <t>㎡的标准进行计算。</t>
    </r>
  </si>
  <si>
    <r>
      <t>由地上总建筑面积 除以 人均住房建筑面积的商，确定为总人口数量。
公式：（5）=（1）</t>
    </r>
    <r>
      <rPr>
        <sz val="10"/>
        <color theme="1"/>
        <rFont val="宋体"/>
        <family val="3"/>
        <charset val="134"/>
      </rPr>
      <t>÷（3）</t>
    </r>
  </si>
  <si>
    <r>
      <t>由总人口数量 除以 平均每户人口数量的商，确定为总户数。
公式：（6）=（5）</t>
    </r>
    <r>
      <rPr>
        <sz val="10"/>
        <color theme="1"/>
        <rFont val="宋体"/>
        <family val="3"/>
        <charset val="134"/>
      </rPr>
      <t>÷（4）</t>
    </r>
  </si>
  <si>
    <t>单面临街</t>
  </si>
  <si>
    <t>单面临街</t>
    <phoneticPr fontId="224" type="noConversion"/>
  </si>
  <si>
    <t>https://bj.58.com/shangpu/54242623060507x.shtml?PGTID=0d006b31-0000-00a5-501a-4002876b7ddb&amp;ClickID=132</t>
    <phoneticPr fontId="224" type="noConversion"/>
  </si>
  <si>
    <t>https://bj.58.com/shangpu/54429848293947x.shtml?PGTID=0d006b31-0000-00a5-501a-4002876b7ddb&amp;ClickID=155</t>
    <phoneticPr fontId="224" type="noConversion"/>
  </si>
  <si>
    <t>https://bj.58.com/shangpu/54386414741416x.shtml?PGTID=0d006b31-0000-00a5-501a-4002876b7ddb&amp;ClickID=115</t>
    <phoneticPr fontId="224" type="noConversion"/>
  </si>
  <si>
    <t>https://bj.58.com/shangpu/54168581507759x.shtml?PGTID=0d006b31-0000-00a5-501a-4002876b7ddb&amp;ClickID=36</t>
    <phoneticPr fontId="224" type="noConversion"/>
  </si>
  <si>
    <t>https://bj.58.com/shangpu/54103363162398x.shtml?PGTID=0d006b31-0000-00a5-501a-4002876b7ddb&amp;ClickID=152</t>
    <phoneticPr fontId="224" type="noConversion"/>
  </si>
  <si>
    <t>顺义金街华联购物中心</t>
    <phoneticPr fontId="224" type="noConversion"/>
  </si>
  <si>
    <t>中粮祥云小镇</t>
    <phoneticPr fontId="224" type="noConversion"/>
  </si>
  <si>
    <t>楼层</t>
    <phoneticPr fontId="224" type="noConversion"/>
  </si>
  <si>
    <t>类型</t>
    <phoneticPr fontId="224" type="noConversion"/>
  </si>
  <si>
    <t>1层</t>
    <phoneticPr fontId="224" type="noConversion"/>
  </si>
  <si>
    <t>商业街商业</t>
    <phoneticPr fontId="224" type="noConversion"/>
  </si>
  <si>
    <t>1-2层/2层</t>
    <phoneticPr fontId="224" type="noConversion"/>
  </si>
  <si>
    <t>临街商业</t>
    <phoneticPr fontId="224" type="noConversion"/>
  </si>
  <si>
    <t>府前西街</t>
    <phoneticPr fontId="224" type="noConversion"/>
  </si>
  <si>
    <t>双面临街</t>
  </si>
  <si>
    <t>双面临街</t>
    <phoneticPr fontId="224" type="noConversion"/>
  </si>
  <si>
    <t>较差</t>
    <phoneticPr fontId="224" type="noConversion"/>
  </si>
  <si>
    <t>商业街商铺</t>
  </si>
  <si>
    <t>商业街商铺</t>
    <phoneticPr fontId="224" type="noConversion"/>
  </si>
  <si>
    <t>临街商铺</t>
  </si>
  <si>
    <t>临街商铺</t>
    <phoneticPr fontId="224" type="noConversion"/>
  </si>
  <si>
    <t>底商</t>
    <phoneticPr fontId="224" type="noConversion"/>
  </si>
  <si>
    <t>https://shangban.58.com/bj/xiezilou/loupan-l1727594100228352.shtml?PGTID=0d00000d-0000-0365-2cc8-ec298ff4c41c&amp;ClickID=10</t>
    <phoneticPr fontId="224" type="noConversion"/>
  </si>
  <si>
    <t>https://bj.58.com/zhaozu/53514339156611x.shtml?PGTID=0d00000d-0000-0d2a-0483-6d7fdbb16450&amp;ClickID=20</t>
    <phoneticPr fontId="224" type="noConversion"/>
  </si>
  <si>
    <t>https://bj.58.com/zhaozu/53375088983098x.shtml?PGTID=0d00000d-0000-077e-7577-9b3eeb9814a5&amp;ClickID=6</t>
    <phoneticPr fontId="224" type="noConversion"/>
  </si>
  <si>
    <t>洛娃科技创业园</t>
    <phoneticPr fontId="224" type="noConversion"/>
  </si>
  <si>
    <t>https://bj.58.com/zhaozu/54069543847433x.shtml?PGTID=0d00000d-0000-0d2a-0483-6d7fdbb16450&amp;ClickID=17</t>
    <phoneticPr fontId="224" type="noConversion"/>
  </si>
  <si>
    <t>类型</t>
    <phoneticPr fontId="224" type="noConversion"/>
  </si>
  <si>
    <t>https://bj.58.com/zhaozu/54458562487342x.shtml?PGTID=0d00000d-0000-0d2a-0483-6d7fdbb16450&amp;ClickID=4</t>
    <phoneticPr fontId="224" type="noConversion"/>
  </si>
  <si>
    <t>5层</t>
    <phoneticPr fontId="224" type="noConversion"/>
  </si>
  <si>
    <t>2层</t>
    <phoneticPr fontId="224" type="noConversion"/>
  </si>
  <si>
    <r>
      <t>1</t>
    </r>
    <r>
      <rPr>
        <sz val="11"/>
        <color theme="1"/>
        <rFont val="宋体"/>
        <family val="3"/>
        <charset val="134"/>
        <scheme val="minor"/>
      </rPr>
      <t>0层</t>
    </r>
    <phoneticPr fontId="224" type="noConversion"/>
  </si>
  <si>
    <t>6层</t>
    <phoneticPr fontId="224" type="noConversion"/>
  </si>
  <si>
    <t>高层</t>
    <phoneticPr fontId="224" type="noConversion"/>
  </si>
  <si>
    <t>中层</t>
    <phoneticPr fontId="224" type="noConversion"/>
  </si>
  <si>
    <t>独栋</t>
    <phoneticPr fontId="224" type="noConversion"/>
  </si>
  <si>
    <t>与级别开发程度不一致</t>
  </si>
  <si>
    <t>估价对象及</t>
  </si>
  <si>
    <t>可比案例</t>
  </si>
  <si>
    <t>比较因素</t>
  </si>
  <si>
    <t>估价对象</t>
  </si>
  <si>
    <r>
      <t>案例</t>
    </r>
    <r>
      <rPr>
        <sz val="10.5"/>
        <color theme="1"/>
        <rFont val="Arial"/>
        <family val="2"/>
      </rPr>
      <t>D</t>
    </r>
  </si>
  <si>
    <r>
      <t>案例</t>
    </r>
    <r>
      <rPr>
        <sz val="10.5"/>
        <color theme="1"/>
        <rFont val="Arial"/>
        <family val="2"/>
      </rPr>
      <t>E</t>
    </r>
  </si>
  <si>
    <r>
      <t>案例</t>
    </r>
    <r>
      <rPr>
        <sz val="10.5"/>
        <color theme="1"/>
        <rFont val="Arial"/>
        <family val="2"/>
      </rPr>
      <t>F</t>
    </r>
  </si>
  <si>
    <r>
      <t>北京市顺义区高丽营副中心区</t>
    </r>
    <r>
      <rPr>
        <sz val="10.5"/>
        <color theme="1"/>
        <rFont val="Arial"/>
        <family val="2"/>
      </rPr>
      <t>SY02-0102-6003</t>
    </r>
    <r>
      <rPr>
        <sz val="10.5"/>
        <color theme="1"/>
        <rFont val="仿宋"/>
        <family val="3"/>
        <charset val="134"/>
      </rPr>
      <t>号地块</t>
    </r>
  </si>
  <si>
    <t>系数</t>
  </si>
  <si>
    <t>中粮祥云小镇商铺</t>
  </si>
  <si>
    <t>府前西街商铺</t>
  </si>
  <si>
    <t>交易时间</t>
  </si>
  <si>
    <t>交易情况</t>
  </si>
  <si>
    <t>区域</t>
  </si>
  <si>
    <t>因素</t>
  </si>
  <si>
    <t>商业繁华度</t>
  </si>
  <si>
    <t>公共配套设施</t>
  </si>
  <si>
    <r>
      <t>估价对象周边</t>
    </r>
    <r>
      <rPr>
        <sz val="10.5"/>
        <color theme="1"/>
        <rFont val="Arial"/>
        <family val="2"/>
      </rPr>
      <t>2</t>
    </r>
    <r>
      <rPr>
        <sz val="10.5"/>
        <color theme="1"/>
        <rFont val="仿宋"/>
        <family val="3"/>
        <charset val="134"/>
      </rPr>
      <t>公里范围内有北京超天商贸中心、隆华购物中心、社区商业街、世纪华联超市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r>
  </si>
  <si>
    <t>基础设施水平</t>
  </si>
  <si>
    <t>估价对象所在区域基础设施水平达到七通。</t>
  </si>
  <si>
    <t>所在区域基础设施水平达到七通。</t>
  </si>
  <si>
    <t>人流量</t>
  </si>
  <si>
    <t>楼层</t>
  </si>
  <si>
    <r>
      <t>1</t>
    </r>
    <r>
      <rPr>
        <sz val="10.5"/>
        <color theme="1"/>
        <rFont val="仿宋"/>
        <family val="3"/>
        <charset val="134"/>
      </rPr>
      <t>层</t>
    </r>
  </si>
  <si>
    <t>个别</t>
  </si>
  <si>
    <t>商业类型</t>
  </si>
  <si>
    <t>住宅配套商业</t>
  </si>
  <si>
    <t>成新度</t>
  </si>
  <si>
    <r>
      <t>90%—100%</t>
    </r>
    <r>
      <rPr>
        <sz val="10.5"/>
        <color theme="1"/>
        <rFont val="仿宋"/>
        <family val="3"/>
        <charset val="134"/>
      </rPr>
      <t>（含）</t>
    </r>
  </si>
  <si>
    <t>顺义金街华联购物中心商铺</t>
    <phoneticPr fontId="224" type="noConversion"/>
  </si>
  <si>
    <t>1-2层</t>
    <phoneticPr fontId="224" type="noConversion"/>
  </si>
  <si>
    <r>
      <t>80%—90%</t>
    </r>
    <r>
      <rPr>
        <sz val="10.5"/>
        <color theme="1"/>
        <rFont val="仿宋"/>
        <family val="3"/>
        <charset val="134"/>
      </rPr>
      <t>（含）</t>
    </r>
    <phoneticPr fontId="224" type="noConversion"/>
  </si>
  <si>
    <t>项目建筑规模(平方米)</t>
    <phoneticPr fontId="224" type="noConversion"/>
  </si>
  <si>
    <r>
      <t>估价对象位于北京市顺义区高丽营镇夏县营村，周边</t>
    </r>
    <r>
      <rPr>
        <sz val="10.5"/>
        <color theme="1"/>
        <rFont val="Arial"/>
        <family val="2"/>
      </rPr>
      <t>2</t>
    </r>
    <r>
      <rPr>
        <sz val="10.5"/>
        <color theme="1"/>
        <rFont val="仿宋"/>
        <family val="3"/>
        <charset val="134"/>
      </rPr>
      <t>公里范围内有社区商业街，北京超天商贸中心、隆华购物中心以及零星临街商铺，无大型购物中心，商业繁华度较差。</t>
    </r>
    <phoneticPr fontId="224" type="noConversion"/>
  </si>
  <si>
    <r>
      <t>估价对象属于北京市顺义区高丽营镇夏县营村，估价对象紧临城市主干道——火寺路、周边</t>
    </r>
    <r>
      <rPr>
        <sz val="10.5"/>
        <color theme="1"/>
        <rFont val="Arial"/>
        <family val="2"/>
      </rPr>
      <t>1</t>
    </r>
    <r>
      <rPr>
        <sz val="10.5"/>
        <color theme="1"/>
        <rFont val="仿宋"/>
        <family val="3"/>
        <charset val="134"/>
      </rPr>
      <t>公里范围内有顺</t>
    </r>
    <r>
      <rPr>
        <sz val="10.5"/>
        <color theme="1"/>
        <rFont val="Arial"/>
        <family val="2"/>
      </rPr>
      <t>25</t>
    </r>
    <r>
      <rPr>
        <sz val="10.5"/>
        <color theme="1"/>
        <rFont val="仿宋"/>
        <family val="3"/>
        <charset val="134"/>
      </rPr>
      <t>路、顺</t>
    </r>
    <r>
      <rPr>
        <sz val="10.5"/>
        <color theme="1"/>
        <rFont val="Arial"/>
        <family val="2"/>
      </rPr>
      <t>42</t>
    </r>
    <r>
      <rPr>
        <sz val="10.5"/>
        <color theme="1"/>
        <rFont val="仿宋"/>
        <family val="3"/>
        <charset val="134"/>
      </rPr>
      <t>路、顺</t>
    </r>
    <r>
      <rPr>
        <sz val="10.5"/>
        <color theme="1"/>
        <rFont val="Arial"/>
        <family val="2"/>
      </rPr>
      <t>49</t>
    </r>
    <r>
      <rPr>
        <sz val="10.5"/>
        <color theme="1"/>
        <rFont val="仿宋"/>
        <family val="3"/>
        <charset val="134"/>
      </rPr>
      <t>路、顺</t>
    </r>
    <r>
      <rPr>
        <sz val="10.5"/>
        <color theme="1"/>
        <rFont val="Arial"/>
        <family val="2"/>
      </rPr>
      <t>69</t>
    </r>
    <r>
      <rPr>
        <sz val="10.5"/>
        <color theme="1"/>
        <rFont val="仿宋"/>
        <family val="3"/>
        <charset val="134"/>
      </rPr>
      <t>路等公交线路，区域内交通一般，区域间通达性较差，综合评价交通便捷度较差。</t>
    </r>
    <phoneticPr fontId="224" type="noConversion"/>
  </si>
  <si>
    <t>案例D周边2公里范围内有北京华联顺义金街购物中心、新世界百货（新顺南大街千姿店）、国泰百货（新顺南大街店）等购物广场，商业繁华度较好</t>
    <phoneticPr fontId="224" type="noConversion"/>
  </si>
  <si>
    <r>
      <t>估价对位于北京市顺义区高丽营镇夏县营村，周边</t>
    </r>
    <r>
      <rPr>
        <sz val="10.5"/>
        <color theme="1"/>
        <rFont val="Arial"/>
        <family val="2"/>
      </rPr>
      <t>2</t>
    </r>
    <r>
      <rPr>
        <sz val="10.5"/>
        <color theme="1"/>
        <rFont val="仿宋"/>
        <family val="3"/>
        <charset val="134"/>
      </rPr>
      <t>公里南郎中休闲公园、口袋公园、方氏渠等自然环境；无人文环境；综合评价环境状况一般。</t>
    </r>
    <phoneticPr fontId="224" type="noConversion"/>
  </si>
  <si>
    <t>周边2公里顺义公园、潮白河森林公园、光明文化广场、顺义区工人文化宫、潮白河等自然环境及无人文环境；综合评价环境状况较好</t>
    <phoneticPr fontId="224" type="noConversion"/>
  </si>
  <si>
    <t>建筑结构</t>
    <phoneticPr fontId="224" type="noConversion"/>
  </si>
  <si>
    <t>公共部分装修</t>
    <phoneticPr fontId="224" type="noConversion"/>
  </si>
  <si>
    <t>案例F周边2公里范围内有北京华联顺义金街购物中心、新世界百货（新顺南大街千姿店）、国泰百货（新顺南大街店）等购物广场，商业繁华度较好</t>
    <phoneticPr fontId="224" type="noConversion"/>
  </si>
  <si>
    <t>案例D周边2公里范围内有北京华联顺义金街购物中心、新世界百货（新顺南大街千姿店）、国泰百货（新顺南大街店）等商业服务设施；广发银行（北京顺义支行）、招商银行（北京顺义支行）、中国农业银行（北京顺义支行营业部）、中国银行（北京顺义支行）等金融机构；仁和中学、顺义区第三中学、东风小学、北京市顺义区第四中学等教育资源；北京市顺义中医医院、北京市顺义区医院、北京京顺医院、中国人民解放军六六0五五等医疗设施，公共配套设施齐备情况较好</t>
    <phoneticPr fontId="224" type="noConversion"/>
  </si>
  <si>
    <t>案例F周边2公里范围内有北京华联顺义金街购物中心、新世界百货（新顺南大街千姿店）、国泰百货（新顺南大街店）等商业服务设施；广发银行（北京顺义支行）、招商银行（北京顺义支行）、中国农业银行（北京顺义支行营业部）、中国银行（北京顺义支行）等金融机构；仁和中学、顺义区第三中学、东风小学、北京市顺义区第四中学等教育资源；北京市顺义中医医院、北京市顺义区医院、北京京顺医院、中国人民解放军六六0五五等医疗设施，公共配套设施齐备情况较好</t>
    <phoneticPr fontId="224" type="noConversion"/>
  </si>
  <si>
    <t>案例D周边1公里范围内有顺12路、顺13路、顺14路、顺15路、顺16路、顺18路、顺22路、顺45路等多条公交线路，距离地铁15号线顺义站450米左右，区域内交通较好，区域间通达性较好，综合评价交通便捷度较好。</t>
    <phoneticPr fontId="224" type="noConversion"/>
  </si>
  <si>
    <t>案例F周边1公里范围内有顺12路、顺14路、顺15路、顺16路、顺17路、顺18路、顺22路、顺39路等多条公交线路，距离地铁15号线顺义站500米左右，区域内交通较好，区域间通达性较好，综合评价交通便捷度较好。</t>
    <phoneticPr fontId="224" type="noConversion"/>
  </si>
  <si>
    <t>案例E周边1公里范围内有顺22路、顺28路、顺58路、顺62路、顺65路、顺71路等多条公交线路，距离地铁15号线花梨坎站2公里左右，区域内交通一般，区域间通达性一般，综合评价交通便捷度一般</t>
    <phoneticPr fontId="224" type="noConversion"/>
  </si>
  <si>
    <t>案例E周边2公里范围内有中粮祥云小镇商业街、艾迪城等购物广场及临街商业，商业繁华度一般</t>
    <phoneticPr fontId="224" type="noConversion"/>
  </si>
  <si>
    <t>案例E周边2公里范围内有中粮祥云小镇商业街、艾迪城、临街商业等商业服务设施；中国工商银行、中国建设银行（北京自贸试验区临空经济核心区支行）、招商银行24小时自助银行（北京自贸试验区祥云小镇支行）等金融机构；北京市顺义区空港小学、北京顺义国际学校等教育资源；北京市顺义区空港医院、北京瀚洁吉源医院等医疗设施，公共配套设施齐备情况一般</t>
    <phoneticPr fontId="224" type="noConversion"/>
  </si>
  <si>
    <t>周边2公里罗马湖公园、安宁大街公园、温榆河公园、温榆河、中国国际展览中心（顺义馆）龙腾世纪文化广场等自然环境及无人文环境；综合评价环境状况较好</t>
    <phoneticPr fontId="224" type="noConversion"/>
  </si>
  <si>
    <t>/</t>
    <phoneticPr fontId="224" type="noConversion"/>
  </si>
  <si>
    <t>博润中心</t>
  </si>
  <si>
    <t>物业集聚程度</t>
  </si>
  <si>
    <t>建筑结构</t>
  </si>
  <si>
    <t>公共部分装修</t>
  </si>
  <si>
    <t>层高</t>
  </si>
  <si>
    <t>标准层高</t>
  </si>
  <si>
    <t>案例H</t>
    <phoneticPr fontId="224" type="noConversion"/>
  </si>
  <si>
    <t>数码视讯产业园</t>
    <phoneticPr fontId="224" type="noConversion"/>
  </si>
  <si>
    <t>城建道桥大厦</t>
    <phoneticPr fontId="224" type="noConversion"/>
  </si>
  <si>
    <r>
      <t>案例</t>
    </r>
    <r>
      <rPr>
        <sz val="8"/>
        <color theme="1"/>
        <rFont val="Arial"/>
        <family val="2"/>
      </rPr>
      <t>G</t>
    </r>
    <r>
      <rPr>
        <sz val="10"/>
        <color theme="1"/>
        <rFont val="仿宋"/>
        <family val="3"/>
        <charset val="134"/>
      </rPr>
      <t/>
    </r>
    <phoneticPr fontId="224" type="noConversion"/>
  </si>
  <si>
    <r>
      <t>北京市顺义区高丽营副中心区</t>
    </r>
    <r>
      <rPr>
        <sz val="8"/>
        <color theme="1"/>
        <rFont val="Arial"/>
        <family val="2"/>
      </rPr>
      <t>SY02-0102-6003</t>
    </r>
    <r>
      <rPr>
        <sz val="8"/>
        <color theme="1"/>
        <rFont val="仿宋"/>
        <family val="3"/>
        <charset val="134"/>
      </rPr>
      <t>号地块</t>
    </r>
  </si>
  <si>
    <t>项目建筑规模(平方米)</t>
    <phoneticPr fontId="224" type="noConversion"/>
  </si>
  <si>
    <t>钢混</t>
    <phoneticPr fontId="224" type="noConversion"/>
  </si>
  <si>
    <t>80%—90%（含）</t>
  </si>
  <si>
    <t>精装修</t>
    <phoneticPr fontId="224" type="noConversion"/>
  </si>
  <si>
    <t>90%—100%（含）</t>
  </si>
  <si>
    <t>标准层高</t>
    <phoneticPr fontId="224" type="noConversion"/>
  </si>
  <si>
    <t>估价对象位于北京市顺义区高丽营镇夏县营村，周边2公里范围内有双悦大楼、智慧谷商务中心等办公项目，周边公共服务物业数量较少，物业集聚程度较差。</t>
    <phoneticPr fontId="224" type="noConversion"/>
  </si>
  <si>
    <t>估价对象属于北京市顺义区高丽营镇夏县营村，估价对象紧临城市主干道——火寺路、周边1公里范围内有顺25路、顺42路、顺49路、顺69路等公交线路，区域内交通一般，区域间通达性较差，综合评价交通便捷度较差。</t>
    <phoneticPr fontId="224" type="noConversion"/>
  </si>
  <si>
    <t>估价对象周边2公里范围内有北京超天商贸中心、隆华购物中心、社区商业街、世纪华联超市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phoneticPr fontId="224" type="noConversion"/>
  </si>
  <si>
    <t>案例G周边约2公里范围内有中关村顺义园、理想汽车北京研发总部等办公园区，周边公共服务物业数量较少，物业集聚程度较差</t>
    <phoneticPr fontId="224" type="noConversion"/>
  </si>
  <si>
    <t>案例G周边1公里有快速直达专线41路、顺49路、顺67路、顺69路等公交线路，区域内交通一般，区域间通达性较差，综合评价交通便捷度较差。较差</t>
    <phoneticPr fontId="224" type="noConversion"/>
  </si>
  <si>
    <t>案例G周边约2公里范围内有丽喜花园商业街、临街商业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phoneticPr fontId="224" type="noConversion"/>
  </si>
  <si>
    <t>案例G周边约2公里范围内南郎中休闲公园等自然环境；无人文环境；综合评价环境状况一般。</t>
    <phoneticPr fontId="224" type="noConversion"/>
  </si>
  <si>
    <t>估价对象位于北京市顺义区高丽营镇夏县营村，周边2公里南郎中休闲公园、口袋公园、方氏渠等自然环境；无人文环境；综合评价环境状况一般。</t>
    <phoneticPr fontId="224" type="noConversion"/>
  </si>
  <si>
    <t>案例H周边约2公里有绿地启航国际、中景江山赋写字楼、信得科技办公楼等办公项目，物业集聚程度较好</t>
    <phoneticPr fontId="224" type="noConversion"/>
  </si>
  <si>
    <r>
      <t>案例</t>
    </r>
    <r>
      <rPr>
        <sz val="8"/>
        <color theme="1"/>
        <rFont val="Arial"/>
        <family val="2"/>
      </rPr>
      <t>H</t>
    </r>
    <r>
      <rPr>
        <sz val="8"/>
        <color theme="1"/>
        <rFont val="仿宋"/>
        <family val="3"/>
        <charset val="134"/>
      </rPr>
      <t>靠近机场北线高速，临近城市高速路</t>
    </r>
    <r>
      <rPr>
        <sz val="8"/>
        <color theme="1"/>
        <rFont val="Arial"/>
        <family val="2"/>
      </rPr>
      <t>——</t>
    </r>
    <r>
      <rPr>
        <sz val="8"/>
        <color theme="1"/>
        <rFont val="仿宋"/>
        <family val="3"/>
        <charset val="134"/>
      </rPr>
      <t>机场北线高速，有空港</t>
    </r>
    <r>
      <rPr>
        <sz val="8"/>
        <color theme="1"/>
        <rFont val="Arial"/>
        <family val="2"/>
      </rPr>
      <t>3</t>
    </r>
    <r>
      <rPr>
        <sz val="8"/>
        <color theme="1"/>
        <rFont val="仿宋"/>
        <family val="3"/>
        <charset val="134"/>
      </rPr>
      <t>路、顺</t>
    </r>
    <r>
      <rPr>
        <sz val="8"/>
        <color theme="1"/>
        <rFont val="Arial"/>
        <family val="2"/>
      </rPr>
      <t>57</t>
    </r>
    <r>
      <rPr>
        <sz val="8"/>
        <color theme="1"/>
        <rFont val="仿宋"/>
        <family val="3"/>
        <charset val="134"/>
      </rPr>
      <t>路、顺</t>
    </r>
    <r>
      <rPr>
        <sz val="8"/>
        <color theme="1"/>
        <rFont val="Arial"/>
        <family val="2"/>
      </rPr>
      <t>58</t>
    </r>
    <r>
      <rPr>
        <sz val="8"/>
        <color theme="1"/>
        <rFont val="仿宋"/>
        <family val="3"/>
        <charset val="134"/>
      </rPr>
      <t>路、</t>
    </r>
    <r>
      <rPr>
        <sz val="8"/>
        <color theme="1"/>
        <rFont val="Arial"/>
        <family val="2"/>
      </rPr>
      <t>59</t>
    </r>
    <r>
      <rPr>
        <sz val="8"/>
        <color theme="1"/>
        <rFont val="仿宋"/>
        <family val="3"/>
        <charset val="134"/>
      </rPr>
      <t>路、顺</t>
    </r>
    <r>
      <rPr>
        <sz val="8"/>
        <color theme="1"/>
        <rFont val="Arial"/>
        <family val="2"/>
      </rPr>
      <t>69</t>
    </r>
    <r>
      <rPr>
        <sz val="8"/>
        <color theme="1"/>
        <rFont val="仿宋"/>
        <family val="3"/>
        <charset val="134"/>
      </rPr>
      <t>路、顺</t>
    </r>
    <r>
      <rPr>
        <sz val="8"/>
        <color theme="1"/>
        <rFont val="Arial"/>
        <family val="2"/>
      </rPr>
      <t>69</t>
    </r>
    <r>
      <rPr>
        <sz val="8"/>
        <color theme="1"/>
        <rFont val="仿宋"/>
        <family val="3"/>
        <charset val="134"/>
      </rPr>
      <t>路区间等多条公交线路通过，距地铁</t>
    </r>
    <r>
      <rPr>
        <sz val="8"/>
        <color theme="1"/>
        <rFont val="Arial"/>
        <family val="2"/>
      </rPr>
      <t>15</t>
    </r>
    <r>
      <rPr>
        <sz val="8"/>
        <color theme="1"/>
        <rFont val="仿宋"/>
        <family val="3"/>
        <charset val="134"/>
      </rPr>
      <t>号线（后沙峪站）约</t>
    </r>
    <r>
      <rPr>
        <sz val="8"/>
        <color theme="1"/>
        <rFont val="Arial"/>
        <family val="2"/>
      </rPr>
      <t>0.9</t>
    </r>
    <r>
      <rPr>
        <sz val="8"/>
        <color theme="1"/>
        <rFont val="仿宋"/>
        <family val="3"/>
        <charset val="134"/>
      </rPr>
      <t>公里，综合评价交通便捷度较好。</t>
    </r>
    <phoneticPr fontId="224" type="noConversion"/>
  </si>
  <si>
    <r>
      <t>案例</t>
    </r>
    <r>
      <rPr>
        <sz val="8"/>
        <color theme="1"/>
        <rFont val="Arial"/>
        <family val="2"/>
      </rPr>
      <t>H</t>
    </r>
    <r>
      <rPr>
        <sz val="8"/>
        <color theme="1"/>
        <rFont val="仿宋"/>
        <family val="3"/>
        <charset val="134"/>
      </rPr>
      <t>周边约</t>
    </r>
    <r>
      <rPr>
        <sz val="8"/>
        <color theme="1"/>
        <rFont val="Arial"/>
        <family val="2"/>
      </rPr>
      <t>2</t>
    </r>
    <r>
      <rPr>
        <sz val="8"/>
        <color theme="1"/>
        <rFont val="仿宋"/>
        <family val="3"/>
        <charset val="134"/>
      </rPr>
      <t>公里内有花博会主题公园、兴峪城市森林公园、青年体育公园等自然公园，绿化条件较好；周边</t>
    </r>
    <r>
      <rPr>
        <sz val="8"/>
        <color theme="1"/>
        <rFont val="Arial"/>
        <family val="2"/>
      </rPr>
      <t>2</t>
    </r>
    <r>
      <rPr>
        <sz val="8"/>
        <color theme="1"/>
        <rFont val="仿宋"/>
        <family val="3"/>
        <charset val="134"/>
      </rPr>
      <t>公里内有吾心文化广场等人文场所。综合考虑自然环境与人文环境较好。</t>
    </r>
    <phoneticPr fontId="224" type="noConversion"/>
  </si>
  <si>
    <r>
      <t>案例</t>
    </r>
    <r>
      <rPr>
        <sz val="8"/>
        <color theme="1"/>
        <rFont val="Arial"/>
        <family val="2"/>
      </rPr>
      <t>H</t>
    </r>
    <r>
      <rPr>
        <sz val="8"/>
        <color theme="1"/>
        <rFont val="仿宋"/>
        <family val="3"/>
        <charset val="134"/>
      </rPr>
      <t>周边约</t>
    </r>
    <r>
      <rPr>
        <sz val="8"/>
        <color theme="1"/>
        <rFont val="Arial"/>
        <family val="2"/>
      </rPr>
      <t>2</t>
    </r>
    <r>
      <rPr>
        <sz val="8"/>
        <color theme="1"/>
        <rFont val="仿宋"/>
        <family val="3"/>
        <charset val="134"/>
      </rPr>
      <t>公里内有禾光幼儿园、后沙峪中心小学、顺义第十中学等教育资源，有上海银行</t>
    </r>
    <r>
      <rPr>
        <sz val="8"/>
        <color theme="1"/>
        <rFont val="Arial"/>
        <family val="2"/>
      </rPr>
      <t>(</t>
    </r>
    <r>
      <rPr>
        <sz val="8"/>
        <color theme="1"/>
        <rFont val="仿宋"/>
        <family val="3"/>
        <charset val="134"/>
      </rPr>
      <t>顺义支行</t>
    </r>
    <r>
      <rPr>
        <sz val="8"/>
        <color theme="1"/>
        <rFont val="Arial"/>
        <family val="2"/>
      </rPr>
      <t>)</t>
    </r>
    <r>
      <rPr>
        <sz val="8"/>
        <color theme="1"/>
        <rFont val="仿宋"/>
        <family val="3"/>
        <charset val="134"/>
      </rPr>
      <t>、中国光大银行</t>
    </r>
    <r>
      <rPr>
        <sz val="8"/>
        <color theme="1"/>
        <rFont val="Arial"/>
        <family val="2"/>
      </rPr>
      <t>(</t>
    </r>
    <r>
      <rPr>
        <sz val="8"/>
        <color theme="1"/>
        <rFont val="仿宋"/>
        <family val="3"/>
        <charset val="134"/>
      </rPr>
      <t>顺义后沙峪支行</t>
    </r>
    <r>
      <rPr>
        <sz val="8"/>
        <color theme="1"/>
        <rFont val="Arial"/>
        <family val="2"/>
      </rPr>
      <t>)</t>
    </r>
    <r>
      <rPr>
        <sz val="8"/>
        <color theme="1"/>
        <rFont val="仿宋"/>
        <family val="3"/>
        <charset val="134"/>
      </rPr>
      <t>等金融机构，有山姆会员商店</t>
    </r>
    <r>
      <rPr>
        <sz val="8"/>
        <color theme="1"/>
        <rFont val="Arial"/>
        <family val="2"/>
      </rPr>
      <t>(</t>
    </r>
    <r>
      <rPr>
        <sz val="8"/>
        <color theme="1"/>
        <rFont val="仿宋"/>
        <family val="3"/>
        <charset val="134"/>
      </rPr>
      <t>顺义店</t>
    </r>
    <r>
      <rPr>
        <sz val="8"/>
        <color theme="1"/>
        <rFont val="Arial"/>
        <family val="2"/>
      </rPr>
      <t>)</t>
    </r>
    <r>
      <rPr>
        <sz val="8"/>
        <color theme="1"/>
        <rFont val="仿宋"/>
        <family val="3"/>
        <charset val="134"/>
      </rPr>
      <t>、永辉超市</t>
    </r>
    <r>
      <rPr>
        <sz val="8"/>
        <color theme="1"/>
        <rFont val="Arial"/>
        <family val="2"/>
      </rPr>
      <t>(</t>
    </r>
    <r>
      <rPr>
        <sz val="8"/>
        <color theme="1"/>
        <rFont val="仿宋"/>
        <family val="3"/>
        <charset val="134"/>
      </rPr>
      <t>枫尚世纪奥特莱斯购物广场店</t>
    </r>
    <r>
      <rPr>
        <sz val="8"/>
        <color theme="1"/>
        <rFont val="Arial"/>
        <family val="2"/>
      </rPr>
      <t>)</t>
    </r>
    <r>
      <rPr>
        <sz val="8"/>
        <color theme="1"/>
        <rFont val="仿宋"/>
        <family val="3"/>
        <charset val="134"/>
      </rPr>
      <t>等商业服务设施，有北京市顺义区空港医院、北京杏园金方国医医院等医疗设施，公共服务设施齐备度较好。</t>
    </r>
    <phoneticPr fontId="224" type="noConversion"/>
  </si>
  <si>
    <t>案例I周边约2公里有嘉和一品写字楼、天博中心、顺接大厦、圣宇大厦、泰吉尔商务中心写字楼等办公项目，物业集聚程度较好</t>
    <phoneticPr fontId="224" type="noConversion"/>
  </si>
  <si>
    <r>
      <t>案例</t>
    </r>
    <r>
      <rPr>
        <sz val="8"/>
        <color theme="1"/>
        <rFont val="Arial"/>
        <family val="2"/>
      </rPr>
      <t>I</t>
    </r>
    <r>
      <rPr>
        <sz val="8"/>
        <color theme="1"/>
        <rFont val="仿宋"/>
        <family val="3"/>
        <charset val="134"/>
      </rPr>
      <t>靠近东六环快速路，有顺</t>
    </r>
    <r>
      <rPr>
        <sz val="8"/>
        <color theme="1"/>
        <rFont val="Arial"/>
        <family val="2"/>
      </rPr>
      <t>2</t>
    </r>
    <r>
      <rPr>
        <sz val="8"/>
        <color theme="1"/>
        <rFont val="仿宋"/>
        <family val="3"/>
        <charset val="134"/>
      </rPr>
      <t>路、顺</t>
    </r>
    <r>
      <rPr>
        <sz val="8"/>
        <color theme="1"/>
        <rFont val="Arial"/>
        <family val="2"/>
      </rPr>
      <t>4</t>
    </r>
    <r>
      <rPr>
        <sz val="8"/>
        <color theme="1"/>
        <rFont val="仿宋"/>
        <family val="3"/>
        <charset val="134"/>
      </rPr>
      <t>路、顺</t>
    </r>
    <r>
      <rPr>
        <sz val="8"/>
        <color theme="1"/>
        <rFont val="Arial"/>
        <family val="2"/>
      </rPr>
      <t>66</t>
    </r>
    <r>
      <rPr>
        <sz val="8"/>
        <color theme="1"/>
        <rFont val="仿宋"/>
        <family val="3"/>
        <charset val="134"/>
      </rPr>
      <t>路、空港</t>
    </r>
    <r>
      <rPr>
        <sz val="8"/>
        <color theme="1"/>
        <rFont val="Arial"/>
        <family val="2"/>
      </rPr>
      <t>15</t>
    </r>
    <r>
      <rPr>
        <sz val="8"/>
        <color theme="1"/>
        <rFont val="仿宋"/>
        <family val="3"/>
        <charset val="134"/>
      </rPr>
      <t>路、郊</t>
    </r>
    <r>
      <rPr>
        <sz val="8"/>
        <color theme="1"/>
        <rFont val="Arial"/>
        <family val="2"/>
      </rPr>
      <t>100</t>
    </r>
    <r>
      <rPr>
        <sz val="8"/>
        <color theme="1"/>
        <rFont val="仿宋"/>
        <family val="3"/>
        <charset val="134"/>
      </rPr>
      <t>路等多条公交线路通过，距地铁</t>
    </r>
    <r>
      <rPr>
        <sz val="8"/>
        <color theme="1"/>
        <rFont val="Arial"/>
        <family val="2"/>
      </rPr>
      <t>15</t>
    </r>
    <r>
      <rPr>
        <sz val="8"/>
        <color theme="1"/>
        <rFont val="仿宋"/>
        <family val="3"/>
        <charset val="134"/>
      </rPr>
      <t>号线（南法信站）约</t>
    </r>
    <r>
      <rPr>
        <sz val="8"/>
        <color theme="1"/>
        <rFont val="Arial"/>
        <family val="2"/>
      </rPr>
      <t>0.5</t>
    </r>
    <r>
      <rPr>
        <sz val="8"/>
        <color theme="1"/>
        <rFont val="仿宋"/>
        <family val="3"/>
        <charset val="134"/>
      </rPr>
      <t>公里，综合评价交通便捷度较好。</t>
    </r>
    <phoneticPr fontId="224" type="noConversion"/>
  </si>
  <si>
    <r>
      <t>案例</t>
    </r>
    <r>
      <rPr>
        <sz val="8"/>
        <color theme="1"/>
        <rFont val="Arial"/>
        <family val="2"/>
      </rPr>
      <t>I</t>
    </r>
    <r>
      <rPr>
        <sz val="8"/>
        <color theme="1"/>
        <rFont val="仿宋"/>
        <family val="3"/>
        <charset val="134"/>
      </rPr>
      <t>周边</t>
    </r>
    <r>
      <rPr>
        <sz val="8"/>
        <color theme="1"/>
        <rFont val="Arial"/>
        <family val="2"/>
      </rPr>
      <t>2</t>
    </r>
    <r>
      <rPr>
        <sz val="8"/>
        <color theme="1"/>
        <rFont val="仿宋"/>
        <family val="3"/>
        <charset val="134"/>
      </rPr>
      <t>公里内有南法信中心小学、南法信中学、北京市顺义区第二中学等教育资源，有南京银行北京顺义支行、北京农商银行南法信支行、中国农业银行等金融机构，有家得利超市、大菜框超市、亿宏盛建材城、石门市场、社区商业街等商业服务设施，有北京市顺义区南法信卫生院、北京市顺义区城区社区卫生服务中心宏城花园社区卫生服务站、忠锐口腔科等医疗设施，公共服务设施齐备度较好。</t>
    </r>
    <phoneticPr fontId="224" type="noConversion"/>
  </si>
  <si>
    <r>
      <t>案例</t>
    </r>
    <r>
      <rPr>
        <sz val="8"/>
        <color theme="1"/>
        <rFont val="Arial"/>
        <family val="2"/>
      </rPr>
      <t>I</t>
    </r>
    <r>
      <rPr>
        <sz val="8"/>
        <color theme="1"/>
        <rFont val="仿宋"/>
        <family val="3"/>
        <charset val="134"/>
      </rPr>
      <t>周边约</t>
    </r>
    <r>
      <rPr>
        <sz val="8"/>
        <color theme="1"/>
        <rFont val="Arial"/>
        <family val="2"/>
      </rPr>
      <t>2</t>
    </r>
    <r>
      <rPr>
        <sz val="8"/>
        <color theme="1"/>
        <rFont val="仿宋"/>
        <family val="3"/>
        <charset val="134"/>
      </rPr>
      <t>公里内有卧龙省市森林绿地、小中河、仁和文体广场等自然环境；无人文环境；综合评价环境状况一般。</t>
    </r>
    <phoneticPr fontId="224" type="noConversion"/>
  </si>
  <si>
    <r>
      <t>案例</t>
    </r>
    <r>
      <rPr>
        <sz val="8"/>
        <color theme="1"/>
        <rFont val="Arial"/>
        <family val="2"/>
      </rPr>
      <t>I</t>
    </r>
    <phoneticPr fontId="224" type="noConversion"/>
  </si>
  <si>
    <t>数码视讯产业园</t>
    <phoneticPr fontId="224" type="noConversion"/>
  </si>
  <si>
    <t>博润中心</t>
    <phoneticPr fontId="224" type="noConversion"/>
  </si>
  <si>
    <t>城建道桥大厦</t>
    <phoneticPr fontId="224" type="noConversion"/>
  </si>
  <si>
    <t>项目名称</t>
  </si>
  <si>
    <t>审定熟地价</t>
  </si>
  <si>
    <t>（元/㎡）</t>
  </si>
  <si>
    <t>审定日期</t>
  </si>
  <si>
    <t>顺义区高丽营镇SY02-0102-6001、SY02-0102-6002地块R2二类居住用地</t>
    <phoneticPr fontId="224" type="noConversion"/>
  </si>
  <si>
    <t>首开富力·金禧璞瑅</t>
    <phoneticPr fontId="224" type="noConversion"/>
  </si>
  <si>
    <t>观承望溪 （新房）</t>
    <phoneticPr fontId="224" type="noConversion"/>
  </si>
  <si>
    <t>顺义区高丽营镇于庄SY02-0103-6004、SY02-0103-6007地块R2二类居住用地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</si>
</sst>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 numFmtId="198" formatCode="_ \¥* #,##0.00_ ;_ \¥* \-#,##0.00_ ;_ \¥* &quot;-&quot;??_ ;_ @_ "/>
  </numFmts>
  <fonts count="33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
      <sz val="9"/>
      <color rgb="FF000000"/>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sz val="11"/>
      <color rgb="FF000000"/>
      <name val="宋体"/>
      <family val="3"/>
      <charset val="134"/>
    </font>
    <font>
      <sz val="10"/>
      <color rgb="FFFF0000"/>
      <name val="宋体"/>
      <family val="1"/>
      <scheme val="minor"/>
    </font>
    <font>
      <sz val="10.5"/>
      <color theme="1"/>
      <name val="仿宋"/>
      <family val="3"/>
      <charset val="134"/>
    </font>
    <font>
      <sz val="10.5"/>
      <color theme="1"/>
      <name val="Arial"/>
      <family val="2"/>
    </font>
    <font>
      <sz val="10"/>
      <color theme="1"/>
      <name val="仿宋"/>
      <family val="3"/>
      <charset val="134"/>
    </font>
    <font>
      <sz val="8"/>
      <color theme="1"/>
      <name val="仿宋"/>
      <family val="3"/>
      <charset val="134"/>
    </font>
    <font>
      <sz val="8"/>
      <color theme="1"/>
      <name val="Arial"/>
      <family val="2"/>
    </font>
    <font>
      <sz val="8"/>
      <color theme="1"/>
      <name val="宋体"/>
      <family val="3"/>
      <charset val="134"/>
      <scheme val="minor"/>
    </font>
    <font>
      <sz val="8"/>
      <color theme="1"/>
      <name val="Times New Roman"/>
      <family val="1"/>
    </font>
    <font>
      <sz val="10"/>
      <color rgb="FF000000"/>
      <name val="微软雅黑"/>
      <family val="2"/>
      <charset val="134"/>
    </font>
    <font>
      <sz val="18"/>
      <color theme="1"/>
      <name val="宋体"/>
      <family val="3"/>
      <charset val="134"/>
      <scheme val="minor"/>
    </font>
    <font>
      <sz val="18"/>
      <color rgb="FF00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EAEFF7"/>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xf numFmtId="198" fontId="141" fillId="0" borderId="0" applyFont="0" applyFill="0" applyBorder="0" applyAlignment="0" applyProtection="0">
      <alignment vertical="center"/>
    </xf>
  </cellStyleXfs>
  <cellXfs count="4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0"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lignment vertical="center"/>
    </xf>
    <xf numFmtId="0" fontId="141" fillId="6" borderId="0" xfId="0" applyFont="1" applyFill="1">
      <alignment vertical="center"/>
    </xf>
    <xf numFmtId="0" fontId="0" fillId="6" borderId="0" xfId="0"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324" fillId="0" borderId="2" xfId="18" applyFont="1" applyFill="1" applyBorder="1" applyAlignment="1">
      <alignment horizontal="center" vertical="center" wrapText="1"/>
    </xf>
    <xf numFmtId="0" fontId="160" fillId="0" borderId="0" xfId="4" applyFont="1" applyAlignment="1">
      <alignment horizontal="center" vertical="center"/>
    </xf>
    <xf numFmtId="0" fontId="160" fillId="6" borderId="0" xfId="4" applyFont="1" applyFill="1" applyAlignment="1">
      <alignment horizontal="center" vertical="center"/>
    </xf>
    <xf numFmtId="0" fontId="165" fillId="0" borderId="2" xfId="4" applyFont="1" applyBorder="1" applyAlignment="1">
      <alignment horizontal="center" vertical="center"/>
    </xf>
    <xf numFmtId="49" fontId="160" fillId="0" borderId="2" xfId="4" applyNumberFormat="1" applyFont="1" applyBorder="1" applyAlignment="1">
      <alignment horizontal="center" vertical="center"/>
    </xf>
    <xf numFmtId="0" fontId="160" fillId="0" borderId="2" xfId="4" applyFont="1" applyBorder="1" applyAlignment="1">
      <alignment horizontal="center" vertical="center"/>
    </xf>
    <xf numFmtId="186" fontId="160" fillId="6" borderId="2" xfId="4" applyNumberFormat="1" applyFont="1" applyFill="1" applyBorder="1" applyAlignment="1">
      <alignment horizontal="center" vertical="center"/>
    </xf>
    <xf numFmtId="0" fontId="160" fillId="0" borderId="2" xfId="4" applyFont="1" applyBorder="1" applyAlignment="1">
      <alignment horizontal="center" vertical="center" wrapText="1"/>
    </xf>
    <xf numFmtId="0" fontId="160" fillId="0" borderId="0" xfId="4" applyFont="1" applyBorder="1" applyAlignment="1">
      <alignment horizontal="center" vertical="center"/>
    </xf>
    <xf numFmtId="0" fontId="160" fillId="0" borderId="2" xfId="4" applyFont="1" applyFill="1" applyBorder="1" applyAlignment="1">
      <alignment horizontal="center" vertical="center"/>
    </xf>
    <xf numFmtId="0" fontId="160" fillId="29" borderId="2" xfId="4" applyFont="1" applyFill="1" applyBorder="1" applyAlignment="1">
      <alignment horizontal="center" vertical="center"/>
    </xf>
    <xf numFmtId="0" fontId="160" fillId="0" borderId="0" xfId="4" applyFont="1" applyFill="1" applyAlignment="1">
      <alignment horizontal="center" vertical="center" wrapText="1"/>
    </xf>
    <xf numFmtId="0" fontId="160" fillId="0" borderId="0" xfId="4" applyFont="1" applyFill="1" applyBorder="1" applyAlignment="1">
      <alignment horizontal="center" wrapText="1"/>
    </xf>
    <xf numFmtId="0" fontId="160" fillId="0" borderId="0" xfId="4" applyFont="1" applyFill="1" applyBorder="1" applyAlignment="1">
      <alignment horizontal="center" vertical="center" wrapText="1"/>
    </xf>
    <xf numFmtId="0" fontId="160" fillId="0" borderId="0" xfId="4" applyFont="1" applyFill="1" applyBorder="1" applyAlignment="1">
      <alignment horizontal="center" vertical="center"/>
    </xf>
    <xf numFmtId="0" fontId="160" fillId="0" borderId="0" xfId="4" applyFont="1" applyBorder="1" applyAlignment="1">
      <alignment horizontal="center"/>
    </xf>
    <xf numFmtId="0" fontId="160" fillId="0" borderId="0" xfId="4" applyFont="1" applyFill="1" applyAlignment="1">
      <alignment horizontal="center" wrapText="1"/>
    </xf>
    <xf numFmtId="0" fontId="165" fillId="0" borderId="2" xfId="4" applyFont="1" applyFill="1" applyBorder="1" applyAlignment="1">
      <alignment horizontal="center" vertical="center" wrapText="1"/>
    </xf>
    <xf numFmtId="198" fontId="165" fillId="0" borderId="2" xfId="22" applyFont="1" applyFill="1" applyBorder="1" applyAlignment="1">
      <alignment horizontal="center" vertical="center" wrapText="1"/>
    </xf>
    <xf numFmtId="186" fontId="160" fillId="0" borderId="2" xfId="4" applyNumberFormat="1" applyFont="1" applyFill="1" applyBorder="1" applyAlignment="1">
      <alignment horizontal="center" vertical="center"/>
    </xf>
    <xf numFmtId="178" fontId="160" fillId="0" borderId="2" xfId="4" applyNumberFormat="1" applyFont="1" applyFill="1" applyBorder="1" applyAlignment="1">
      <alignment horizontal="center" vertical="center"/>
    </xf>
    <xf numFmtId="178" fontId="160" fillId="0" borderId="2" xfId="4" applyNumberFormat="1" applyFont="1" applyBorder="1" applyAlignment="1">
      <alignment horizontal="center" vertical="center"/>
    </xf>
    <xf numFmtId="186" fontId="160" fillId="0" borderId="2" xfId="4" applyNumberFormat="1" applyFont="1" applyBorder="1" applyAlignment="1">
      <alignment horizontal="center" vertical="center"/>
    </xf>
    <xf numFmtId="0" fontId="160" fillId="0" borderId="0" xfId="4" applyFont="1" applyAlignment="1">
      <alignment horizontal="center"/>
    </xf>
    <xf numFmtId="0" fontId="160" fillId="0" borderId="0" xfId="4" applyFont="1" applyFill="1" applyAlignment="1">
      <alignment horizontal="center" vertical="center"/>
    </xf>
    <xf numFmtId="0" fontId="104" fillId="5" borderId="30" xfId="0" applyNumberFormat="1" applyFont="1" applyFill="1" applyBorder="1" applyAlignment="1" applyProtection="1">
      <alignment vertical="center" wrapText="1"/>
      <protection locked="0"/>
    </xf>
    <xf numFmtId="0" fontId="104" fillId="5" borderId="59" xfId="0" applyNumberFormat="1" applyFont="1" applyFill="1" applyBorder="1" applyAlignment="1" applyProtection="1">
      <alignment vertical="center" wrapText="1"/>
      <protection locked="0"/>
    </xf>
    <xf numFmtId="182" fontId="79" fillId="5" borderId="48" xfId="0" applyNumberFormat="1" applyFont="1" applyFill="1" applyBorder="1" applyAlignment="1" applyProtection="1">
      <alignment horizontal="left" vertical="center" wrapText="1"/>
      <protection locked="0"/>
    </xf>
    <xf numFmtId="0" fontId="317" fillId="29" borderId="2" xfId="20" applyNumberFormat="1" applyFont="1" applyFill="1" applyBorder="1" applyAlignment="1">
      <alignment horizontal="left"/>
    </xf>
    <xf numFmtId="177" fontId="306" fillId="0" borderId="0" xfId="17" applyNumberFormat="1" applyFont="1" applyAlignment="1">
      <alignment horizontal="center" vertical="center"/>
    </xf>
    <xf numFmtId="0" fontId="141" fillId="0" borderId="0" xfId="1" applyFill="1">
      <alignment vertical="center"/>
    </xf>
    <xf numFmtId="0" fontId="160" fillId="0" borderId="0" xfId="1" applyFont="1">
      <alignment vertical="center"/>
    </xf>
    <xf numFmtId="0" fontId="160" fillId="6" borderId="0" xfId="1" applyFont="1" applyFill="1">
      <alignment vertical="center"/>
    </xf>
    <xf numFmtId="14" fontId="160" fillId="6" borderId="0" xfId="1" applyNumberFormat="1" applyFont="1" applyFill="1">
      <alignment vertical="center"/>
    </xf>
    <xf numFmtId="0" fontId="160" fillId="0" borderId="0" xfId="1" applyFont="1" applyFill="1">
      <alignment vertical="center"/>
    </xf>
    <xf numFmtId="0" fontId="160" fillId="0" borderId="0" xfId="1" applyFont="1" applyAlignment="1">
      <alignment vertical="center" shrinkToFit="1"/>
    </xf>
    <xf numFmtId="182" fontId="148" fillId="29" borderId="2" xfId="18" applyNumberFormat="1" applyFont="1" applyFill="1" applyBorder="1" applyAlignment="1" applyProtection="1">
      <alignment horizontal="center" vertical="center"/>
      <protection locked="0"/>
    </xf>
    <xf numFmtId="0" fontId="141" fillId="0" borderId="0" xfId="0" applyFont="1" applyFill="1">
      <alignment vertical="center"/>
    </xf>
    <xf numFmtId="0" fontId="0" fillId="0" borderId="0" xfId="0" applyFill="1">
      <alignment vertical="center"/>
    </xf>
    <xf numFmtId="0" fontId="325" fillId="0" borderId="66" xfId="0" applyFont="1" applyBorder="1" applyAlignment="1">
      <alignment horizontal="center" vertical="center" wrapText="1"/>
    </xf>
    <xf numFmtId="31" fontId="326" fillId="0" borderId="66" xfId="0" applyNumberFormat="1" applyFont="1" applyBorder="1" applyAlignment="1">
      <alignment horizontal="center" vertical="center" wrapText="1"/>
    </xf>
    <xf numFmtId="0" fontId="326" fillId="0" borderId="66" xfId="0" applyFont="1" applyBorder="1" applyAlignment="1">
      <alignment horizontal="center" vertical="center" wrapText="1"/>
    </xf>
    <xf numFmtId="57" fontId="326" fillId="0" borderId="66" xfId="0" applyNumberFormat="1" applyFont="1" applyBorder="1" applyAlignment="1">
      <alignment horizontal="center" vertical="center" wrapText="1"/>
    </xf>
    <xf numFmtId="0" fontId="325" fillId="0" borderId="79" xfId="0" applyFont="1" applyBorder="1" applyAlignment="1">
      <alignment horizontal="center" vertical="center" wrapText="1"/>
    </xf>
    <xf numFmtId="0" fontId="326" fillId="0" borderId="79" xfId="0" applyFont="1" applyBorder="1" applyAlignment="1">
      <alignment horizontal="center" vertical="center" wrapText="1"/>
    </xf>
    <xf numFmtId="0" fontId="0" fillId="0" borderId="79" xfId="0" applyBorder="1" applyAlignment="1">
      <alignment vertical="center" wrapText="1"/>
    </xf>
    <xf numFmtId="0" fontId="0" fillId="0" borderId="80" xfId="0" applyBorder="1" applyAlignment="1">
      <alignment vertical="center" wrapText="1"/>
    </xf>
    <xf numFmtId="0" fontId="286" fillId="0" borderId="66" xfId="0" applyFont="1" applyBorder="1" applyAlignment="1">
      <alignment horizontal="center" vertical="center" wrapText="1"/>
    </xf>
    <xf numFmtId="0" fontId="325" fillId="0" borderId="66" xfId="0" applyFont="1" applyBorder="1" applyAlignment="1">
      <alignment vertical="center" wrapText="1"/>
    </xf>
    <xf numFmtId="0" fontId="325" fillId="0" borderId="65" xfId="0" applyFont="1" applyBorder="1" applyAlignment="1">
      <alignment horizontal="center" vertical="center" wrapText="1"/>
    </xf>
    <xf numFmtId="0" fontId="326" fillId="0" borderId="35" xfId="0" applyFont="1" applyBorder="1" applyAlignment="1">
      <alignment horizontal="center" vertical="center" wrapText="1"/>
    </xf>
    <xf numFmtId="0" fontId="280" fillId="0" borderId="0" xfId="0" applyFont="1">
      <alignment vertical="center"/>
    </xf>
    <xf numFmtId="0" fontId="330" fillId="0" borderId="0" xfId="0" applyFont="1">
      <alignment vertical="center"/>
    </xf>
    <xf numFmtId="0" fontId="328" fillId="0" borderId="66" xfId="0" applyFont="1" applyBorder="1" applyAlignment="1">
      <alignment horizontal="center" vertical="center" wrapText="1"/>
    </xf>
    <xf numFmtId="31" fontId="329" fillId="0" borderId="66" xfId="0" applyNumberFormat="1" applyFont="1" applyBorder="1" applyAlignment="1">
      <alignment horizontal="center" vertical="center" wrapText="1"/>
    </xf>
    <xf numFmtId="0" fontId="329" fillId="0" borderId="66" xfId="0" applyFont="1" applyBorder="1" applyAlignment="1">
      <alignment horizontal="center" vertical="center" wrapText="1"/>
    </xf>
    <xf numFmtId="57" fontId="329" fillId="0" borderId="66" xfId="0" applyNumberFormat="1" applyFont="1" applyBorder="1" applyAlignment="1">
      <alignment horizontal="center" vertical="center" wrapText="1"/>
    </xf>
    <xf numFmtId="0" fontId="328" fillId="0" borderId="79" xfId="0" applyFont="1" applyBorder="1" applyAlignment="1">
      <alignment horizontal="center" vertical="center" wrapText="1"/>
    </xf>
    <xf numFmtId="0" fontId="329" fillId="0" borderId="79" xfId="0" applyFont="1" applyBorder="1" applyAlignment="1">
      <alignment horizontal="center" vertical="center" wrapText="1"/>
    </xf>
    <xf numFmtId="0" fontId="328" fillId="0" borderId="66" xfId="0" applyFont="1" applyBorder="1" applyAlignment="1">
      <alignment vertical="center" wrapText="1"/>
    </xf>
    <xf numFmtId="0" fontId="330" fillId="0" borderId="79" xfId="0" applyFont="1" applyBorder="1" applyAlignment="1">
      <alignment vertical="center" wrapText="1"/>
    </xf>
    <xf numFmtId="0" fontId="330" fillId="0" borderId="80" xfId="0" applyFont="1" applyBorder="1" applyAlignment="1">
      <alignment vertical="center" wrapText="1"/>
    </xf>
    <xf numFmtId="0" fontId="328" fillId="0" borderId="65" xfId="0" applyFont="1" applyBorder="1" applyAlignment="1">
      <alignment horizontal="center" vertical="center" wrapText="1"/>
    </xf>
    <xf numFmtId="0" fontId="331" fillId="0" borderId="0" xfId="0" applyFont="1">
      <alignment vertical="center"/>
    </xf>
    <xf numFmtId="0" fontId="329" fillId="0" borderId="35" xfId="0" applyFont="1" applyBorder="1" applyAlignment="1">
      <alignment horizontal="center" vertical="center" wrapText="1"/>
    </xf>
    <xf numFmtId="0" fontId="332" fillId="30" borderId="180" xfId="0" applyFont="1" applyFill="1" applyBorder="1" applyAlignment="1">
      <alignment horizontal="center" vertical="center" wrapText="1" readingOrder="1"/>
    </xf>
    <xf numFmtId="0" fontId="332" fillId="30" borderId="181" xfId="0" applyFont="1" applyFill="1" applyBorder="1" applyAlignment="1">
      <alignment horizontal="center" vertical="center" wrapText="1" readingOrder="1"/>
    </xf>
    <xf numFmtId="0" fontId="332" fillId="30" borderId="182" xfId="0" applyFont="1" applyFill="1" applyBorder="1" applyAlignment="1">
      <alignment horizontal="center" vertical="center" wrapText="1" readingOrder="1"/>
    </xf>
    <xf numFmtId="0" fontId="332" fillId="30" borderId="179" xfId="0" applyFont="1" applyFill="1" applyBorder="1" applyAlignment="1">
      <alignment horizontal="center" vertical="center" wrapText="1" readingOrder="1"/>
    </xf>
    <xf numFmtId="0" fontId="332" fillId="30" borderId="179" xfId="0" applyFont="1" applyFill="1" applyBorder="1" applyAlignment="1">
      <alignment horizontal="left" vertical="center" wrapText="1" readingOrder="1"/>
    </xf>
    <xf numFmtId="57" fontId="332" fillId="30" borderId="179" xfId="0" applyNumberFormat="1" applyFont="1" applyFill="1" applyBorder="1" applyAlignment="1">
      <alignment horizontal="center" vertical="center" wrapText="1" readingOrder="1"/>
    </xf>
    <xf numFmtId="0" fontId="333" fillId="0" borderId="0" xfId="0" applyFont="1">
      <alignment vertical="center"/>
    </xf>
    <xf numFmtId="0" fontId="334" fillId="0" borderId="0" xfId="0" applyFont="1" applyAlignment="1">
      <alignment horizontal="left" vertical="center" readingOrder="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13" fillId="0" borderId="19" xfId="18" applyFont="1" applyBorder="1" applyAlignment="1">
      <alignment horizontal="center" vertical="center" wrapText="1"/>
    </xf>
    <xf numFmtId="0" fontId="165" fillId="0" borderId="2" xfId="4" applyFont="1" applyFill="1" applyBorder="1" applyAlignment="1">
      <alignment horizontal="center" vertical="center" wrapText="1"/>
    </xf>
    <xf numFmtId="0" fontId="165" fillId="0" borderId="2" xfId="4" applyFont="1" applyFill="1" applyBorder="1" applyAlignment="1">
      <alignment horizontal="center" vertical="center"/>
    </xf>
    <xf numFmtId="198" fontId="165" fillId="0" borderId="2" xfId="22" applyFont="1" applyFill="1" applyBorder="1" applyAlignment="1">
      <alignment horizontal="center" vertical="center" wrapText="1"/>
    </xf>
    <xf numFmtId="0" fontId="160" fillId="0" borderId="2" xfId="4"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299" fillId="28" borderId="0" xfId="17" applyFont="1" applyFill="1" applyAlignment="1">
      <alignment horizontal="left" vertical="center"/>
    </xf>
    <xf numFmtId="195" fontId="299" fillId="28" borderId="0" xfId="17" applyFont="1" applyFill="1" applyAlignment="1">
      <alignment horizontal="center" vertical="center"/>
    </xf>
    <xf numFmtId="195" fontId="289" fillId="0" borderId="2" xfId="17" applyFont="1" applyFill="1" applyBorder="1" applyAlignment="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325" fillId="0" borderId="36" xfId="0" applyFont="1" applyBorder="1" applyAlignment="1">
      <alignment horizontal="center" vertical="center" wrapText="1"/>
    </xf>
    <xf numFmtId="0" fontId="325" fillId="0" borderId="38" xfId="0" applyFont="1" applyBorder="1" applyAlignment="1">
      <alignment horizontal="center" vertical="center" wrapText="1"/>
    </xf>
    <xf numFmtId="0" fontId="325" fillId="0" borderId="26" xfId="0" applyFont="1" applyBorder="1" applyAlignment="1">
      <alignment horizontal="justify" vertical="center" wrapText="1"/>
    </xf>
    <xf numFmtId="0" fontId="325" fillId="0" borderId="39" xfId="0" applyFont="1" applyBorder="1" applyAlignment="1">
      <alignment horizontal="justify" vertical="center" wrapText="1"/>
    </xf>
    <xf numFmtId="0" fontId="325" fillId="0" borderId="31" xfId="0" applyFont="1" applyBorder="1" applyAlignment="1">
      <alignment horizontal="justify" vertical="center" wrapText="1"/>
    </xf>
    <xf numFmtId="0" fontId="325" fillId="0" borderId="65" xfId="0" applyFont="1" applyBorder="1" applyAlignment="1">
      <alignment horizontal="justify" vertical="center" wrapText="1"/>
    </xf>
    <xf numFmtId="0" fontId="325" fillId="0" borderId="54" xfId="0" applyFont="1" applyBorder="1" applyAlignment="1">
      <alignment horizontal="justify" vertical="center" wrapText="1"/>
    </xf>
    <xf numFmtId="0" fontId="325" fillId="0" borderId="66" xfId="0" applyFont="1" applyBorder="1" applyAlignment="1">
      <alignment horizontal="justify" vertical="center" wrapText="1"/>
    </xf>
    <xf numFmtId="0" fontId="325" fillId="0" borderId="26" xfId="0" applyFont="1" applyBorder="1" applyAlignment="1">
      <alignment horizontal="center" vertical="center" wrapText="1"/>
    </xf>
    <xf numFmtId="0" fontId="325" fillId="0" borderId="39" xfId="0" applyFont="1" applyBorder="1" applyAlignment="1">
      <alignment horizontal="center" vertical="center" wrapText="1"/>
    </xf>
    <xf numFmtId="0" fontId="325" fillId="0" borderId="31" xfId="0" applyFont="1" applyBorder="1" applyAlignment="1">
      <alignment horizontal="center" vertical="center" wrapText="1"/>
    </xf>
    <xf numFmtId="0" fontId="325" fillId="0" borderId="65" xfId="0" applyFont="1" applyBorder="1" applyAlignment="1">
      <alignment horizontal="center" vertical="center" wrapText="1"/>
    </xf>
    <xf numFmtId="0" fontId="325" fillId="0" borderId="54" xfId="0" applyFont="1" applyBorder="1" applyAlignment="1">
      <alignment horizontal="center" vertical="center" wrapText="1"/>
    </xf>
    <xf numFmtId="0" fontId="325" fillId="0" borderId="66" xfId="0" applyFont="1" applyBorder="1" applyAlignment="1">
      <alignment horizontal="center" vertical="center" wrapText="1"/>
    </xf>
    <xf numFmtId="0" fontId="325" fillId="0" borderId="173" xfId="0" applyFont="1" applyBorder="1" applyAlignment="1">
      <alignment horizontal="right" vertical="center" wrapText="1"/>
    </xf>
    <xf numFmtId="0" fontId="325" fillId="0" borderId="174" xfId="0" applyFont="1" applyBorder="1" applyAlignment="1">
      <alignment horizontal="right" vertical="center" wrapText="1"/>
    </xf>
    <xf numFmtId="0" fontId="325" fillId="0" borderId="175" xfId="0" applyFont="1" applyBorder="1" applyAlignment="1">
      <alignment horizontal="right" vertical="center" wrapText="1"/>
    </xf>
    <xf numFmtId="0" fontId="325" fillId="0" borderId="176" xfId="0" applyFont="1" applyBorder="1" applyAlignment="1">
      <alignment horizontal="right" vertical="center" wrapText="1"/>
    </xf>
    <xf numFmtId="0" fontId="326" fillId="0" borderId="175" xfId="0" applyFont="1" applyBorder="1" applyAlignment="1">
      <alignment horizontal="center" vertical="center" wrapText="1"/>
    </xf>
    <xf numFmtId="0" fontId="326" fillId="0" borderId="176" xfId="0" applyFont="1" applyBorder="1" applyAlignment="1">
      <alignment horizontal="center" vertical="center" wrapText="1"/>
    </xf>
    <xf numFmtId="0" fontId="325" fillId="0" borderId="175" xfId="0" applyFont="1" applyBorder="1" applyAlignment="1">
      <alignment vertical="center" wrapText="1"/>
    </xf>
    <xf numFmtId="0" fontId="325" fillId="0" borderId="176" xfId="0" applyFont="1" applyBorder="1" applyAlignment="1">
      <alignment vertical="center" wrapText="1"/>
    </xf>
    <xf numFmtId="0" fontId="326" fillId="0" borderId="177" xfId="0" applyFont="1" applyBorder="1" applyAlignment="1">
      <alignment horizontal="center" vertical="center" wrapText="1"/>
    </xf>
    <xf numFmtId="0" fontId="326" fillId="0" borderId="178" xfId="0" applyFont="1" applyBorder="1" applyAlignment="1">
      <alignment horizontal="center" vertical="center" wrapText="1"/>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328" fillId="0" borderId="36" xfId="0" applyFont="1" applyBorder="1" applyAlignment="1">
      <alignment horizontal="center" vertical="center" wrapText="1"/>
    </xf>
    <xf numFmtId="0" fontId="328" fillId="0" borderId="38" xfId="0" applyFont="1" applyBorder="1" applyAlignment="1">
      <alignment horizontal="center" vertical="center" wrapText="1"/>
    </xf>
    <xf numFmtId="0" fontId="328" fillId="0" borderId="26" xfId="0" applyFont="1" applyBorder="1" applyAlignment="1">
      <alignment horizontal="justify" vertical="center" wrapText="1"/>
    </xf>
    <xf numFmtId="0" fontId="328" fillId="0" borderId="39" xfId="0" applyFont="1" applyBorder="1" applyAlignment="1">
      <alignment horizontal="justify" vertical="center" wrapText="1"/>
    </xf>
    <xf numFmtId="0" fontId="328" fillId="0" borderId="31" xfId="0" applyFont="1" applyBorder="1" applyAlignment="1">
      <alignment horizontal="justify" vertical="center" wrapText="1"/>
    </xf>
    <xf numFmtId="0" fontId="328" fillId="0" borderId="65" xfId="0" applyFont="1" applyBorder="1" applyAlignment="1">
      <alignment horizontal="justify" vertical="center" wrapText="1"/>
    </xf>
    <xf numFmtId="0" fontId="328" fillId="0" borderId="54" xfId="0" applyFont="1" applyBorder="1" applyAlignment="1">
      <alignment horizontal="justify" vertical="center" wrapText="1"/>
    </xf>
    <xf numFmtId="0" fontId="328" fillId="0" borderId="66" xfId="0" applyFont="1" applyBorder="1" applyAlignment="1">
      <alignment horizontal="justify" vertical="center" wrapText="1"/>
    </xf>
    <xf numFmtId="0" fontId="328" fillId="0" borderId="26" xfId="0" applyFont="1" applyBorder="1" applyAlignment="1">
      <alignment horizontal="center" vertical="center" wrapText="1"/>
    </xf>
    <xf numFmtId="0" fontId="328" fillId="0" borderId="39" xfId="0" applyFont="1" applyBorder="1" applyAlignment="1">
      <alignment horizontal="center" vertical="center" wrapText="1"/>
    </xf>
    <xf numFmtId="0" fontId="328" fillId="0" borderId="31" xfId="0" applyFont="1" applyBorder="1" applyAlignment="1">
      <alignment horizontal="center" vertical="center" wrapText="1"/>
    </xf>
    <xf numFmtId="0" fontId="328" fillId="0" borderId="65" xfId="0" applyFont="1" applyBorder="1" applyAlignment="1">
      <alignment horizontal="center" vertical="center" wrapText="1"/>
    </xf>
    <xf numFmtId="0" fontId="328" fillId="0" borderId="54" xfId="0" applyFont="1" applyBorder="1" applyAlignment="1">
      <alignment horizontal="center" vertical="center" wrapText="1"/>
    </xf>
    <xf numFmtId="0" fontId="328" fillId="0" borderId="66" xfId="0" applyFont="1" applyBorder="1" applyAlignment="1">
      <alignment horizontal="center" vertical="center" wrapText="1"/>
    </xf>
    <xf numFmtId="0" fontId="328" fillId="0" borderId="173" xfId="0" applyFont="1" applyBorder="1" applyAlignment="1">
      <alignment horizontal="right" vertical="center" wrapText="1"/>
    </xf>
    <xf numFmtId="0" fontId="328" fillId="0" borderId="174" xfId="0" applyFont="1" applyBorder="1" applyAlignment="1">
      <alignment horizontal="right" vertical="center" wrapText="1"/>
    </xf>
    <xf numFmtId="0" fontId="328" fillId="0" borderId="175" xfId="0" applyFont="1" applyBorder="1" applyAlignment="1">
      <alignment horizontal="right" vertical="center" wrapText="1"/>
    </xf>
    <xf numFmtId="0" fontId="328" fillId="0" borderId="176" xfId="0" applyFont="1" applyBorder="1" applyAlignment="1">
      <alignment horizontal="right" vertical="center" wrapText="1"/>
    </xf>
    <xf numFmtId="0" fontId="329" fillId="0" borderId="175" xfId="0" applyFont="1" applyBorder="1" applyAlignment="1">
      <alignment horizontal="center" vertical="center" wrapText="1"/>
    </xf>
    <xf numFmtId="0" fontId="329" fillId="0" borderId="176" xfId="0" applyFont="1" applyBorder="1" applyAlignment="1">
      <alignment horizontal="center" vertical="center" wrapText="1"/>
    </xf>
    <xf numFmtId="0" fontId="328" fillId="0" borderId="175" xfId="0" applyFont="1" applyBorder="1" applyAlignment="1">
      <alignment vertical="center" wrapText="1"/>
    </xf>
    <xf numFmtId="0" fontId="328" fillId="0" borderId="176" xfId="0" applyFont="1" applyBorder="1" applyAlignment="1">
      <alignment vertical="center" wrapText="1"/>
    </xf>
    <xf numFmtId="0" fontId="329" fillId="0" borderId="177" xfId="0" applyFont="1" applyBorder="1" applyAlignment="1">
      <alignment horizontal="center" vertical="center" wrapText="1"/>
    </xf>
    <xf numFmtId="0" fontId="329" fillId="0" borderId="178" xfId="0" applyFont="1" applyBorder="1" applyAlignment="1">
      <alignment horizontal="center" vertical="center" wrapText="1"/>
    </xf>
    <xf numFmtId="0" fontId="332" fillId="30" borderId="183" xfId="0" applyFont="1" applyFill="1" applyBorder="1" applyAlignment="1">
      <alignment horizontal="center" vertical="center" wrapText="1" readingOrder="1"/>
    </xf>
    <xf numFmtId="0" fontId="332" fillId="30" borderId="184" xfId="0" applyFont="1" applyFill="1" applyBorder="1" applyAlignment="1">
      <alignment horizontal="center" vertical="center" wrapText="1" readingOrder="1"/>
    </xf>
    <xf numFmtId="0" fontId="332" fillId="30" borderId="180" xfId="0" applyFont="1" applyFill="1" applyBorder="1" applyAlignment="1">
      <alignment horizontal="center" vertical="center" wrapText="1" readingOrder="1"/>
    </xf>
    <xf numFmtId="0" fontId="332" fillId="30" borderId="181" xfId="0" applyFont="1" applyFill="1" applyBorder="1" applyAlignment="1">
      <alignment horizontal="center" vertical="center" wrapText="1" readingOrder="1"/>
    </xf>
    <xf numFmtId="0" fontId="332" fillId="30" borderId="182" xfId="0" applyFont="1" applyFill="1" applyBorder="1" applyAlignment="1">
      <alignment horizontal="center" vertical="center" wrapText="1" readingOrder="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货币 2" xfId="22" xr:uid="{00000000-0005-0000-0000-000015000000}"/>
    <cellStyle name="千位分隔" xfId="21" builtinId="3"/>
  </cellStyles>
  <dxfs count="27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spPr>
            <a:solidFill>
              <a:schemeClr val="accent1"/>
            </a:solidFill>
            <a:ln>
              <a:noFill/>
            </a:ln>
            <a:effectLst/>
          </c:spPr>
          <c:invertIfNegative val="0"/>
          <c:val>
            <c:numRef>
              <c:f>Sheet4!$C$4:$C$6</c:f>
              <c:numCache>
                <c:formatCode>General</c:formatCode>
                <c:ptCount val="3"/>
                <c:pt idx="0">
                  <c:v>18670</c:v>
                </c:pt>
                <c:pt idx="1">
                  <c:v>18534</c:v>
                </c:pt>
                <c:pt idx="2">
                  <c:v>15196</c:v>
                </c:pt>
              </c:numCache>
            </c:numRef>
          </c:val>
          <c:extLst>
            <c:ext xmlns:c16="http://schemas.microsoft.com/office/drawing/2014/chart" uri="{C3380CC4-5D6E-409C-BE32-E72D297353CC}">
              <c16:uniqueId val="{00000000-ACE4-45E3-B052-A3E5AD738F10}"/>
            </c:ext>
          </c:extLst>
        </c:ser>
        <c:dLbls>
          <c:showLegendKey val="0"/>
          <c:showVal val="0"/>
          <c:showCatName val="0"/>
          <c:showSerName val="0"/>
          <c:showPercent val="0"/>
          <c:showBubbleSize val="0"/>
        </c:dLbls>
        <c:gapWidth val="219"/>
        <c:overlap val="-27"/>
        <c:axId val="536947872"/>
        <c:axId val="536948200"/>
      </c:barChart>
      <c:catAx>
        <c:axId val="5369478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36948200"/>
        <c:crosses val="autoZero"/>
        <c:auto val="1"/>
        <c:lblAlgn val="ctr"/>
        <c:lblOffset val="100"/>
        <c:noMultiLvlLbl val="0"/>
      </c:catAx>
      <c:valAx>
        <c:axId val="536948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3694787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6.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tretch>
          <a:fillRect/>
        </a:stretch>
      </xdr:blipFill>
      <xdr:spPr>
        <a:xfrm>
          <a:off x="8096250" y="3152775"/>
          <a:ext cx="8286750" cy="857543"/>
        </a:xfrm>
        <a:prstGeom prst="rect">
          <a:avLst/>
        </a:prstGeom>
      </xdr:spPr>
    </xdr:pic>
    <xdr:clientData/>
  </xdr:twoCellAnchor>
  <xdr:twoCellAnchor editAs="oneCell">
    <xdr:from>
      <xdr:col>1</xdr:col>
      <xdr:colOff>28575</xdr:colOff>
      <xdr:row>39</xdr:row>
      <xdr:rowOff>0</xdr:rowOff>
    </xdr:from>
    <xdr:to>
      <xdr:col>5</xdr:col>
      <xdr:colOff>880513</xdr:colOff>
      <xdr:row>58</xdr:row>
      <xdr:rowOff>123825</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381000" y="7162800"/>
          <a:ext cx="3890413" cy="3019425"/>
        </a:xfrm>
        <a:prstGeom prst="rect">
          <a:avLst/>
        </a:prstGeom>
      </xdr:spPr>
    </xdr:pic>
    <xdr:clientData/>
  </xdr:twoCellAnchor>
  <xdr:twoCellAnchor editAs="oneCell">
    <xdr:from>
      <xdr:col>6</xdr:col>
      <xdr:colOff>200025</xdr:colOff>
      <xdr:row>39</xdr:row>
      <xdr:rowOff>0</xdr:rowOff>
    </xdr:from>
    <xdr:to>
      <xdr:col>10</xdr:col>
      <xdr:colOff>237723</xdr:colOff>
      <xdr:row>59</xdr:row>
      <xdr:rowOff>142476</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a:stretch>
          <a:fillRect/>
        </a:stretch>
      </xdr:blipFill>
      <xdr:spPr>
        <a:xfrm>
          <a:off x="4476750" y="7162800"/>
          <a:ext cx="3219048" cy="3190476"/>
        </a:xfrm>
        <a:prstGeom prst="rect">
          <a:avLst/>
        </a:prstGeom>
      </xdr:spPr>
    </xdr:pic>
    <xdr:clientData/>
  </xdr:twoCellAnchor>
  <xdr:twoCellAnchor editAs="oneCell">
    <xdr:from>
      <xdr:col>10</xdr:col>
      <xdr:colOff>571500</xdr:colOff>
      <xdr:row>39</xdr:row>
      <xdr:rowOff>9526</xdr:rowOff>
    </xdr:from>
    <xdr:to>
      <xdr:col>15</xdr:col>
      <xdr:colOff>66675</xdr:colOff>
      <xdr:row>60</xdr:row>
      <xdr:rowOff>103189</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5"/>
        <a:stretch>
          <a:fillRect/>
        </a:stretch>
      </xdr:blipFill>
      <xdr:spPr>
        <a:xfrm>
          <a:off x="8029575" y="7172326"/>
          <a:ext cx="3048000" cy="3294063"/>
        </a:xfrm>
        <a:prstGeom prst="rect">
          <a:avLst/>
        </a:prstGeom>
      </xdr:spPr>
    </xdr:pic>
    <xdr:clientData/>
  </xdr:twoCellAnchor>
  <xdr:twoCellAnchor editAs="oneCell">
    <xdr:from>
      <xdr:col>0</xdr:col>
      <xdr:colOff>19050</xdr:colOff>
      <xdr:row>12</xdr:row>
      <xdr:rowOff>38100</xdr:rowOff>
    </xdr:from>
    <xdr:to>
      <xdr:col>8</xdr:col>
      <xdr:colOff>523106</xdr:colOff>
      <xdr:row>33</xdr:row>
      <xdr:rowOff>94840</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a:stretch>
          <a:fillRect/>
        </a:stretch>
      </xdr:blipFill>
      <xdr:spPr>
        <a:xfrm>
          <a:off x="19050" y="3067050"/>
          <a:ext cx="6152381" cy="3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27</xdr:row>
      <xdr:rowOff>14567</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9601200" cy="4643717"/>
        </a:xfrm>
        <a:prstGeom prst="rect">
          <a:avLst/>
        </a:prstGeom>
      </xdr:spPr>
    </xdr:pic>
    <xdr:clientData/>
  </xdr:twoCellAnchor>
  <xdr:twoCellAnchor editAs="oneCell">
    <xdr:from>
      <xdr:col>14</xdr:col>
      <xdr:colOff>28575</xdr:colOff>
      <xdr:row>0</xdr:row>
      <xdr:rowOff>0</xdr:rowOff>
    </xdr:from>
    <xdr:to>
      <xdr:col>23</xdr:col>
      <xdr:colOff>627803</xdr:colOff>
      <xdr:row>25</xdr:row>
      <xdr:rowOff>47083</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629775" y="0"/>
          <a:ext cx="6771428" cy="4333333"/>
        </a:xfrm>
        <a:prstGeom prst="rect">
          <a:avLst/>
        </a:prstGeom>
      </xdr:spPr>
    </xdr:pic>
    <xdr:clientData/>
  </xdr:twoCellAnchor>
  <xdr:twoCellAnchor editAs="oneCell">
    <xdr:from>
      <xdr:col>24</xdr:col>
      <xdr:colOff>19050</xdr:colOff>
      <xdr:row>0</xdr:row>
      <xdr:rowOff>0</xdr:rowOff>
    </xdr:from>
    <xdr:to>
      <xdr:col>33</xdr:col>
      <xdr:colOff>513517</xdr:colOff>
      <xdr:row>4</xdr:row>
      <xdr:rowOff>114200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6478250" y="0"/>
          <a:ext cx="6666667" cy="800000"/>
        </a:xfrm>
        <a:prstGeom prst="rect">
          <a:avLst/>
        </a:prstGeom>
      </xdr:spPr>
    </xdr:pic>
    <xdr:clientData/>
  </xdr:twoCellAnchor>
  <xdr:twoCellAnchor editAs="oneCell">
    <xdr:from>
      <xdr:col>0</xdr:col>
      <xdr:colOff>0</xdr:colOff>
      <xdr:row>28</xdr:row>
      <xdr:rowOff>123825</xdr:rowOff>
    </xdr:from>
    <xdr:to>
      <xdr:col>13</xdr:col>
      <xdr:colOff>621856</xdr:colOff>
      <xdr:row>57</xdr:row>
      <xdr:rowOff>47625</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0" y="4924425"/>
          <a:ext cx="9537256" cy="4895850"/>
        </a:xfrm>
        <a:prstGeom prst="rect">
          <a:avLst/>
        </a:prstGeom>
      </xdr:spPr>
    </xdr:pic>
    <xdr:clientData/>
  </xdr:twoCellAnchor>
  <xdr:twoCellAnchor editAs="oneCell">
    <xdr:from>
      <xdr:col>14</xdr:col>
      <xdr:colOff>0</xdr:colOff>
      <xdr:row>28</xdr:row>
      <xdr:rowOff>0</xdr:rowOff>
    </xdr:from>
    <xdr:to>
      <xdr:col>23</xdr:col>
      <xdr:colOff>627800</xdr:colOff>
      <xdr:row>57</xdr:row>
      <xdr:rowOff>161283</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9601200" y="4800600"/>
          <a:ext cx="6800000" cy="5133333"/>
        </a:xfrm>
        <a:prstGeom prst="rect">
          <a:avLst/>
        </a:prstGeom>
      </xdr:spPr>
    </xdr:pic>
    <xdr:clientData/>
  </xdr:twoCellAnchor>
  <xdr:twoCellAnchor editAs="oneCell">
    <xdr:from>
      <xdr:col>24</xdr:col>
      <xdr:colOff>0</xdr:colOff>
      <xdr:row>28</xdr:row>
      <xdr:rowOff>0</xdr:rowOff>
    </xdr:from>
    <xdr:to>
      <xdr:col>33</xdr:col>
      <xdr:colOff>570657</xdr:colOff>
      <xdr:row>35</xdr:row>
      <xdr:rowOff>95088</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16459200" y="4800600"/>
          <a:ext cx="6742857" cy="1295238"/>
        </a:xfrm>
        <a:prstGeom prst="rect">
          <a:avLst/>
        </a:prstGeom>
      </xdr:spPr>
    </xdr:pic>
    <xdr:clientData/>
  </xdr:twoCellAnchor>
  <xdr:twoCellAnchor editAs="oneCell">
    <xdr:from>
      <xdr:col>0</xdr:col>
      <xdr:colOff>1</xdr:colOff>
      <xdr:row>60</xdr:row>
      <xdr:rowOff>0</xdr:rowOff>
    </xdr:from>
    <xdr:to>
      <xdr:col>13</xdr:col>
      <xdr:colOff>664497</xdr:colOff>
      <xdr:row>84</xdr:row>
      <xdr:rowOff>114300</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 y="10287000"/>
          <a:ext cx="9579896" cy="4229100"/>
        </a:xfrm>
        <a:prstGeom prst="rect">
          <a:avLst/>
        </a:prstGeom>
      </xdr:spPr>
    </xdr:pic>
    <xdr:clientData/>
  </xdr:twoCellAnchor>
  <xdr:twoCellAnchor editAs="oneCell">
    <xdr:from>
      <xdr:col>14</xdr:col>
      <xdr:colOff>0</xdr:colOff>
      <xdr:row>60</xdr:row>
      <xdr:rowOff>0</xdr:rowOff>
    </xdr:from>
    <xdr:to>
      <xdr:col>23</xdr:col>
      <xdr:colOff>646848</xdr:colOff>
      <xdr:row>84</xdr:row>
      <xdr:rowOff>47105</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9601200" y="10287000"/>
          <a:ext cx="6819048" cy="4161905"/>
        </a:xfrm>
        <a:prstGeom prst="rect">
          <a:avLst/>
        </a:prstGeom>
      </xdr:spPr>
    </xdr:pic>
    <xdr:clientData/>
  </xdr:twoCellAnchor>
  <xdr:twoCellAnchor editAs="oneCell">
    <xdr:from>
      <xdr:col>24</xdr:col>
      <xdr:colOff>0</xdr:colOff>
      <xdr:row>60</xdr:row>
      <xdr:rowOff>0</xdr:rowOff>
    </xdr:from>
    <xdr:to>
      <xdr:col>33</xdr:col>
      <xdr:colOff>503990</xdr:colOff>
      <xdr:row>64</xdr:row>
      <xdr:rowOff>66581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16459200" y="10287000"/>
          <a:ext cx="6676190" cy="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7</xdr:col>
      <xdr:colOff>627594</xdr:colOff>
      <xdr:row>26</xdr:row>
      <xdr:rowOff>161925</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
        <a:stretch>
          <a:fillRect/>
        </a:stretch>
      </xdr:blipFill>
      <xdr:spPr>
        <a:xfrm>
          <a:off x="0" y="1200150"/>
          <a:ext cx="6885519" cy="3419475"/>
        </a:xfrm>
        <a:prstGeom prst="rect">
          <a:avLst/>
        </a:prstGeom>
      </xdr:spPr>
    </xdr:pic>
    <xdr:clientData/>
  </xdr:twoCellAnchor>
  <xdr:twoCellAnchor editAs="oneCell">
    <xdr:from>
      <xdr:col>0</xdr:col>
      <xdr:colOff>0</xdr:colOff>
      <xdr:row>29</xdr:row>
      <xdr:rowOff>95250</xdr:rowOff>
    </xdr:from>
    <xdr:to>
      <xdr:col>7</xdr:col>
      <xdr:colOff>628650</xdr:colOff>
      <xdr:row>50</xdr:row>
      <xdr:rowOff>32240</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2"/>
        <a:stretch>
          <a:fillRect/>
        </a:stretch>
      </xdr:blipFill>
      <xdr:spPr>
        <a:xfrm>
          <a:off x="0" y="5067300"/>
          <a:ext cx="6886575" cy="3537440"/>
        </a:xfrm>
        <a:prstGeom prst="rect">
          <a:avLst/>
        </a:prstGeom>
      </xdr:spPr>
    </xdr:pic>
    <xdr:clientData/>
  </xdr:twoCellAnchor>
  <xdr:twoCellAnchor editAs="oneCell">
    <xdr:from>
      <xdr:col>8</xdr:col>
      <xdr:colOff>9526</xdr:colOff>
      <xdr:row>29</xdr:row>
      <xdr:rowOff>47625</xdr:rowOff>
    </xdr:from>
    <xdr:to>
      <xdr:col>13</xdr:col>
      <xdr:colOff>479770</xdr:colOff>
      <xdr:row>44</xdr:row>
      <xdr:rowOff>9525</xdr:rowOff>
    </xdr:to>
    <xdr:pic>
      <xdr:nvPicPr>
        <xdr:cNvPr id="10" name="图片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3"/>
        <a:stretch>
          <a:fillRect/>
        </a:stretch>
      </xdr:blipFill>
      <xdr:spPr>
        <a:xfrm>
          <a:off x="6915151" y="5019675"/>
          <a:ext cx="3899244" cy="2533650"/>
        </a:xfrm>
        <a:prstGeom prst="rect">
          <a:avLst/>
        </a:prstGeom>
      </xdr:spPr>
    </xdr:pic>
    <xdr:clientData/>
  </xdr:twoCellAnchor>
  <xdr:twoCellAnchor editAs="oneCell">
    <xdr:from>
      <xdr:col>8</xdr:col>
      <xdr:colOff>0</xdr:colOff>
      <xdr:row>7</xdr:row>
      <xdr:rowOff>0</xdr:rowOff>
    </xdr:from>
    <xdr:to>
      <xdr:col>13</xdr:col>
      <xdr:colOff>609600</xdr:colOff>
      <xdr:row>22</xdr:row>
      <xdr:rowOff>85684</xdr:rowOff>
    </xdr:to>
    <xdr:pic>
      <xdr:nvPicPr>
        <xdr:cNvPr id="11" name="图片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a:stretch>
          <a:fillRect/>
        </a:stretch>
      </xdr:blipFill>
      <xdr:spPr>
        <a:xfrm>
          <a:off x="6905625" y="1200150"/>
          <a:ext cx="4038600" cy="2657434"/>
        </a:xfrm>
        <a:prstGeom prst="rect">
          <a:avLst/>
        </a:prstGeom>
      </xdr:spPr>
    </xdr:pic>
    <xdr:clientData/>
  </xdr:twoCellAnchor>
  <xdr:twoCellAnchor editAs="oneCell">
    <xdr:from>
      <xdr:col>0</xdr:col>
      <xdr:colOff>0</xdr:colOff>
      <xdr:row>52</xdr:row>
      <xdr:rowOff>1</xdr:rowOff>
    </xdr:from>
    <xdr:to>
      <xdr:col>7</xdr:col>
      <xdr:colOff>609600</xdr:colOff>
      <xdr:row>72</xdr:row>
      <xdr:rowOff>139421</xdr:rowOff>
    </xdr:to>
    <xdr:pic>
      <xdr:nvPicPr>
        <xdr:cNvPr id="12" name="图片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5"/>
        <a:stretch>
          <a:fillRect/>
        </a:stretch>
      </xdr:blipFill>
      <xdr:spPr>
        <a:xfrm>
          <a:off x="0" y="8915401"/>
          <a:ext cx="6867525" cy="3568420"/>
        </a:xfrm>
        <a:prstGeom prst="rect">
          <a:avLst/>
        </a:prstGeom>
      </xdr:spPr>
    </xdr:pic>
    <xdr:clientData/>
  </xdr:twoCellAnchor>
  <xdr:twoCellAnchor editAs="oneCell">
    <xdr:from>
      <xdr:col>8</xdr:col>
      <xdr:colOff>1</xdr:colOff>
      <xdr:row>52</xdr:row>
      <xdr:rowOff>0</xdr:rowOff>
    </xdr:from>
    <xdr:to>
      <xdr:col>13</xdr:col>
      <xdr:colOff>647701</xdr:colOff>
      <xdr:row>67</xdr:row>
      <xdr:rowOff>143083</xdr:rowOff>
    </xdr:to>
    <xdr:pic>
      <xdr:nvPicPr>
        <xdr:cNvPr id="13" name="图片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6"/>
        <a:stretch>
          <a:fillRect/>
        </a:stretch>
      </xdr:blipFill>
      <xdr:spPr>
        <a:xfrm>
          <a:off x="6905626" y="8915400"/>
          <a:ext cx="4076700" cy="2714833"/>
        </a:xfrm>
        <a:prstGeom prst="rect">
          <a:avLst/>
        </a:prstGeom>
      </xdr:spPr>
    </xdr:pic>
    <xdr:clientData/>
  </xdr:twoCellAnchor>
  <xdr:twoCellAnchor editAs="oneCell">
    <xdr:from>
      <xdr:col>0</xdr:col>
      <xdr:colOff>0</xdr:colOff>
      <xdr:row>75</xdr:row>
      <xdr:rowOff>57151</xdr:rowOff>
    </xdr:from>
    <xdr:to>
      <xdr:col>7</xdr:col>
      <xdr:colOff>619125</xdr:colOff>
      <xdr:row>96</xdr:row>
      <xdr:rowOff>65933</xdr:rowOff>
    </xdr:to>
    <xdr:pic>
      <xdr:nvPicPr>
        <xdr:cNvPr id="14" name="图片 13">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7"/>
        <a:stretch>
          <a:fillRect/>
        </a:stretch>
      </xdr:blipFill>
      <xdr:spPr>
        <a:xfrm>
          <a:off x="0" y="12915901"/>
          <a:ext cx="6877050" cy="3609232"/>
        </a:xfrm>
        <a:prstGeom prst="rect">
          <a:avLst/>
        </a:prstGeom>
      </xdr:spPr>
    </xdr:pic>
    <xdr:clientData/>
  </xdr:twoCellAnchor>
  <xdr:twoCellAnchor editAs="oneCell">
    <xdr:from>
      <xdr:col>8</xdr:col>
      <xdr:colOff>19050</xdr:colOff>
      <xdr:row>75</xdr:row>
      <xdr:rowOff>66675</xdr:rowOff>
    </xdr:from>
    <xdr:to>
      <xdr:col>14</xdr:col>
      <xdr:colOff>113774</xdr:colOff>
      <xdr:row>91</xdr:row>
      <xdr:rowOff>161570</xdr:rowOff>
    </xdr:to>
    <xdr:pic>
      <xdr:nvPicPr>
        <xdr:cNvPr id="15" name="图片 14">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8"/>
        <a:stretch>
          <a:fillRect/>
        </a:stretch>
      </xdr:blipFill>
      <xdr:spPr>
        <a:xfrm>
          <a:off x="6924675" y="12925425"/>
          <a:ext cx="4209524" cy="2838095"/>
        </a:xfrm>
        <a:prstGeom prst="rect">
          <a:avLst/>
        </a:prstGeom>
      </xdr:spPr>
    </xdr:pic>
    <xdr:clientData/>
  </xdr:twoCellAnchor>
  <xdr:twoCellAnchor editAs="oneCell">
    <xdr:from>
      <xdr:col>0</xdr:col>
      <xdr:colOff>0</xdr:colOff>
      <xdr:row>98</xdr:row>
      <xdr:rowOff>85725</xdr:rowOff>
    </xdr:from>
    <xdr:to>
      <xdr:col>7</xdr:col>
      <xdr:colOff>590550</xdr:colOff>
      <xdr:row>119</xdr:row>
      <xdr:rowOff>65160</xdr:rowOff>
    </xdr:to>
    <xdr:pic>
      <xdr:nvPicPr>
        <xdr:cNvPr id="16" name="图片 15">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9"/>
        <a:stretch>
          <a:fillRect/>
        </a:stretch>
      </xdr:blipFill>
      <xdr:spPr>
        <a:xfrm>
          <a:off x="0" y="16887825"/>
          <a:ext cx="6848475" cy="3579885"/>
        </a:xfrm>
        <a:prstGeom prst="rect">
          <a:avLst/>
        </a:prstGeom>
      </xdr:spPr>
    </xdr:pic>
    <xdr:clientData/>
  </xdr:twoCellAnchor>
  <xdr:twoCellAnchor editAs="oneCell">
    <xdr:from>
      <xdr:col>8</xdr:col>
      <xdr:colOff>0</xdr:colOff>
      <xdr:row>99</xdr:row>
      <xdr:rowOff>0</xdr:rowOff>
    </xdr:from>
    <xdr:to>
      <xdr:col>14</xdr:col>
      <xdr:colOff>47105</xdr:colOff>
      <xdr:row>115</xdr:row>
      <xdr:rowOff>94895</xdr:rowOff>
    </xdr:to>
    <xdr:pic>
      <xdr:nvPicPr>
        <xdr:cNvPr id="17" name="图片 16">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10"/>
        <a:stretch>
          <a:fillRect/>
        </a:stretch>
      </xdr:blipFill>
      <xdr:spPr>
        <a:xfrm>
          <a:off x="6905625" y="16973550"/>
          <a:ext cx="4161905" cy="2838095"/>
        </a:xfrm>
        <a:prstGeom prst="rect">
          <a:avLst/>
        </a:prstGeom>
      </xdr:spPr>
    </xdr:pic>
    <xdr:clientData/>
  </xdr:twoCellAnchor>
  <xdr:twoCellAnchor editAs="oneCell">
    <xdr:from>
      <xdr:col>14</xdr:col>
      <xdr:colOff>114300</xdr:colOff>
      <xdr:row>6</xdr:row>
      <xdr:rowOff>38100</xdr:rowOff>
    </xdr:from>
    <xdr:to>
      <xdr:col>27</xdr:col>
      <xdr:colOff>665567</xdr:colOff>
      <xdr:row>33</xdr:row>
      <xdr:rowOff>75617</xdr:rowOff>
    </xdr:to>
    <xdr:pic>
      <xdr:nvPicPr>
        <xdr:cNvPr id="18" name="图片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11"/>
        <a:stretch>
          <a:fillRect/>
        </a:stretch>
      </xdr:blipFill>
      <xdr:spPr>
        <a:xfrm>
          <a:off x="11172825" y="1066800"/>
          <a:ext cx="9466667" cy="4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85725</xdr:colOff>
      <xdr:row>7</xdr:row>
      <xdr:rowOff>85725</xdr:rowOff>
    </xdr:from>
    <xdr:to>
      <xdr:col>15</xdr:col>
      <xdr:colOff>180975</xdr:colOff>
      <xdr:row>25</xdr:row>
      <xdr:rowOff>87372</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1"/>
        <a:stretch>
          <a:fillRect/>
        </a:stretch>
      </xdr:blipFill>
      <xdr:spPr>
        <a:xfrm>
          <a:off x="5972175" y="1285875"/>
          <a:ext cx="4152900" cy="3087747"/>
        </a:xfrm>
        <a:prstGeom prst="rect">
          <a:avLst/>
        </a:prstGeom>
      </xdr:spPr>
    </xdr:pic>
    <xdr:clientData/>
  </xdr:twoCellAnchor>
  <xdr:twoCellAnchor editAs="oneCell">
    <xdr:from>
      <xdr:col>0</xdr:col>
      <xdr:colOff>0</xdr:colOff>
      <xdr:row>7</xdr:row>
      <xdr:rowOff>95250</xdr:rowOff>
    </xdr:from>
    <xdr:to>
      <xdr:col>9</xdr:col>
      <xdr:colOff>36417</xdr:colOff>
      <xdr:row>25</xdr:row>
      <xdr:rowOff>152399</xdr:rowOff>
    </xdr:to>
    <xdr:pic>
      <xdr:nvPicPr>
        <xdr:cNvPr id="9" name="图片 8">
          <a:extLst>
            <a:ext uri="{FF2B5EF4-FFF2-40B4-BE49-F238E27FC236}">
              <a16:creationId xmlns:a16="http://schemas.microsoft.com/office/drawing/2014/main" id="{00000000-0008-0000-3500-000009000000}"/>
            </a:ext>
          </a:extLst>
        </xdr:cNvPr>
        <xdr:cNvPicPr>
          <a:picLocks noChangeAspect="1"/>
        </xdr:cNvPicPr>
      </xdr:nvPicPr>
      <xdr:blipFill>
        <a:blip xmlns:r="http://schemas.openxmlformats.org/officeDocument/2006/relationships" r:embed="rId2"/>
        <a:stretch>
          <a:fillRect/>
        </a:stretch>
      </xdr:blipFill>
      <xdr:spPr>
        <a:xfrm>
          <a:off x="0" y="1295400"/>
          <a:ext cx="5818092" cy="3143249"/>
        </a:xfrm>
        <a:prstGeom prst="rect">
          <a:avLst/>
        </a:prstGeom>
      </xdr:spPr>
    </xdr:pic>
    <xdr:clientData/>
  </xdr:twoCellAnchor>
  <xdr:twoCellAnchor editAs="oneCell">
    <xdr:from>
      <xdr:col>0</xdr:col>
      <xdr:colOff>28575</xdr:colOff>
      <xdr:row>28</xdr:row>
      <xdr:rowOff>123826</xdr:rowOff>
    </xdr:from>
    <xdr:to>
      <xdr:col>9</xdr:col>
      <xdr:colOff>66691</xdr:colOff>
      <xdr:row>46</xdr:row>
      <xdr:rowOff>57150</xdr:rowOff>
    </xdr:to>
    <xdr:pic>
      <xdr:nvPicPr>
        <xdr:cNvPr id="10" name="图片 9">
          <a:extLst>
            <a:ext uri="{FF2B5EF4-FFF2-40B4-BE49-F238E27FC236}">
              <a16:creationId xmlns:a16="http://schemas.microsoft.com/office/drawing/2014/main" id="{00000000-0008-0000-3500-00000A000000}"/>
            </a:ext>
          </a:extLst>
        </xdr:cNvPr>
        <xdr:cNvPicPr>
          <a:picLocks noChangeAspect="1"/>
        </xdr:cNvPicPr>
      </xdr:nvPicPr>
      <xdr:blipFill>
        <a:blip xmlns:r="http://schemas.openxmlformats.org/officeDocument/2006/relationships" r:embed="rId3"/>
        <a:stretch>
          <a:fillRect/>
        </a:stretch>
      </xdr:blipFill>
      <xdr:spPr>
        <a:xfrm>
          <a:off x="28575" y="4924426"/>
          <a:ext cx="5819791" cy="3019424"/>
        </a:xfrm>
        <a:prstGeom prst="rect">
          <a:avLst/>
        </a:prstGeom>
      </xdr:spPr>
    </xdr:pic>
    <xdr:clientData/>
  </xdr:twoCellAnchor>
  <xdr:twoCellAnchor editAs="oneCell">
    <xdr:from>
      <xdr:col>9</xdr:col>
      <xdr:colOff>47624</xdr:colOff>
      <xdr:row>28</xdr:row>
      <xdr:rowOff>161926</xdr:rowOff>
    </xdr:from>
    <xdr:to>
      <xdr:col>18</xdr:col>
      <xdr:colOff>665838</xdr:colOff>
      <xdr:row>45</xdr:row>
      <xdr:rowOff>130730</xdr:rowOff>
    </xdr:to>
    <xdr:pic>
      <xdr:nvPicPr>
        <xdr:cNvPr id="11" name="图片 10">
          <a:extLst>
            <a:ext uri="{FF2B5EF4-FFF2-40B4-BE49-F238E27FC236}">
              <a16:creationId xmlns:a16="http://schemas.microsoft.com/office/drawing/2014/main" id="{00000000-0008-0000-3500-00000B000000}"/>
            </a:ext>
          </a:extLst>
        </xdr:cNvPr>
        <xdr:cNvPicPr>
          <a:picLocks noChangeAspect="1"/>
        </xdr:cNvPicPr>
      </xdr:nvPicPr>
      <xdr:blipFill>
        <a:blip xmlns:r="http://schemas.openxmlformats.org/officeDocument/2006/relationships" r:embed="rId4"/>
        <a:stretch>
          <a:fillRect/>
        </a:stretch>
      </xdr:blipFill>
      <xdr:spPr>
        <a:xfrm>
          <a:off x="5934074" y="4962526"/>
          <a:ext cx="6704689" cy="2883454"/>
        </a:xfrm>
        <a:prstGeom prst="rect">
          <a:avLst/>
        </a:prstGeom>
      </xdr:spPr>
    </xdr:pic>
    <xdr:clientData/>
  </xdr:twoCellAnchor>
  <xdr:twoCellAnchor editAs="oneCell">
    <xdr:from>
      <xdr:col>0</xdr:col>
      <xdr:colOff>0</xdr:colOff>
      <xdr:row>49</xdr:row>
      <xdr:rowOff>1</xdr:rowOff>
    </xdr:from>
    <xdr:to>
      <xdr:col>9</xdr:col>
      <xdr:colOff>38100</xdr:colOff>
      <xdr:row>67</xdr:row>
      <xdr:rowOff>74429</xdr:rowOff>
    </xdr:to>
    <xdr:pic>
      <xdr:nvPicPr>
        <xdr:cNvPr id="12" name="图片 11">
          <a:extLst>
            <a:ext uri="{FF2B5EF4-FFF2-40B4-BE49-F238E27FC236}">
              <a16:creationId xmlns:a16="http://schemas.microsoft.com/office/drawing/2014/main" id="{00000000-0008-0000-3500-00000C000000}"/>
            </a:ext>
          </a:extLst>
        </xdr:cNvPr>
        <xdr:cNvPicPr>
          <a:picLocks noChangeAspect="1"/>
        </xdr:cNvPicPr>
      </xdr:nvPicPr>
      <xdr:blipFill>
        <a:blip xmlns:r="http://schemas.openxmlformats.org/officeDocument/2006/relationships" r:embed="rId5"/>
        <a:stretch>
          <a:fillRect/>
        </a:stretch>
      </xdr:blipFill>
      <xdr:spPr>
        <a:xfrm>
          <a:off x="0" y="8401051"/>
          <a:ext cx="5819775" cy="3160528"/>
        </a:xfrm>
        <a:prstGeom prst="rect">
          <a:avLst/>
        </a:prstGeom>
      </xdr:spPr>
    </xdr:pic>
    <xdr:clientData/>
  </xdr:twoCellAnchor>
  <xdr:twoCellAnchor editAs="oneCell">
    <xdr:from>
      <xdr:col>9</xdr:col>
      <xdr:colOff>0</xdr:colOff>
      <xdr:row>49</xdr:row>
      <xdr:rowOff>28575</xdr:rowOff>
    </xdr:from>
    <xdr:to>
      <xdr:col>17</xdr:col>
      <xdr:colOff>524810</xdr:colOff>
      <xdr:row>66</xdr:row>
      <xdr:rowOff>19050</xdr:rowOff>
    </xdr:to>
    <xdr:pic>
      <xdr:nvPicPr>
        <xdr:cNvPr id="13" name="图片 12">
          <a:extLst>
            <a:ext uri="{FF2B5EF4-FFF2-40B4-BE49-F238E27FC236}">
              <a16:creationId xmlns:a16="http://schemas.microsoft.com/office/drawing/2014/main" id="{00000000-0008-0000-3500-00000D000000}"/>
            </a:ext>
          </a:extLst>
        </xdr:cNvPr>
        <xdr:cNvPicPr>
          <a:picLocks noChangeAspect="1"/>
        </xdr:cNvPicPr>
      </xdr:nvPicPr>
      <xdr:blipFill>
        <a:blip xmlns:r="http://schemas.openxmlformats.org/officeDocument/2006/relationships" r:embed="rId6"/>
        <a:stretch>
          <a:fillRect/>
        </a:stretch>
      </xdr:blipFill>
      <xdr:spPr>
        <a:xfrm>
          <a:off x="5884722" y="8429625"/>
          <a:ext cx="5935010" cy="2905125"/>
        </a:xfrm>
        <a:prstGeom prst="rect">
          <a:avLst/>
        </a:prstGeom>
      </xdr:spPr>
    </xdr:pic>
    <xdr:clientData/>
  </xdr:twoCellAnchor>
  <xdr:twoCellAnchor editAs="oneCell">
    <xdr:from>
      <xdr:col>0</xdr:col>
      <xdr:colOff>0</xdr:colOff>
      <xdr:row>70</xdr:row>
      <xdr:rowOff>0</xdr:rowOff>
    </xdr:from>
    <xdr:to>
      <xdr:col>9</xdr:col>
      <xdr:colOff>85836</xdr:colOff>
      <xdr:row>87</xdr:row>
      <xdr:rowOff>161925</xdr:rowOff>
    </xdr:to>
    <xdr:pic>
      <xdr:nvPicPr>
        <xdr:cNvPr id="14" name="图片 13">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7"/>
        <a:stretch>
          <a:fillRect/>
        </a:stretch>
      </xdr:blipFill>
      <xdr:spPr>
        <a:xfrm>
          <a:off x="0" y="12001500"/>
          <a:ext cx="5867511" cy="3076575"/>
        </a:xfrm>
        <a:prstGeom prst="rect">
          <a:avLst/>
        </a:prstGeom>
      </xdr:spPr>
    </xdr:pic>
    <xdr:clientData/>
  </xdr:twoCellAnchor>
  <xdr:twoCellAnchor editAs="oneCell">
    <xdr:from>
      <xdr:col>9</xdr:col>
      <xdr:colOff>67740</xdr:colOff>
      <xdr:row>70</xdr:row>
      <xdr:rowOff>0</xdr:rowOff>
    </xdr:from>
    <xdr:to>
      <xdr:col>19</xdr:col>
      <xdr:colOff>513439</xdr:colOff>
      <xdr:row>87</xdr:row>
      <xdr:rowOff>85725</xdr:rowOff>
    </xdr:to>
    <xdr:pic>
      <xdr:nvPicPr>
        <xdr:cNvPr id="15" name="图片 14">
          <a:extLst>
            <a:ext uri="{FF2B5EF4-FFF2-40B4-BE49-F238E27FC236}">
              <a16:creationId xmlns:a16="http://schemas.microsoft.com/office/drawing/2014/main" id="{00000000-0008-0000-3500-00000F000000}"/>
            </a:ext>
          </a:extLst>
        </xdr:cNvPr>
        <xdr:cNvPicPr>
          <a:picLocks noChangeAspect="1"/>
        </xdr:cNvPicPr>
      </xdr:nvPicPr>
      <xdr:blipFill>
        <a:blip xmlns:r="http://schemas.openxmlformats.org/officeDocument/2006/relationships" r:embed="rId8"/>
        <a:stretch>
          <a:fillRect/>
        </a:stretch>
      </xdr:blipFill>
      <xdr:spPr>
        <a:xfrm>
          <a:off x="5954190" y="12001500"/>
          <a:ext cx="7208449" cy="3000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392206</xdr:colOff>
      <xdr:row>8</xdr:row>
      <xdr:rowOff>107577</xdr:rowOff>
    </xdr:from>
    <xdr:to>
      <xdr:col>7</xdr:col>
      <xdr:colOff>347383</xdr:colOff>
      <xdr:row>23</xdr:row>
      <xdr:rowOff>82924</xdr:rowOff>
    </xdr:to>
    <xdr:graphicFrame macro="">
      <xdr:nvGraphicFramePr>
        <xdr:cNvPr id="5" name="图表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Users\apple\Downloads\&#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租金"/>
      <sheetName val="定义"/>
      <sheetName val="不动产比较法-仓储"/>
      <sheetName val="不动产比较法-车位"/>
      <sheetName val="数据-取费表"/>
      <sheetName val="修正"/>
      <sheetName val="不动产比较法-工业"/>
      <sheetName val="不动产比较法-商业租金"/>
      <sheetName val="比较法-工业"/>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ow r="17">
          <cell r="C17" t="str">
            <v>项目类型</v>
          </cell>
        </row>
      </sheetData>
      <sheetData sheetId="1"/>
      <sheetData sheetId="2"/>
      <sheetData sheetId="3"/>
      <sheetData sheetId="4"/>
      <sheetData sheetId="5"/>
      <sheetData sheetId="6"/>
      <sheetData sheetId="7"/>
      <sheetData sheetId="8"/>
      <sheetData sheetId="9"/>
      <sheetData sheetId="10">
        <row r="1">
          <cell r="D1" t="str">
            <v>判定</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54386414741416x.shtml?PGTID=0d006b31-0000-00a5-501a-4002876b7ddb&amp;ClickID=115" TargetMode="External"/><Relationship Id="rId7" Type="http://schemas.openxmlformats.org/officeDocument/2006/relationships/drawing" Target="../drawings/drawing4.xml"/><Relationship Id="rId2" Type="http://schemas.openxmlformats.org/officeDocument/2006/relationships/hyperlink" Target="https://bj.58.com/shangpu/54429848293947x.shtml?PGTID=0d006b31-0000-00a5-501a-4002876b7ddb&amp;ClickID=155" TargetMode="External"/><Relationship Id="rId1" Type="http://schemas.openxmlformats.org/officeDocument/2006/relationships/hyperlink" Target="https://bj.58.com/shangpu/54242623060507x.shtml?PGTID=0d006b31-0000-00a5-501a-4002876b7ddb&amp;ClickID=132" TargetMode="External"/><Relationship Id="rId6" Type="http://schemas.openxmlformats.org/officeDocument/2006/relationships/printerSettings" Target="../printerSettings/printerSettings24.bin"/><Relationship Id="rId5" Type="http://schemas.openxmlformats.org/officeDocument/2006/relationships/hyperlink" Target="https://bj.58.com/shangpu/54103363162398x.shtml?PGTID=0d006b31-0000-00a5-501a-4002876b7ddb&amp;ClickID=152" TargetMode="External"/><Relationship Id="rId4" Type="http://schemas.openxmlformats.org/officeDocument/2006/relationships/hyperlink" Target="https://bj.58.com/shangpu/54168581507759x.shtml?PGTID=0d006b31-0000-00a5-501a-4002876b7ddb&amp;ClickID=36"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hyperlink" Target="https://bj.58.com/zhaozu/53375088983098x.shtml?PGTID=0d00000d-0000-077e-7577-9b3eeb9814a5&amp;ClickID=6" TargetMode="External"/><Relationship Id="rId2" Type="http://schemas.openxmlformats.org/officeDocument/2006/relationships/hyperlink" Target="https://bj.58.com/zhaozu/53514339156611x.shtml?PGTID=0d00000d-0000-0d2a-0483-6d7fdbb16450&amp;ClickID=20" TargetMode="External"/><Relationship Id="rId1" Type="http://schemas.openxmlformats.org/officeDocument/2006/relationships/hyperlink" Target="https://shangban.58.com/bj/xiezilou/loupan-l1727594100228352.shtml?PGTID=0d00000d-0000-0365-2cc8-ec298ff4c41c&amp;ClickID=10" TargetMode="External"/><Relationship Id="rId6" Type="http://schemas.openxmlformats.org/officeDocument/2006/relationships/drawing" Target="../drawings/drawing6.xml"/><Relationship Id="rId5" Type="http://schemas.openxmlformats.org/officeDocument/2006/relationships/hyperlink" Target="https://bj.58.com/zhaozu/54458562487342x.shtml?PGTID=0d00000d-0000-0d2a-0483-6d7fdbb16450&amp;ClickID=4" TargetMode="External"/><Relationship Id="rId4" Type="http://schemas.openxmlformats.org/officeDocument/2006/relationships/hyperlink" Target="https://bj.58.com/zhaozu/54069543847433x.shtml?PGTID=0d00000d-0000-0d2a-0483-6d7fdbb16450&amp;ClickID=17"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125" style="2315" customWidth="1"/>
    <col min="3" max="18" width="9" style="2309"/>
    <col min="19" max="19" width="17.875" style="2309" customWidth="1"/>
    <col min="20" max="51" width="9" style="2309"/>
    <col min="52" max="52" width="13.1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根据《国有土地使用证》[]，估价对象（分摊）出让国有建设用地使用权面积为56790.45平方米。根据《建设工程规划许可证》[]、《出让合同》[]，估价对象规划建筑面积为73711.9378平方米。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73711.9378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125" defaultRowHeight="13.5"/>
  <cols>
    <col min="1" max="16384" width="15.1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H8" sqref="H8"/>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194" t="str">
        <f>IF(B10="北京市","北京市",C10)&amp;F10&amp;A17&amp;"国有建设用地使用权"&amp;B9&amp;"预评估"</f>
        <v>北京市出让国有建设用地使用权市场价格预评估</v>
      </c>
      <c r="C1" s="4195"/>
      <c r="D1" s="4195"/>
      <c r="E1" s="4195"/>
      <c r="F1" s="4195"/>
      <c r="G1" s="4195"/>
      <c r="H1" s="4195"/>
      <c r="I1" s="4196"/>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200"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3312</v>
      </c>
      <c r="C9" s="1446"/>
      <c r="D9" s="4201"/>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3313</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197"/>
      <c r="C12" s="4198"/>
      <c r="D12" s="4199"/>
      <c r="E12" s="1463" t="s">
        <v>1579</v>
      </c>
      <c r="F12" s="4215" t="s">
        <v>2161</v>
      </c>
      <c r="G12" s="4216"/>
      <c r="H12" s="4216"/>
      <c r="I12" s="4217"/>
      <c r="J12" s="2760"/>
      <c r="K12" s="2743"/>
      <c r="L12" s="2739"/>
      <c r="M12" s="2739"/>
      <c r="N12" s="2740"/>
      <c r="O12" s="2741"/>
      <c r="P12" s="2740"/>
      <c r="Q12" s="2740"/>
      <c r="R12" s="2740"/>
      <c r="S12" s="2740"/>
      <c r="T12" s="2740"/>
      <c r="U12" s="2740"/>
    </row>
    <row r="13" spans="1:21">
      <c r="A13" s="1454" t="s">
        <v>1577</v>
      </c>
      <c r="B13" s="4197"/>
      <c r="C13" s="4198"/>
      <c r="D13" s="4199"/>
      <c r="E13" s="1463" t="s">
        <v>1579</v>
      </c>
      <c r="F13" s="4215" t="s">
        <v>2162</v>
      </c>
      <c r="G13" s="4216"/>
      <c r="H13" s="4216"/>
      <c r="I13" s="4217"/>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212"/>
      <c r="E20" s="4213"/>
      <c r="F20" s="4213"/>
      <c r="G20" s="4213"/>
      <c r="H20" s="4213"/>
      <c r="I20" s="4214"/>
      <c r="J20" s="2760"/>
      <c r="K20" s="2743"/>
      <c r="L20" s="2739"/>
      <c r="M20" s="2739"/>
      <c r="N20" s="2740"/>
      <c r="O20" s="2741"/>
      <c r="P20" s="2740"/>
      <c r="Q20" s="2740"/>
      <c r="R20" s="2740"/>
      <c r="S20" s="2740"/>
      <c r="T20" s="2740"/>
      <c r="U20" s="2740"/>
    </row>
    <row r="21" spans="1:21">
      <c r="A21" s="1521" t="s">
        <v>1476</v>
      </c>
      <c r="B21" s="1522" t="s">
        <v>1477</v>
      </c>
      <c r="C21" s="1517">
        <f>'数据-汇总表'!E3</f>
        <v>73711.9378</v>
      </c>
      <c r="D21" s="1518" t="s">
        <v>1478</v>
      </c>
      <c r="E21" s="4202" t="s">
        <v>1516</v>
      </c>
      <c r="F21" s="4203"/>
      <c r="G21" s="4203"/>
      <c r="H21" s="4203"/>
      <c r="I21" s="4204"/>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202" t="s">
        <v>2163</v>
      </c>
      <c r="F22" s="4203"/>
      <c r="G22" s="4203"/>
      <c r="H22" s="4203"/>
      <c r="I22" s="4204"/>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205" t="s">
        <v>1484</v>
      </c>
      <c r="C24" s="4206"/>
      <c r="D24" s="4207" t="s">
        <v>1485</v>
      </c>
      <c r="E24" s="4208"/>
      <c r="F24" s="1471" t="s">
        <v>1486</v>
      </c>
      <c r="G24" s="2760"/>
      <c r="H24" s="2760"/>
      <c r="I24" s="2764"/>
      <c r="J24" s="2760"/>
      <c r="K24" s="4193"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193"/>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193"/>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220" t="s">
        <v>1519</v>
      </c>
      <c r="B31" s="1522" t="s">
        <v>1520</v>
      </c>
      <c r="C31" s="4218"/>
      <c r="D31" s="4219"/>
      <c r="E31" s="2760"/>
      <c r="F31" s="2760"/>
      <c r="G31" s="2760"/>
      <c r="H31" s="2760"/>
      <c r="I31" s="2764"/>
      <c r="J31" s="2760"/>
      <c r="K31" s="2746"/>
      <c r="L31" s="2740"/>
      <c r="M31" s="2740"/>
      <c r="N31" s="2740"/>
      <c r="O31" s="2740"/>
      <c r="P31" s="2740"/>
      <c r="Q31" s="2740"/>
      <c r="R31" s="2740"/>
      <c r="S31" s="2740"/>
      <c r="T31" s="2740"/>
      <c r="U31" s="2740"/>
    </row>
    <row r="32" spans="1:21">
      <c r="A32" s="4220"/>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220"/>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221"/>
      <c r="B34" s="1435" t="s">
        <v>1523</v>
      </c>
      <c r="C34" s="4222"/>
      <c r="D34" s="4223"/>
      <c r="E34" s="2760"/>
      <c r="F34" s="2760"/>
      <c r="G34" s="2760"/>
      <c r="H34" s="2760"/>
      <c r="I34" s="2764"/>
      <c r="J34" s="2760"/>
      <c r="K34" s="2746"/>
      <c r="L34" s="2740"/>
      <c r="M34" s="2740"/>
      <c r="N34" s="2740"/>
      <c r="O34" s="2740"/>
      <c r="P34" s="2740"/>
      <c r="Q34" s="2740"/>
      <c r="R34" s="2740"/>
      <c r="S34" s="2740"/>
      <c r="T34" s="2740"/>
      <c r="U34" s="2740"/>
    </row>
    <row r="35" spans="1:28">
      <c r="A35" s="4224" t="s">
        <v>785</v>
      </c>
      <c r="B35" s="1485"/>
      <c r="C35" s="1531" t="str">
        <f>IF(B35="场地平整","——","具体情况：")</f>
        <v>具体情况：</v>
      </c>
      <c r="D35" s="4226"/>
      <c r="E35" s="4227"/>
      <c r="F35" s="4227"/>
      <c r="G35" s="4227"/>
      <c r="H35" s="4227"/>
      <c r="I35" s="4228"/>
      <c r="J35" s="2760"/>
      <c r="K35" s="2747"/>
      <c r="L35" s="2739"/>
      <c r="M35" s="2739"/>
      <c r="N35" s="2740"/>
      <c r="O35" s="2741"/>
      <c r="P35" s="2740"/>
      <c r="Q35" s="2740"/>
      <c r="R35" s="2740"/>
      <c r="S35" s="2740"/>
      <c r="T35" s="2740"/>
      <c r="U35" s="2740"/>
    </row>
    <row r="36" spans="1:28">
      <c r="A36" s="4220"/>
      <c r="B36" s="4229" t="s">
        <v>1572</v>
      </c>
      <c r="C36" s="4230"/>
      <c r="D36" s="1547"/>
      <c r="E36" s="4231"/>
      <c r="F36" s="4231"/>
      <c r="G36" s="1454" t="str">
        <f>IF(B35="场地未平整","估价结果处理","")</f>
        <v/>
      </c>
      <c r="H36" s="4232"/>
      <c r="I36" s="4232"/>
      <c r="J36" s="2760"/>
      <c r="K36" s="2747"/>
      <c r="L36" s="2739"/>
      <c r="M36" s="2739"/>
      <c r="N36" s="2740"/>
      <c r="O36" s="2741"/>
      <c r="P36" s="2740"/>
      <c r="Q36" s="2740"/>
      <c r="R36" s="2740"/>
      <c r="S36" s="2740"/>
      <c r="T36" s="2740"/>
      <c r="U36" s="2740"/>
    </row>
    <row r="37" spans="1:28" ht="28.5">
      <c r="A37" s="4220"/>
      <c r="B37" s="4209"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220"/>
      <c r="B38" s="4210"/>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221"/>
      <c r="B39" s="4211"/>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92" t="s">
        <v>1503</v>
      </c>
      <c r="T40" s="1494" t="str">
        <f>NUMBERSTRING(7-K40,1)&amp;"通"</f>
        <v>七通</v>
      </c>
      <c r="U40" s="2740"/>
    </row>
    <row r="41" spans="1:28">
      <c r="A41" s="1437"/>
      <c r="B41" s="4225" t="s">
        <v>1250</v>
      </c>
      <c r="C41" s="4225"/>
      <c r="D41" s="4225"/>
      <c r="E41" s="4225"/>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92"/>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2"/>
  <sheetViews>
    <sheetView workbookViewId="0">
      <selection activeCell="I9" sqref="I9"/>
    </sheetView>
  </sheetViews>
  <sheetFormatPr defaultColWidth="9" defaultRowHeight="12"/>
  <cols>
    <col min="1" max="1" width="4.62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125" style="4031" customWidth="1"/>
    <col min="12" max="12" width="7.5" style="4031" customWidth="1"/>
    <col min="13" max="16" width="9" style="4031"/>
    <col min="17" max="17" width="11.625" style="4031" bestFit="1" customWidth="1"/>
    <col min="18" max="16384" width="9" style="4031"/>
  </cols>
  <sheetData>
    <row r="1" spans="1:19" ht="30.75" customHeight="1">
      <c r="A1" s="4233" t="s">
        <v>3380</v>
      </c>
      <c r="B1" s="4233"/>
      <c r="C1" s="4233"/>
      <c r="D1" s="4233"/>
      <c r="E1" s="4233"/>
      <c r="F1" s="4233"/>
      <c r="G1" s="4233"/>
      <c r="H1" s="4233"/>
      <c r="I1" s="4233"/>
      <c r="J1" s="4233"/>
      <c r="K1" s="4233"/>
      <c r="L1" s="4233"/>
      <c r="M1" s="4233"/>
      <c r="N1" s="4233"/>
    </row>
    <row r="2" spans="1:19" ht="24">
      <c r="A2" s="4032" t="s">
        <v>1727</v>
      </c>
      <c r="B2" s="4033" t="s">
        <v>3316</v>
      </c>
      <c r="C2" s="4032" t="s">
        <v>3317</v>
      </c>
      <c r="D2" s="4032" t="s">
        <v>3318</v>
      </c>
      <c r="E2" s="4032" t="s">
        <v>1550</v>
      </c>
      <c r="F2" s="4032" t="s">
        <v>3319</v>
      </c>
      <c r="G2" s="4033" t="s">
        <v>3320</v>
      </c>
      <c r="H2" s="4032" t="s">
        <v>3321</v>
      </c>
      <c r="I2" s="4032" t="s">
        <v>3322</v>
      </c>
      <c r="J2" s="4033" t="s">
        <v>3323</v>
      </c>
      <c r="K2" s="4033" t="s">
        <v>3324</v>
      </c>
      <c r="L2" s="4033" t="s">
        <v>3325</v>
      </c>
      <c r="M2" s="4033" t="s">
        <v>3326</v>
      </c>
      <c r="N2" s="4033" t="s">
        <v>3327</v>
      </c>
      <c r="O2" s="4034"/>
    </row>
    <row r="3" spans="1:19" ht="24.75" customHeight="1">
      <c r="A3" s="4033">
        <v>1</v>
      </c>
      <c r="B3" s="3996" t="s">
        <v>3375</v>
      </c>
      <c r="C3" s="4033" t="s">
        <v>3328</v>
      </c>
      <c r="D3" s="4033">
        <v>24804.85</v>
      </c>
      <c r="E3" s="4033">
        <v>1.2</v>
      </c>
      <c r="F3" s="4088">
        <f>D3*E3</f>
        <v>29765.819999999996</v>
      </c>
      <c r="G3" s="4033">
        <v>18</v>
      </c>
      <c r="H3" s="4033">
        <v>30</v>
      </c>
      <c r="I3" s="4032">
        <v>30</v>
      </c>
      <c r="J3" s="4033" t="s">
        <v>3330</v>
      </c>
      <c r="K3" s="4032"/>
      <c r="L3" s="4033"/>
      <c r="M3" s="4033"/>
      <c r="N3" s="4033"/>
      <c r="O3" s="4034"/>
      <c r="S3" s="4031">
        <v>12.6</v>
      </c>
    </row>
    <row r="4" spans="1:19" ht="24.75" customHeight="1">
      <c r="A4" s="4033">
        <v>2</v>
      </c>
      <c r="B4" s="3996" t="s">
        <v>3377</v>
      </c>
      <c r="C4" s="4033" t="s">
        <v>3328</v>
      </c>
      <c r="D4" s="4033">
        <v>23103.85</v>
      </c>
      <c r="E4" s="4033">
        <v>1.2</v>
      </c>
      <c r="F4" s="4088">
        <f t="shared" ref="F4:F5" si="0">D4*E4</f>
        <v>27724.62</v>
      </c>
      <c r="G4" s="4033">
        <v>18</v>
      </c>
      <c r="H4" s="4033">
        <v>30</v>
      </c>
      <c r="I4" s="4032">
        <v>30</v>
      </c>
      <c r="J4" s="4033"/>
      <c r="K4" s="4032"/>
      <c r="L4" s="4033"/>
      <c r="M4" s="4033"/>
      <c r="N4" s="4033"/>
      <c r="O4" s="4034"/>
    </row>
    <row r="5" spans="1:19" ht="24.75" customHeight="1">
      <c r="A5" s="4033">
        <v>3</v>
      </c>
      <c r="B5" s="3996" t="s">
        <v>3378</v>
      </c>
      <c r="C5" s="4033" t="s">
        <v>3328</v>
      </c>
      <c r="D5" s="4033">
        <v>8881.75</v>
      </c>
      <c r="E5" s="4033">
        <v>1.2</v>
      </c>
      <c r="F5" s="4088">
        <f t="shared" si="0"/>
        <v>10658.1</v>
      </c>
      <c r="G5" s="4033">
        <v>18</v>
      </c>
      <c r="H5" s="4033">
        <v>30</v>
      </c>
      <c r="I5" s="4032">
        <v>30</v>
      </c>
      <c r="J5" s="4033"/>
      <c r="K5" s="4032"/>
      <c r="L5" s="4033"/>
      <c r="M5" s="4033"/>
      <c r="N5" s="4033"/>
      <c r="O5" s="4034"/>
    </row>
    <row r="6" spans="1:19" ht="24.75" customHeight="1">
      <c r="A6" s="4033">
        <v>4</v>
      </c>
      <c r="B6" s="3996" t="s">
        <v>3379</v>
      </c>
      <c r="C6" s="4033" t="s">
        <v>3376</v>
      </c>
      <c r="D6" s="4033">
        <v>4199.9799999999996</v>
      </c>
      <c r="E6" s="4033">
        <v>0.8</v>
      </c>
      <c r="F6" s="4088">
        <v>3359.98</v>
      </c>
      <c r="G6" s="4033">
        <v>16</v>
      </c>
      <c r="H6" s="4033">
        <v>30</v>
      </c>
      <c r="I6" s="4032">
        <v>35</v>
      </c>
      <c r="J6" s="4033"/>
      <c r="K6" s="4032"/>
      <c r="L6" s="4033"/>
      <c r="M6" s="4033"/>
      <c r="N6" s="4033"/>
      <c r="O6" s="4034"/>
    </row>
    <row r="7" spans="1:19" ht="24.75" customHeight="1">
      <c r="A7" s="4033" t="s">
        <v>3329</v>
      </c>
      <c r="B7" s="3996"/>
      <c r="C7" s="4033"/>
      <c r="D7" s="4033">
        <f>SUM(D3:D6)</f>
        <v>60990.429999999993</v>
      </c>
      <c r="E7" s="4033"/>
      <c r="F7" s="4088">
        <f>SUM(F3:F6)</f>
        <v>71508.51999999999</v>
      </c>
      <c r="G7" s="4033"/>
      <c r="H7" s="4033"/>
      <c r="I7" s="4032"/>
      <c r="J7" s="4033"/>
      <c r="K7" s="4032">
        <f>K3</f>
        <v>0</v>
      </c>
      <c r="L7" s="4033"/>
      <c r="M7" s="4033"/>
      <c r="N7" s="4033"/>
      <c r="O7" s="4034"/>
    </row>
    <row r="8" spans="1:19">
      <c r="A8" s="4034"/>
      <c r="B8" s="4034"/>
      <c r="C8" s="4034"/>
      <c r="D8" s="4034">
        <f>D3+D4+D5</f>
        <v>56790.45</v>
      </c>
      <c r="E8" s="4035">
        <f>ROUND(F3/(F3+F4+F5)*E3+F4/(F3+F4+F5)*E4+F5/(F3+F4+F5)*E5,2)</f>
        <v>1.2</v>
      </c>
      <c r="F8" s="4034">
        <f>F3+F4+F5</f>
        <v>68148.539999999994</v>
      </c>
      <c r="G8" s="4034"/>
      <c r="H8" s="4034"/>
      <c r="I8" s="4034"/>
      <c r="J8" s="4034"/>
      <c r="K8" s="4034"/>
      <c r="L8" s="4034"/>
      <c r="M8" s="4034"/>
      <c r="N8" s="4034"/>
      <c r="O8" s="4034"/>
    </row>
    <row r="9" spans="1:19">
      <c r="A9" s="4034"/>
      <c r="B9" s="4034"/>
      <c r="C9" s="4034"/>
      <c r="D9" s="4034"/>
      <c r="E9" s="4073">
        <f>ROUND(F8/D8,2)</f>
        <v>1.2</v>
      </c>
      <c r="F9" s="4034"/>
      <c r="G9" s="4034"/>
      <c r="H9" s="4034"/>
      <c r="I9" s="4034"/>
      <c r="J9" s="4034"/>
      <c r="K9" s="4034"/>
      <c r="L9" s="4034"/>
      <c r="M9" s="4034"/>
      <c r="N9" s="4034"/>
      <c r="O9" s="4034"/>
    </row>
    <row r="11" spans="1:19">
      <c r="B11" s="4036" t="s">
        <v>3381</v>
      </c>
    </row>
    <row r="15" spans="1:19">
      <c r="J15" s="4031" t="s">
        <v>3531</v>
      </c>
    </row>
    <row r="16" spans="1:19">
      <c r="J16" s="4031">
        <f>F6+'千人指标 (终版)'!D9+'千人指标 (终版)'!D10</f>
        <v>4152.9799999999996</v>
      </c>
    </row>
    <row r="21" spans="12:12">
      <c r="L21" s="4031" t="s">
        <v>3383</v>
      </c>
    </row>
    <row r="22" spans="12:12" ht="13.5">
      <c r="L22" s="4030" t="s">
        <v>3382</v>
      </c>
    </row>
  </sheetData>
  <mergeCells count="1">
    <mergeCell ref="A1:N1"/>
  </mergeCells>
  <phoneticPr fontId="224" type="noConversion"/>
  <hyperlinks>
    <hyperlink ref="L22" r:id="rId1" xr:uid="{00000000-0004-0000-0B00-00000000000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Y25"/>
  <sheetViews>
    <sheetView workbookViewId="0">
      <selection activeCell="D4" sqref="D4"/>
    </sheetView>
  </sheetViews>
  <sheetFormatPr defaultColWidth="9" defaultRowHeight="12"/>
  <cols>
    <col min="1" max="1" width="4.625" style="4089" customWidth="1"/>
    <col min="2" max="2" width="7.125" style="4089" customWidth="1"/>
    <col min="3" max="3" width="21.375" style="4089" customWidth="1"/>
    <col min="4" max="4" width="15" style="4089" customWidth="1"/>
    <col min="5" max="5" width="7.125" style="4089" customWidth="1"/>
    <col min="6" max="6" width="34.125" style="4089" customWidth="1"/>
    <col min="7" max="7" width="9.375" style="4089" customWidth="1"/>
    <col min="8" max="9" width="5.125" style="4089" customWidth="1"/>
    <col min="10" max="10" width="19.125" style="4089" customWidth="1"/>
    <col min="11" max="11" width="15" style="4089" customWidth="1"/>
    <col min="12" max="13" width="13.125" style="4089" customWidth="1"/>
    <col min="14" max="14" width="12.5" style="4089" customWidth="1"/>
    <col min="15" max="15" width="14.625" style="4089" customWidth="1"/>
    <col min="16" max="20" width="9.625" style="4089" customWidth="1"/>
    <col min="21" max="21" width="9" style="4089"/>
    <col min="22" max="22" width="15.125" style="4089" customWidth="1"/>
    <col min="23" max="23" width="3.5" style="4089" customWidth="1"/>
    <col min="24" max="16384" width="9" style="4089"/>
  </cols>
  <sheetData>
    <row r="1" spans="2:25" ht="21" customHeight="1">
      <c r="C1" s="4090" t="s">
        <v>3473</v>
      </c>
    </row>
    <row r="3" spans="2:25" ht="25.5" customHeight="1">
      <c r="B3" s="4091" t="s">
        <v>1727</v>
      </c>
      <c r="C3" s="4091" t="s">
        <v>1728</v>
      </c>
      <c r="D3" s="4091" t="s">
        <v>3474</v>
      </c>
      <c r="E3" s="4091" t="s">
        <v>3475</v>
      </c>
      <c r="F3" s="4091" t="s">
        <v>3476</v>
      </c>
    </row>
    <row r="4" spans="2:25" ht="24">
      <c r="B4" s="4092" t="s">
        <v>3477</v>
      </c>
      <c r="C4" s="4093" t="s">
        <v>3478</v>
      </c>
      <c r="D4" s="4094">
        <f>规划!F8</f>
        <v>68148.539999999994</v>
      </c>
      <c r="E4" s="4093" t="s">
        <v>3479</v>
      </c>
      <c r="F4" s="4095" t="s">
        <v>3480</v>
      </c>
      <c r="G4" s="4096"/>
      <c r="H4" s="4096"/>
    </row>
    <row r="5" spans="2:25" ht="48">
      <c r="B5" s="4092" t="s">
        <v>3481</v>
      </c>
      <c r="C5" s="4095" t="s">
        <v>3482</v>
      </c>
      <c r="D5" s="4093">
        <v>35</v>
      </c>
      <c r="E5" s="4093" t="s">
        <v>3479</v>
      </c>
      <c r="F5" s="4095" t="s">
        <v>3533</v>
      </c>
      <c r="G5" s="4096"/>
      <c r="H5" s="4096"/>
    </row>
    <row r="6" spans="2:25" ht="60">
      <c r="B6" s="4092" t="s">
        <v>3483</v>
      </c>
      <c r="C6" s="4095" t="s">
        <v>3484</v>
      </c>
      <c r="D6" s="4093">
        <v>2.4500000000000002</v>
      </c>
      <c r="E6" s="4093" t="s">
        <v>3485</v>
      </c>
      <c r="F6" s="4095" t="s">
        <v>3486</v>
      </c>
      <c r="G6" s="4096"/>
      <c r="H6" s="4096"/>
    </row>
    <row r="7" spans="2:25" ht="36">
      <c r="B7" s="4092" t="s">
        <v>3487</v>
      </c>
      <c r="C7" s="4093" t="s">
        <v>3488</v>
      </c>
      <c r="D7" s="4093">
        <f>ROUNDUP(D4/D5,0)</f>
        <v>1948</v>
      </c>
      <c r="E7" s="4093" t="s">
        <v>3485</v>
      </c>
      <c r="F7" s="4095" t="s">
        <v>3534</v>
      </c>
      <c r="G7" s="4096"/>
      <c r="H7" s="4096"/>
    </row>
    <row r="8" spans="2:25" ht="36">
      <c r="B8" s="4092" t="s">
        <v>3489</v>
      </c>
      <c r="C8" s="4097" t="s">
        <v>3490</v>
      </c>
      <c r="D8" s="4093">
        <f>ROUNDUP(D7/D6,0)</f>
        <v>796</v>
      </c>
      <c r="E8" s="4097" t="s">
        <v>3491</v>
      </c>
      <c r="F8" s="4095" t="s">
        <v>3535</v>
      </c>
      <c r="G8" s="4096"/>
      <c r="H8" s="4096"/>
    </row>
    <row r="9" spans="2:25" ht="17.25" customHeight="1">
      <c r="B9" s="4092" t="s">
        <v>3492</v>
      </c>
      <c r="C9" s="4097" t="s">
        <v>3493</v>
      </c>
      <c r="D9" s="4098">
        <f>U20</f>
        <v>754</v>
      </c>
      <c r="E9" s="4093" t="s">
        <v>3479</v>
      </c>
      <c r="F9" s="4095" t="s">
        <v>3494</v>
      </c>
      <c r="G9" s="4096"/>
      <c r="H9" s="4096"/>
    </row>
    <row r="10" spans="2:25" ht="17.25" customHeight="1">
      <c r="B10" s="4092" t="s">
        <v>3495</v>
      </c>
      <c r="C10" s="4097" t="s">
        <v>3496</v>
      </c>
      <c r="D10" s="4098">
        <f>S25</f>
        <v>39</v>
      </c>
      <c r="E10" s="4093" t="s">
        <v>3479</v>
      </c>
      <c r="F10" s="4095" t="s">
        <v>3497</v>
      </c>
      <c r="G10" s="4096"/>
      <c r="H10" s="4096"/>
    </row>
    <row r="11" spans="2:25" ht="17.25" customHeight="1">
      <c r="B11" s="4099"/>
      <c r="C11" s="4100"/>
      <c r="D11" s="4100"/>
      <c r="E11" s="4101"/>
      <c r="F11" s="4100"/>
      <c r="G11" s="4096"/>
      <c r="H11" s="4102" t="s">
        <v>3498</v>
      </c>
    </row>
    <row r="12" spans="2:25" s="4099" customFormat="1" ht="13.5" customHeight="1">
      <c r="B12" s="4089"/>
      <c r="C12" s="4103"/>
      <c r="D12" s="4103"/>
      <c r="E12" s="4096"/>
      <c r="F12" s="4096"/>
      <c r="H12" s="4235" t="s">
        <v>1727</v>
      </c>
      <c r="I12" s="4235" t="s">
        <v>3499</v>
      </c>
      <c r="J12" s="4235" t="s">
        <v>1728</v>
      </c>
      <c r="K12" s="4236" t="s">
        <v>3500</v>
      </c>
      <c r="L12" s="4234" t="s">
        <v>3501</v>
      </c>
      <c r="M12" s="4234" t="s">
        <v>3502</v>
      </c>
      <c r="N12" s="4234" t="s">
        <v>3503</v>
      </c>
      <c r="O12" s="4234"/>
      <c r="P12" s="4234" t="s">
        <v>3504</v>
      </c>
      <c r="Q12" s="4234"/>
      <c r="R12" s="4234"/>
      <c r="S12" s="4234"/>
      <c r="T12" s="4234"/>
      <c r="U12" s="4234" t="s">
        <v>3505</v>
      </c>
      <c r="V12" s="4236" t="s">
        <v>3506</v>
      </c>
      <c r="W12" s="4104"/>
    </row>
    <row r="13" spans="2:25" ht="60">
      <c r="C13" s="4103"/>
      <c r="D13" s="4103"/>
      <c r="E13" s="4096"/>
      <c r="F13" s="4096"/>
      <c r="H13" s="4235"/>
      <c r="I13" s="4235"/>
      <c r="J13" s="4235"/>
      <c r="K13" s="4236"/>
      <c r="L13" s="4234"/>
      <c r="M13" s="4234"/>
      <c r="N13" s="4105" t="s">
        <v>3507</v>
      </c>
      <c r="O13" s="4105" t="s">
        <v>3508</v>
      </c>
      <c r="P13" s="4106" t="s">
        <v>3509</v>
      </c>
      <c r="Q13" s="4236" t="s">
        <v>3510</v>
      </c>
      <c r="R13" s="4236"/>
      <c r="S13" s="4106" t="s">
        <v>3511</v>
      </c>
      <c r="T13" s="4105" t="s">
        <v>3512</v>
      </c>
      <c r="U13" s="4235"/>
      <c r="V13" s="4236"/>
    </row>
    <row r="14" spans="2:25" ht="20.100000000000001" customHeight="1">
      <c r="H14" s="4093">
        <v>1</v>
      </c>
      <c r="I14" s="4097" t="s">
        <v>1731</v>
      </c>
      <c r="J14" s="4097" t="s">
        <v>3513</v>
      </c>
      <c r="K14" s="4107">
        <f>D4</f>
        <v>68148.539999999994</v>
      </c>
      <c r="L14" s="4097">
        <f>D7</f>
        <v>1948</v>
      </c>
      <c r="M14" s="4097"/>
      <c r="N14" s="4097">
        <v>30</v>
      </c>
      <c r="O14" s="4097">
        <f>IF(L14&lt;1000,N14,ROUND(L14/1000*N14,0))</f>
        <v>58</v>
      </c>
      <c r="P14" s="4097">
        <v>150</v>
      </c>
      <c r="Q14" s="4097">
        <v>20</v>
      </c>
      <c r="R14" s="4097" t="s">
        <v>3514</v>
      </c>
      <c r="S14" s="4097">
        <f>ROUNDUP(K14/(Q14*10000),0)</f>
        <v>1</v>
      </c>
      <c r="T14" s="4108">
        <f t="shared" ref="T14:T19" si="0">S14*P14</f>
        <v>150</v>
      </c>
      <c r="U14" s="4109">
        <f t="shared" ref="U14:U19" si="1">MAX(O14,T14)</f>
        <v>150</v>
      </c>
      <c r="V14" s="4097" t="s">
        <v>3515</v>
      </c>
    </row>
    <row r="15" spans="2:25" ht="20.100000000000001" customHeight="1">
      <c r="H15" s="4093">
        <v>2</v>
      </c>
      <c r="I15" s="4093" t="s">
        <v>1731</v>
      </c>
      <c r="J15" s="4093" t="s">
        <v>3516</v>
      </c>
      <c r="K15" s="4110">
        <f>K14</f>
        <v>68148.539999999994</v>
      </c>
      <c r="L15" s="4093"/>
      <c r="M15" s="4093"/>
      <c r="N15" s="4093" t="s">
        <v>3517</v>
      </c>
      <c r="O15" s="4093" t="s">
        <v>3517</v>
      </c>
      <c r="P15" s="4093">
        <v>200</v>
      </c>
      <c r="Q15" s="4097">
        <v>20</v>
      </c>
      <c r="R15" s="4097" t="s">
        <v>3514</v>
      </c>
      <c r="S15" s="4097">
        <f>ROUNDUP(K15/(Q15*10000),0)</f>
        <v>1</v>
      </c>
      <c r="T15" s="4108">
        <f t="shared" si="0"/>
        <v>200</v>
      </c>
      <c r="U15" s="4109">
        <f t="shared" si="1"/>
        <v>200</v>
      </c>
      <c r="V15" s="4097" t="s">
        <v>3515</v>
      </c>
      <c r="W15" s="4111"/>
      <c r="X15" s="4111"/>
      <c r="Y15" s="4111"/>
    </row>
    <row r="16" spans="2:25" ht="20.100000000000001" customHeight="1">
      <c r="H16" s="4093">
        <v>3</v>
      </c>
      <c r="I16" s="4093" t="s">
        <v>1731</v>
      </c>
      <c r="J16" s="4093" t="s">
        <v>3518</v>
      </c>
      <c r="K16" s="4110">
        <f>K14</f>
        <v>68148.539999999994</v>
      </c>
      <c r="L16" s="4093"/>
      <c r="M16" s="4093"/>
      <c r="N16" s="4093" t="s">
        <v>3517</v>
      </c>
      <c r="O16" s="4093" t="s">
        <v>3517</v>
      </c>
      <c r="P16" s="4093">
        <v>15</v>
      </c>
      <c r="Q16" s="4093">
        <v>5</v>
      </c>
      <c r="R16" s="4093" t="s">
        <v>3514</v>
      </c>
      <c r="S16" s="4097">
        <f>ROUNDUP(K16/(Q16*10000),0)</f>
        <v>2</v>
      </c>
      <c r="T16" s="4108">
        <f t="shared" si="0"/>
        <v>30</v>
      </c>
      <c r="U16" s="4109">
        <f t="shared" si="1"/>
        <v>30</v>
      </c>
      <c r="V16" s="4093" t="s">
        <v>3519</v>
      </c>
      <c r="W16" s="4111"/>
      <c r="X16" s="4111"/>
      <c r="Y16" s="4111"/>
    </row>
    <row r="17" spans="2:25" ht="20.100000000000001" customHeight="1">
      <c r="H17" s="4093">
        <v>4</v>
      </c>
      <c r="I17" s="4093" t="s">
        <v>1731</v>
      </c>
      <c r="J17" s="4093" t="s">
        <v>3520</v>
      </c>
      <c r="K17" s="4093"/>
      <c r="L17" s="4093"/>
      <c r="M17" s="4093">
        <f>D8</f>
        <v>796</v>
      </c>
      <c r="N17" s="4093" t="s">
        <v>3517</v>
      </c>
      <c r="O17" s="4093" t="s">
        <v>3517</v>
      </c>
      <c r="P17" s="4093">
        <v>10</v>
      </c>
      <c r="Q17" s="4093">
        <v>1000</v>
      </c>
      <c r="R17" s="4093" t="s">
        <v>3521</v>
      </c>
      <c r="S17" s="4097">
        <f>ROUNDUP(M17/(Q17*10000),0)</f>
        <v>1</v>
      </c>
      <c r="T17" s="4108">
        <f t="shared" si="0"/>
        <v>10</v>
      </c>
      <c r="U17" s="4109">
        <f t="shared" si="1"/>
        <v>10</v>
      </c>
      <c r="V17" s="4093" t="s">
        <v>3522</v>
      </c>
      <c r="W17" s="4111"/>
      <c r="X17" s="4111"/>
      <c r="Y17" s="4111"/>
    </row>
    <row r="18" spans="2:25" ht="20.100000000000001" customHeight="1">
      <c r="H18" s="4093">
        <v>5</v>
      </c>
      <c r="I18" s="4093" t="s">
        <v>1731</v>
      </c>
      <c r="J18" s="4093" t="s">
        <v>3523</v>
      </c>
      <c r="K18" s="4093"/>
      <c r="L18" s="4093"/>
      <c r="M18" s="4093">
        <f>M17</f>
        <v>796</v>
      </c>
      <c r="N18" s="4093" t="s">
        <v>3517</v>
      </c>
      <c r="O18" s="4093" t="s">
        <v>3517</v>
      </c>
      <c r="P18" s="4093">
        <v>4</v>
      </c>
      <c r="Q18" s="4093">
        <v>1000</v>
      </c>
      <c r="R18" s="4093" t="s">
        <v>3521</v>
      </c>
      <c r="S18" s="4097">
        <f>ROUNDUP(M18/(Q18*10000),0)</f>
        <v>1</v>
      </c>
      <c r="T18" s="4108">
        <f t="shared" si="0"/>
        <v>4</v>
      </c>
      <c r="U18" s="4109">
        <f t="shared" si="1"/>
        <v>4</v>
      </c>
      <c r="V18" s="4093" t="s">
        <v>3524</v>
      </c>
      <c r="W18" s="4111"/>
      <c r="X18" s="4111"/>
      <c r="Y18" s="4111"/>
    </row>
    <row r="19" spans="2:25" ht="20.100000000000001" customHeight="1">
      <c r="B19" s="4112"/>
      <c r="C19" s="4112"/>
      <c r="D19" s="4112"/>
      <c r="E19" s="4112"/>
      <c r="F19" s="4112"/>
      <c r="H19" s="4093">
        <v>6</v>
      </c>
      <c r="I19" s="4093" t="s">
        <v>1731</v>
      </c>
      <c r="J19" s="4097" t="s">
        <v>3525</v>
      </c>
      <c r="K19" s="4110">
        <f>K14</f>
        <v>68148.539999999994</v>
      </c>
      <c r="L19" s="4097"/>
      <c r="M19" s="4097"/>
      <c r="N19" s="4093" t="s">
        <v>3517</v>
      </c>
      <c r="O19" s="4093" t="s">
        <v>3517</v>
      </c>
      <c r="P19" s="4093">
        <v>180</v>
      </c>
      <c r="Q19" s="4093">
        <v>5</v>
      </c>
      <c r="R19" s="4093" t="s">
        <v>3514</v>
      </c>
      <c r="S19" s="4097">
        <f>ROUNDUP(K19/(Q19*10000),0)</f>
        <v>2</v>
      </c>
      <c r="T19" s="4108">
        <f t="shared" si="0"/>
        <v>360</v>
      </c>
      <c r="U19" s="4109">
        <f t="shared" si="1"/>
        <v>360</v>
      </c>
      <c r="V19" s="4093" t="s">
        <v>3519</v>
      </c>
    </row>
    <row r="20" spans="2:25" s="4112" customFormat="1" ht="20.100000000000001" customHeight="1">
      <c r="B20" s="4089"/>
      <c r="C20" s="4089"/>
      <c r="D20" s="4089"/>
      <c r="E20" s="4089"/>
      <c r="F20" s="4089"/>
      <c r="H20" s="4237" t="s">
        <v>3329</v>
      </c>
      <c r="I20" s="4237"/>
      <c r="J20" s="4237"/>
      <c r="K20" s="4097"/>
      <c r="L20" s="4097"/>
      <c r="M20" s="4097"/>
      <c r="N20" s="4097"/>
      <c r="O20" s="4097"/>
      <c r="P20" s="4097"/>
      <c r="Q20" s="4097"/>
      <c r="R20" s="4097"/>
      <c r="S20" s="4097"/>
      <c r="T20" s="4097"/>
      <c r="U20" s="4097">
        <f>SUM(U14:U19)</f>
        <v>754</v>
      </c>
      <c r="V20" s="4097"/>
    </row>
    <row r="21" spans="2:25">
      <c r="B21" s="4102"/>
      <c r="C21" s="4102"/>
      <c r="D21" s="4102"/>
      <c r="E21" s="4102"/>
      <c r="F21" s="4102"/>
    </row>
    <row r="22" spans="2:25" s="4102" customFormat="1">
      <c r="B22" s="4099"/>
      <c r="C22" s="4100"/>
      <c r="D22" s="4100"/>
      <c r="E22" s="4101"/>
      <c r="F22" s="4100"/>
      <c r="H22" s="4102" t="s">
        <v>3526</v>
      </c>
    </row>
    <row r="23" spans="2:25" s="4099" customFormat="1" ht="13.5" customHeight="1">
      <c r="B23" s="4089"/>
      <c r="C23" s="4103"/>
      <c r="D23" s="4103"/>
      <c r="E23" s="4096"/>
      <c r="F23" s="4096"/>
      <c r="H23" s="4235" t="s">
        <v>1727</v>
      </c>
      <c r="I23" s="4235" t="s">
        <v>3499</v>
      </c>
      <c r="J23" s="4235" t="s">
        <v>1728</v>
      </c>
      <c r="K23" s="4236" t="s">
        <v>3500</v>
      </c>
      <c r="L23" s="4234" t="s">
        <v>3501</v>
      </c>
      <c r="M23" s="4234" t="s">
        <v>3502</v>
      </c>
      <c r="N23" s="4234" t="s">
        <v>3503</v>
      </c>
      <c r="O23" s="4234"/>
      <c r="P23" s="4234" t="s">
        <v>3504</v>
      </c>
      <c r="Q23" s="4234"/>
      <c r="R23" s="4234"/>
      <c r="S23" s="4234" t="s">
        <v>3505</v>
      </c>
      <c r="T23" s="4104"/>
      <c r="U23" s="4104"/>
      <c r="V23" s="4104"/>
      <c r="W23" s="4104"/>
    </row>
    <row r="24" spans="2:25" ht="60">
      <c r="B24" s="4096"/>
      <c r="C24" s="4096"/>
      <c r="D24" s="4096"/>
      <c r="E24" s="4096"/>
      <c r="F24" s="4096"/>
      <c r="H24" s="4235"/>
      <c r="I24" s="4235"/>
      <c r="J24" s="4235"/>
      <c r="K24" s="4236"/>
      <c r="L24" s="4234"/>
      <c r="M24" s="4234"/>
      <c r="N24" s="4105" t="s">
        <v>3507</v>
      </c>
      <c r="O24" s="4105" t="s">
        <v>3508</v>
      </c>
      <c r="P24" s="4106" t="s">
        <v>3527</v>
      </c>
      <c r="Q24" s="4106" t="s">
        <v>3528</v>
      </c>
      <c r="R24" s="4105" t="s">
        <v>3529</v>
      </c>
      <c r="S24" s="4235"/>
    </row>
    <row r="25" spans="2:25" s="4096" customFormat="1" ht="20.100000000000001" customHeight="1">
      <c r="B25" s="4089"/>
      <c r="C25" s="4089"/>
      <c r="D25" s="4089"/>
      <c r="E25" s="4089"/>
      <c r="F25" s="4089"/>
      <c r="H25" s="4093">
        <v>1</v>
      </c>
      <c r="I25" s="4097" t="s">
        <v>1731</v>
      </c>
      <c r="J25" s="4097" t="s">
        <v>3530</v>
      </c>
      <c r="K25" s="4110">
        <f>D4</f>
        <v>68148.539999999994</v>
      </c>
      <c r="L25" s="4093">
        <f>D7</f>
        <v>1948</v>
      </c>
      <c r="M25" s="4093">
        <f>D8</f>
        <v>796</v>
      </c>
      <c r="N25" s="4093">
        <v>20</v>
      </c>
      <c r="O25" s="4097">
        <f>IF(L25&lt;1000,N25,ROUND(L25/1000*N25,0))</f>
        <v>39</v>
      </c>
      <c r="P25" s="4093" t="s">
        <v>3517</v>
      </c>
      <c r="Q25" s="4093" t="s">
        <v>3517</v>
      </c>
      <c r="R25" s="4093" t="s">
        <v>3517</v>
      </c>
      <c r="S25" s="4093">
        <f>O25</f>
        <v>39</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625" style="13" hidden="1" customWidth="1"/>
    <col min="17" max="17" width="9.375" style="13" hidden="1" customWidth="1"/>
    <col min="18" max="18" width="9.125" style="13" hidden="1" customWidth="1"/>
    <col min="19" max="19" width="10.875" style="13" hidden="1" customWidth="1"/>
    <col min="20" max="21" width="10.625" style="13" hidden="1" customWidth="1"/>
    <col min="22" max="22" width="10.875" style="13" hidden="1" customWidth="1"/>
    <col min="23" max="27" width="10.625" style="13" hidden="1" customWidth="1"/>
    <col min="28" max="28" width="10.875" style="13" hidden="1"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73711.9378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73711.9378</v>
      </c>
      <c r="H5" s="24">
        <f t="shared" ref="H5:AT5" si="0">SUM(H13:H641)</f>
        <v>68941.539999999994</v>
      </c>
      <c r="I5" s="24">
        <f t="shared" si="0"/>
        <v>68148.539999999994</v>
      </c>
      <c r="J5" s="24">
        <f t="shared" si="0"/>
        <v>0</v>
      </c>
      <c r="K5" s="24">
        <f t="shared" si="0"/>
        <v>754</v>
      </c>
      <c r="L5" s="24">
        <f t="shared" si="0"/>
        <v>0</v>
      </c>
      <c r="M5" s="24">
        <f t="shared" si="0"/>
        <v>39</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4770.3977999999997</v>
      </c>
      <c r="AD5" s="24">
        <f t="shared" si="0"/>
        <v>4770.3977999999997</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73711.9378</v>
      </c>
      <c r="BA5" s="26">
        <f t="shared" si="1"/>
        <v>68941.539999999994</v>
      </c>
      <c r="BB5" s="26">
        <f t="shared" si="1"/>
        <v>68148.539999999994</v>
      </c>
      <c r="BC5" s="26">
        <f t="shared" si="1"/>
        <v>754</v>
      </c>
      <c r="BD5" s="26">
        <f t="shared" si="1"/>
        <v>39</v>
      </c>
      <c r="BE5" s="26">
        <f t="shared" si="1"/>
        <v>0</v>
      </c>
      <c r="BF5" s="26">
        <f t="shared" si="1"/>
        <v>0</v>
      </c>
      <c r="BG5" s="26">
        <f t="shared" si="1"/>
        <v>0</v>
      </c>
      <c r="BH5" s="26">
        <f t="shared" si="1"/>
        <v>0</v>
      </c>
      <c r="BI5" s="26">
        <f t="shared" si="1"/>
        <v>0</v>
      </c>
      <c r="BJ5" s="26">
        <f t="shared" si="1"/>
        <v>0</v>
      </c>
      <c r="BK5" s="26">
        <f t="shared" si="1"/>
        <v>0</v>
      </c>
      <c r="BL5" s="26">
        <f t="shared" si="1"/>
        <v>4770.3977999999997</v>
      </c>
      <c r="BM5" s="26">
        <f t="shared" si="1"/>
        <v>4770.3977999999997</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56790.450000000004</v>
      </c>
      <c r="F6" s="24" t="s">
        <v>0</v>
      </c>
      <c r="G6" s="24" t="s">
        <v>1</v>
      </c>
      <c r="H6" s="30">
        <f>SUMIF(I$12:AB$12,"总值",I6:AB6)</f>
        <v>53115.16</v>
      </c>
      <c r="I6" s="24">
        <f t="shared" ref="I6:AB6" si="2">ROUND($A$3*I5/$B$3,2)</f>
        <v>52504.2</v>
      </c>
      <c r="J6" s="24">
        <f t="shared" si="2"/>
        <v>0</v>
      </c>
      <c r="K6" s="24">
        <f t="shared" si="2"/>
        <v>580.91</v>
      </c>
      <c r="L6" s="24">
        <f t="shared" si="2"/>
        <v>0</v>
      </c>
      <c r="M6" s="24">
        <f t="shared" si="2"/>
        <v>30.05</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3675.29</v>
      </c>
      <c r="AD6" s="24">
        <f t="shared" ref="AD6:AS6" si="3">ROUND($A$3*AD5/$B$3,2)</f>
        <v>3675.29</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53115.16</v>
      </c>
      <c r="BB6" s="24">
        <f>ROUND($AY$6*BB5/$AZ$5,2)</f>
        <v>52504.2</v>
      </c>
      <c r="BC6" s="24">
        <f t="shared" ref="BC6:BH6" si="4">ROUND($AY$6*BC5/$AZ$5,2)</f>
        <v>580.91</v>
      </c>
      <c r="BD6" s="24">
        <f t="shared" si="4"/>
        <v>30.05</v>
      </c>
      <c r="BE6" s="24">
        <f t="shared" si="4"/>
        <v>0</v>
      </c>
      <c r="BF6" s="24">
        <f t="shared" si="4"/>
        <v>0</v>
      </c>
      <c r="BG6" s="24">
        <f t="shared" si="4"/>
        <v>0</v>
      </c>
      <c r="BH6" s="24">
        <f t="shared" si="4"/>
        <v>0</v>
      </c>
      <c r="BI6" s="24">
        <f t="shared" ref="BI6:BT6" si="5">ROUND($AY$6*BI5/$AZ$5,2)</f>
        <v>0</v>
      </c>
      <c r="BJ6" s="24">
        <f t="shared" si="5"/>
        <v>0</v>
      </c>
      <c r="BK6" s="24">
        <f t="shared" si="5"/>
        <v>0</v>
      </c>
      <c r="BL6" s="24">
        <f t="shared" si="5"/>
        <v>3675.29</v>
      </c>
      <c r="BM6" s="24">
        <f t="shared" si="5"/>
        <v>3675.29</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3314</v>
      </c>
      <c r="J9" s="48"/>
      <c r="K9" s="2439" t="s">
        <v>3314</v>
      </c>
      <c r="L9" s="48"/>
      <c r="M9" s="2439" t="s">
        <v>3314</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3315</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73711.9378</v>
      </c>
      <c r="H13" s="30">
        <f t="shared" ref="H13:H20" si="8">SUMIF(I$12:AB$12,"总值",I13:AB13)</f>
        <v>68941.539999999994</v>
      </c>
      <c r="I13" s="2438">
        <f>规划!F3+规划!F4+规划!F5</f>
        <v>68148.539999999994</v>
      </c>
      <c r="J13" s="2438"/>
      <c r="K13" s="2438">
        <f>'千人指标 (终版)'!D9</f>
        <v>754</v>
      </c>
      <c r="L13" s="2438"/>
      <c r="M13" s="2438">
        <f>'千人指标 (终版)'!D10</f>
        <v>39</v>
      </c>
      <c r="N13" s="79"/>
      <c r="O13" s="79"/>
      <c r="P13" s="79"/>
      <c r="Q13" s="79"/>
      <c r="R13" s="79"/>
      <c r="S13" s="79"/>
      <c r="T13" s="79"/>
      <c r="U13" s="79"/>
      <c r="V13" s="79"/>
      <c r="W13" s="79"/>
      <c r="X13" s="79"/>
      <c r="Y13" s="79"/>
      <c r="Z13" s="79"/>
      <c r="AA13" s="79"/>
      <c r="AB13" s="79"/>
      <c r="AC13" s="24">
        <f t="shared" ref="AC13:AC20" si="9">SUMIF(AD$12:AS$12,"总值",AD13:AS13)</f>
        <v>4770.3977999999997</v>
      </c>
      <c r="AD13" s="2442">
        <f>I13*7%</f>
        <v>4770.3977999999997</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73711.9378</v>
      </c>
      <c r="BA13" s="24">
        <f t="shared" ref="BA13:BA20" si="13">SUM(BB13:BK13)</f>
        <v>68941.539999999994</v>
      </c>
      <c r="BB13" s="24">
        <f t="shared" ref="BB13:BB20" si="14">IF($D13="是",I13-J13,0)</f>
        <v>68148.539999999994</v>
      </c>
      <c r="BC13" s="24">
        <f t="shared" ref="BC13:BC20" si="15">IF($D13="是",K13-L13,0)</f>
        <v>754</v>
      </c>
      <c r="BD13" s="24">
        <f t="shared" ref="BD13:BD20" si="16">IF($D13="是",M13-N13,0)</f>
        <v>39</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4770.3977999999997</v>
      </c>
      <c r="BM13" s="24">
        <f t="shared" ref="BM13:BM20" si="25">IF($D13="是",AD13-AE13,0)</f>
        <v>4770.3977999999997</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13" zoomScale="80" zoomScaleNormal="70" zoomScaleSheetLayoutView="80" workbookViewId="0">
      <selection activeCell="D31" sqref="D31"/>
    </sheetView>
  </sheetViews>
  <sheetFormatPr defaultColWidth="9.125" defaultRowHeight="14.25"/>
  <cols>
    <col min="1" max="1" width="8.125" style="1705" customWidth="1"/>
    <col min="2" max="2" width="10.125" style="1705" customWidth="1"/>
    <col min="3" max="3" width="18.5" style="1705" customWidth="1"/>
    <col min="4" max="4" width="11.62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1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247" t="s">
        <v>169</v>
      </c>
      <c r="B2" s="4247"/>
      <c r="C2" s="4247"/>
      <c r="D2" s="1695" t="s">
        <v>170</v>
      </c>
      <c r="E2" s="101" t="s">
        <v>171</v>
      </c>
      <c r="F2" s="2769"/>
      <c r="G2" s="1073"/>
      <c r="H2" s="1074"/>
      <c r="I2" s="1075" t="s">
        <v>795</v>
      </c>
      <c r="J2" s="2769"/>
      <c r="K2" s="2769"/>
      <c r="L2" s="2769"/>
      <c r="M2" s="2769"/>
      <c r="N2" s="2769"/>
      <c r="O2" s="2769"/>
      <c r="P2" s="2769"/>
    </row>
    <row r="3" spans="1:16" ht="15.75" thickBot="1">
      <c r="A3" s="4248" t="s">
        <v>172</v>
      </c>
      <c r="B3" s="4248"/>
      <c r="C3" s="4248"/>
      <c r="D3" s="102">
        <f>'数据-基础表'!AY6</f>
        <v>56790.45</v>
      </c>
      <c r="E3" s="102">
        <f>'数据-基础表'!AZ5</f>
        <v>73711.9378</v>
      </c>
      <c r="F3" s="2769"/>
      <c r="G3" s="263" t="s">
        <v>796</v>
      </c>
      <c r="H3" s="258" t="s">
        <v>797</v>
      </c>
      <c r="I3" s="1696">
        <f>ROUND('数据-基础表'!B3/'数据-基础表'!A3,2)</f>
        <v>1.3</v>
      </c>
      <c r="J3" s="2769"/>
      <c r="K3" s="2769"/>
      <c r="L3" s="2769"/>
      <c r="M3" s="2769"/>
      <c r="N3" s="2769"/>
      <c r="O3" s="2769"/>
      <c r="P3" s="2769"/>
    </row>
    <row r="4" spans="1:16" ht="15">
      <c r="A4" s="4249"/>
      <c r="B4" s="4250"/>
      <c r="C4" s="4251"/>
      <c r="D4" s="103" t="s">
        <v>170</v>
      </c>
      <c r="E4" s="104" t="s">
        <v>171</v>
      </c>
      <c r="F4" s="2769"/>
      <c r="G4" s="1076"/>
      <c r="H4" s="258" t="s">
        <v>798</v>
      </c>
      <c r="I4" s="1696">
        <f>ROUND(SUMIF('数据-基础表'!I9:AS9,"地上",'数据-基础表'!I5:AS5)/'数据-基础表'!A3,2)</f>
        <v>1.3</v>
      </c>
      <c r="J4" s="2769"/>
      <c r="K4" s="2769"/>
      <c r="L4" s="2769"/>
      <c r="M4" s="2769"/>
      <c r="N4" s="2769"/>
      <c r="O4" s="2769"/>
      <c r="P4" s="2769"/>
    </row>
    <row r="5" spans="1:16">
      <c r="A5" s="105" t="s">
        <v>173</v>
      </c>
      <c r="B5" s="4252" t="s">
        <v>196</v>
      </c>
      <c r="C5" s="4252"/>
      <c r="D5" s="106">
        <f>ROUND($D$3*E5/$E$3,2)</f>
        <v>52504.2</v>
      </c>
      <c r="E5" s="107">
        <f>SUMIF('数据-基础表'!$11:$11,"住宅",'数据-基础表'!$5:$5)</f>
        <v>68148.539999999994</v>
      </c>
      <c r="F5" s="2769"/>
      <c r="G5" s="263" t="s">
        <v>799</v>
      </c>
      <c r="H5" s="258" t="s">
        <v>797</v>
      </c>
      <c r="I5" s="1696">
        <f>ROUND(E31/D31,2)</f>
        <v>1.3</v>
      </c>
      <c r="J5" s="2769"/>
      <c r="K5" s="2769"/>
      <c r="L5" s="2769"/>
      <c r="M5" s="2769"/>
      <c r="N5" s="2769"/>
      <c r="O5" s="2769"/>
      <c r="P5" s="2769"/>
    </row>
    <row r="6" spans="1:16" ht="15" thickBot="1">
      <c r="A6" s="108"/>
      <c r="B6" s="4252" t="s">
        <v>174</v>
      </c>
      <c r="C6" s="4252"/>
      <c r="D6" s="106">
        <f>ROUND($D$3*E6/$E$3,2)</f>
        <v>4286.25</v>
      </c>
      <c r="E6" s="107">
        <f>E3-E5</f>
        <v>5563.3978000000061</v>
      </c>
      <c r="F6" s="2769"/>
      <c r="G6" s="1076"/>
      <c r="H6" s="258" t="s">
        <v>798</v>
      </c>
      <c r="I6" s="1696">
        <f>ROUND(F31/D31,2)</f>
        <v>1.3</v>
      </c>
      <c r="J6" s="2769"/>
      <c r="K6" s="2769"/>
      <c r="L6" s="2769"/>
      <c r="M6" s="2769"/>
      <c r="N6" s="2769"/>
      <c r="O6" s="2769"/>
      <c r="P6" s="2769"/>
    </row>
    <row r="7" spans="1:16" ht="15">
      <c r="A7" s="4244"/>
      <c r="B7" s="4245"/>
      <c r="C7" s="4246"/>
      <c r="D7" s="103" t="s">
        <v>170</v>
      </c>
      <c r="E7" s="109" t="s">
        <v>197</v>
      </c>
      <c r="F7" s="2769"/>
      <c r="G7" s="1032" t="s">
        <v>1180</v>
      </c>
      <c r="H7" s="1033"/>
      <c r="I7" s="4074">
        <f>规划!E9</f>
        <v>1.2</v>
      </c>
      <c r="J7" s="2769"/>
      <c r="K7" s="2769"/>
      <c r="L7" s="2769"/>
      <c r="M7" s="4011">
        <f>F21/F19</f>
        <v>1.1064066816398415E-2</v>
      </c>
      <c r="N7" s="2769"/>
      <c r="O7" s="2769"/>
      <c r="P7" s="2769"/>
    </row>
    <row r="8" spans="1:16">
      <c r="A8" s="105" t="s">
        <v>175</v>
      </c>
      <c r="B8" s="110" t="s">
        <v>176</v>
      </c>
      <c r="C8" s="106" t="s">
        <v>177</v>
      </c>
      <c r="D8" s="106">
        <f t="shared" ref="D8:D15" si="0">ROUND($D$3*E8/$E$3,2)</f>
        <v>53115.16</v>
      </c>
      <c r="E8" s="111">
        <f>SUMIF('数据-基础表'!BB10:BK10,"地上",'数据-基础表'!BB5:BK5)</f>
        <v>68941.539999999994</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53115.16</v>
      </c>
      <c r="E16" s="115">
        <f>SUM(E8:E15)</f>
        <v>68941.539999999994</v>
      </c>
      <c r="F16" s="2769"/>
      <c r="G16" s="2770"/>
      <c r="H16" s="907" t="s">
        <v>185</v>
      </c>
      <c r="I16" s="908"/>
      <c r="J16" s="1704"/>
      <c r="K16" s="4238" t="s">
        <v>1847</v>
      </c>
      <c r="L16" s="4239"/>
      <c r="M16" s="4239"/>
      <c r="N16" s="4239"/>
      <c r="O16" s="4239"/>
      <c r="P16" s="4240"/>
    </row>
    <row r="17" spans="1:19" ht="15">
      <c r="A17" s="116" t="s">
        <v>182</v>
      </c>
      <c r="B17" s="117" t="s">
        <v>183</v>
      </c>
      <c r="C17" s="1982" t="s">
        <v>1670</v>
      </c>
      <c r="D17" s="103" t="s">
        <v>170</v>
      </c>
      <c r="E17" s="119" t="s">
        <v>171</v>
      </c>
      <c r="F17" s="120"/>
      <c r="G17" s="1200"/>
      <c r="H17" s="909" t="s">
        <v>184</v>
      </c>
      <c r="I17" s="910" t="s">
        <v>1669</v>
      </c>
      <c r="J17" s="1704"/>
      <c r="K17" s="4241" t="s">
        <v>1848</v>
      </c>
      <c r="L17" s="4242"/>
      <c r="M17" s="4243"/>
      <c r="N17" s="4241" t="s">
        <v>1849</v>
      </c>
      <c r="O17" s="4242"/>
      <c r="P17" s="4243"/>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3298</v>
      </c>
      <c r="D19" s="129">
        <f>D3</f>
        <v>56790.45</v>
      </c>
      <c r="E19" s="129">
        <f t="shared" ref="E19:E26" si="1">SUM(F19:G19)</f>
        <v>68148.539999999994</v>
      </c>
      <c r="F19" s="2771">
        <f>'数据-基础表'!I13</f>
        <v>68148.539999999994</v>
      </c>
      <c r="G19" s="2772"/>
      <c r="H19" s="913">
        <f>ROUND($D$3*I19/$E$3,2)</f>
        <v>3675.3</v>
      </c>
      <c r="I19" s="111">
        <f>IF($I$17="自定义",P19,M19)</f>
        <v>4770.3999999999996</v>
      </c>
      <c r="J19" s="1704"/>
      <c r="K19" s="2179">
        <f t="shared" ref="K19:K26" si="2">ROUND(E$28*E19/E$27,2)</f>
        <v>0</v>
      </c>
      <c r="L19" s="258">
        <f t="shared" ref="L19:L26" si="3">ROUND(IF(COUNTIF(C19,"*住宅*")&gt;0,E$29*E19/E$32,0),2)</f>
        <v>4770.3999999999996</v>
      </c>
      <c r="M19" s="2180">
        <f>K19+L19</f>
        <v>4770.3999999999996</v>
      </c>
      <c r="N19" s="2181"/>
      <c r="O19" s="2182"/>
      <c r="P19" s="2183">
        <f>N19+O19</f>
        <v>0</v>
      </c>
      <c r="R19" s="258">
        <f t="shared" ref="R19:S26" si="4">D19+H19</f>
        <v>60465.75</v>
      </c>
      <c r="S19" s="1985">
        <f t="shared" si="4"/>
        <v>72918.939999999988</v>
      </c>
    </row>
    <row r="20" spans="1:19">
      <c r="A20" s="132"/>
      <c r="B20" s="110" t="s">
        <v>192</v>
      </c>
      <c r="C20" s="3743" t="s">
        <v>3299</v>
      </c>
      <c r="D20" s="129">
        <f>ROUND(D3*E20/E19,2)</f>
        <v>32.5</v>
      </c>
      <c r="E20" s="129">
        <f t="shared" si="1"/>
        <v>39</v>
      </c>
      <c r="F20" s="2771">
        <f>'数据-基础表'!M13</f>
        <v>39</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32.5</v>
      </c>
      <c r="S20" s="1985">
        <f t="shared" si="4"/>
        <v>39</v>
      </c>
    </row>
    <row r="21" spans="1:19">
      <c r="A21" s="132"/>
      <c r="B21" s="110" t="s">
        <v>192</v>
      </c>
      <c r="C21" s="3743" t="s">
        <v>3301</v>
      </c>
      <c r="D21" s="129">
        <f>ROUND(D3*E21/E19,2)</f>
        <v>628.33000000000004</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628.33000000000004</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68941.539999999994</v>
      </c>
      <c r="F27" s="129">
        <f>IF(SUM(F19:F26)=E8,SUM(F19:F26),"地上面积有误")</f>
        <v>68941.539999999994</v>
      </c>
      <c r="G27" s="107">
        <f>SUM(G19:G26)</f>
        <v>0</v>
      </c>
      <c r="H27" s="914">
        <f>SUM(H19:H26)</f>
        <v>3675.3</v>
      </c>
      <c r="I27" s="915">
        <f>SUM(I19:I26)</f>
        <v>4770.3999999999996</v>
      </c>
      <c r="J27" s="1704"/>
      <c r="K27" s="2188">
        <f t="shared" ref="K27:P27" si="9">SUM(K19:K26)</f>
        <v>0</v>
      </c>
      <c r="L27" s="2189">
        <f t="shared" si="9"/>
        <v>4770.3999999999996</v>
      </c>
      <c r="M27" s="2190">
        <f t="shared" si="9"/>
        <v>4770.3999999999996</v>
      </c>
      <c r="N27" s="2188">
        <f t="shared" si="9"/>
        <v>0</v>
      </c>
      <c r="O27" s="2189">
        <f t="shared" si="9"/>
        <v>0</v>
      </c>
      <c r="P27" s="2191">
        <f t="shared" si="9"/>
        <v>0</v>
      </c>
      <c r="R27" s="1989" t="str">
        <f>IF(SUM(R19:R26)=$D$3,SUM(R19:R26),SUM(R19:R26)&amp;"误差"&amp;ROUND(SUM(R19:R26)-$D$3,2))</f>
        <v>61126.58误差4336.13</v>
      </c>
      <c r="S27" s="258" t="str">
        <f>IF(SUM(S19:S26)=$E$3,SUM(S19:S26),SUM(S19:S26)&amp;"误差"&amp;ROUND(SUM(S19:S26)-E3,2))</f>
        <v>73711.94误差0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4770.3977999999997</v>
      </c>
      <c r="F29" s="136">
        <f>'数据-基础表'!BM5+'数据-基础表'!BO5</f>
        <v>4770.3977999999997</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4770.3977999999997</v>
      </c>
      <c r="F30" s="129">
        <f>SUM(F28:F29)</f>
        <v>4770.3977999999997</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73711.9378</v>
      </c>
      <c r="F31" s="1205">
        <f>F27+F30</f>
        <v>73711.9378</v>
      </c>
      <c r="G31" s="1206">
        <f>G27+G30</f>
        <v>0</v>
      </c>
      <c r="H31" s="2769"/>
      <c r="I31" s="2769"/>
      <c r="J31" s="2769"/>
      <c r="K31" s="2769"/>
      <c r="L31" s="2769"/>
      <c r="M31" s="2769"/>
      <c r="N31" s="2769"/>
      <c r="O31" s="2769"/>
      <c r="P31" s="2769"/>
    </row>
    <row r="32" spans="1:19">
      <c r="A32" s="1704"/>
      <c r="B32" s="2024" t="s">
        <v>1678</v>
      </c>
      <c r="C32" s="2215"/>
      <c r="D32" s="1076"/>
      <c r="E32" s="1076">
        <f>SUMIF(C19:C26,"*住宅*",E19:E26)</f>
        <v>68148.539999999994</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G32" sqref="G32"/>
    </sheetView>
  </sheetViews>
  <sheetFormatPr defaultColWidth="13.62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625" style="1078" customWidth="1"/>
    <col min="25" max="25" width="8.125" style="1078" customWidth="1"/>
    <col min="26" max="30" width="6.625" style="1078" customWidth="1"/>
    <col min="31" max="31" width="6.5" style="1078" customWidth="1"/>
    <col min="32" max="34" width="7.125" style="1078" customWidth="1"/>
    <col min="35" max="39" width="8" style="1078" customWidth="1"/>
    <col min="40" max="41" width="13.625" style="1714"/>
    <col min="42" max="42" width="13.625" style="1714" customWidth="1"/>
    <col min="43" max="83" width="13.625" style="1714"/>
    <col min="84" max="16384" width="13.62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54">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68148.539999999994</v>
      </c>
      <c r="L6" s="2445">
        <v>4500</v>
      </c>
      <c r="M6" s="169">
        <f t="shared" ref="M6:M14" si="1">ROUND(K6*L6/10000,4)</f>
        <v>30666.843000000001</v>
      </c>
      <c r="N6" s="2446">
        <v>0</v>
      </c>
      <c r="O6" s="169">
        <f>IF($N$5="成新度","——",ROUND(M6*N6,0))</f>
        <v>0</v>
      </c>
      <c r="P6" s="170">
        <f>IF($N$5="成新度","——",M6-O6)</f>
        <v>30666.843000000001</v>
      </c>
      <c r="Q6" s="2447">
        <v>0.3</v>
      </c>
      <c r="R6" s="171">
        <f>SUMIF('数据-汇总表'!C$19:C$33,A6,'数据-汇总表'!R$19:R$33)</f>
        <v>60465.75</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39</v>
      </c>
      <c r="L7" s="2445">
        <f>L6</f>
        <v>4500</v>
      </c>
      <c r="M7" s="169">
        <f t="shared" si="1"/>
        <v>17.55</v>
      </c>
      <c r="N7" s="2446">
        <v>0</v>
      </c>
      <c r="O7" s="169">
        <f t="shared" ref="O7:O15" si="3">IF($N$5="成新度","——",ROUND(M7*N7,0))</f>
        <v>0</v>
      </c>
      <c r="P7" s="170">
        <f t="shared" ref="P7:P14" si="4">IF($N$5="成新度","——",M7-O7)</f>
        <v>17.55</v>
      </c>
      <c r="Q7" s="2447">
        <v>0.2</v>
      </c>
      <c r="R7" s="171">
        <f>SUMIF('数据-汇总表'!C$19:C$33,A7,'数据-汇总表'!R$19:R$33)</f>
        <v>32.5</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0</v>
      </c>
      <c r="AF7" s="3824"/>
      <c r="AG7" s="1088">
        <f t="shared" ref="AG7:AG13" si="7">IF(AF7="",0,AE7-AF7)</f>
        <v>0</v>
      </c>
      <c r="AH7" s="133"/>
      <c r="AI7" s="177">
        <v>365</v>
      </c>
      <c r="AJ7" s="178"/>
      <c r="AK7" s="3999"/>
      <c r="AL7" s="4000"/>
      <c r="AM7" s="4001"/>
      <c r="AN7" s="2047"/>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4124">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628.33000000000004</v>
      </c>
      <c r="S8" s="127">
        <f>IF('数据-汇总表'!$I$17="按面积比例",SUMIF('数据-汇总表'!C$19:C$33,A8,'数据-汇总表'!K$19:K$33),SUMIF('数据-汇总表'!C$19:C$33,A8,'数据-汇总表'!N$19:N$33))</f>
        <v>0</v>
      </c>
      <c r="T8" s="1918" t="str">
        <f t="shared" si="5"/>
        <v>0</v>
      </c>
      <c r="U8" s="172">
        <f>'不动产比较法-办公租金'!C49</f>
        <v>2.7</v>
      </c>
      <c r="V8" s="2002"/>
      <c r="W8" s="173">
        <v>0.03</v>
      </c>
      <c r="X8" s="2003"/>
      <c r="Y8" s="174">
        <v>1</v>
      </c>
      <c r="Z8" s="130"/>
      <c r="AA8" s="2005"/>
      <c r="AB8" s="2005"/>
      <c r="AC8" s="2006"/>
      <c r="AD8" s="2003"/>
      <c r="AE8" s="911">
        <f t="shared" ca="1" si="6"/>
        <v>47.5</v>
      </c>
      <c r="AF8" s="3824"/>
      <c r="AG8" s="1088">
        <f t="shared" si="7"/>
        <v>0</v>
      </c>
      <c r="AH8" s="133"/>
      <c r="AI8" s="177">
        <v>365</v>
      </c>
      <c r="AJ8" s="178"/>
      <c r="AK8" s="3999">
        <v>5.0000000000000001E-3</v>
      </c>
      <c r="AL8" s="4000">
        <v>1.5E-3</v>
      </c>
      <c r="AM8" s="4001">
        <v>0.01</v>
      </c>
      <c r="AN8" s="2047" t="s">
        <v>3335</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4770.3977999999997</v>
      </c>
      <c r="L15" s="2445">
        <f>L6</f>
        <v>4500</v>
      </c>
      <c r="M15" s="169">
        <f>ROUND(K15*L15/10000,4)</f>
        <v>2146.6790000000001</v>
      </c>
      <c r="N15" s="2446">
        <v>0</v>
      </c>
      <c r="O15" s="169">
        <f t="shared" si="3"/>
        <v>0</v>
      </c>
      <c r="P15" s="170">
        <f>IF($N$5="成新度","——",M15-O15)</f>
        <v>2146.6790000000001</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73711.9378</v>
      </c>
      <c r="L16" s="193">
        <f>ROUND(M16*10000/K16,0)</f>
        <v>4500</v>
      </c>
      <c r="M16" s="193">
        <f>SUM(M6:M15)</f>
        <v>33170.372000000003</v>
      </c>
      <c r="N16" s="194">
        <f>ROUND(SUMPRODUCT(M6:M15,N6:N15)/M16,3)</f>
        <v>0</v>
      </c>
      <c r="O16" s="193">
        <f>SUM(O6:O15)</f>
        <v>0</v>
      </c>
      <c r="P16" s="193">
        <f>SUM(P6:P15)</f>
        <v>33170.372000000003</v>
      </c>
      <c r="Q16" s="195">
        <f>ROUND(SUMPRODUCT(Q6:Q13,K6:K13)/SUMPRODUCT((Q6:Q13&gt;0)*(K6:K13)),2)</f>
        <v>0.3</v>
      </c>
      <c r="R16" s="1995">
        <f>SUM(R6:R13)</f>
        <v>61126.58</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0.96599999999999997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2.5</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66">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2.5</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2.5</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3309</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160</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67">
        <f>基准地价住宅!C20</f>
        <v>40</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3302</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69">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70">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27.75" thickBot="1">
      <c r="A40" s="2963" t="s">
        <v>3331</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7" priority="12" stopIfTrue="1" operator="containsText" text="自行计算">
      <formula>NOT(ISERROR(SEARCH("自行计算",T6)))</formula>
    </cfRule>
    <cfRule type="containsText" dxfId="236" priority="13" stopIfTrue="1" operator="containsText" text="自行计算">
      <formula>NOT(ISERROR(SEARCH("自行计算",T6)))</formula>
    </cfRule>
  </conditionalFormatting>
  <conditionalFormatting sqref="T6:T13">
    <cfRule type="containsText" dxfId="235" priority="10" stopIfTrue="1" operator="containsText" text="自行计算">
      <formula>NOT(ISERROR(SEARCH("自行计算",T6)))</formula>
    </cfRule>
    <cfRule type="containsText" dxfId="234" priority="11" stopIfTrue="1" operator="containsText" text="自行计算">
      <formula>NOT(ISERROR(SEARCH("自行计算",T6)))</formula>
    </cfRule>
  </conditionalFormatting>
  <conditionalFormatting sqref="T12:T13">
    <cfRule type="containsText" dxfId="233" priority="4" stopIfTrue="1" operator="containsText" text="自行计算">
      <formula>NOT(ISERROR(SEARCH("自行计算",T12)))</formula>
    </cfRule>
    <cfRule type="containsText" dxfId="232" priority="5" stopIfTrue="1" operator="containsText" text="自行计算">
      <formula>NOT(ISERROR(SEARCH("自行计算",T12)))</formula>
    </cfRule>
  </conditionalFormatting>
  <conditionalFormatting sqref="T12:T13">
    <cfRule type="containsText" dxfId="231" priority="2" stopIfTrue="1" operator="containsText" text="自行计算">
      <formula>NOT(ISERROR(SEARCH("自行计算",T12)))</formula>
    </cfRule>
    <cfRule type="containsText" dxfId="230" priority="3" stopIfTrue="1" operator="containsText" text="自行计算">
      <formula>NOT(ISERROR(SEARCH("自行计算",T12)))</formula>
    </cfRule>
  </conditionalFormatting>
  <conditionalFormatting sqref="T6:T15">
    <cfRule type="expression" dxfId="229" priority="1" stopIfTrue="1">
      <formula>$T$4="按面积比例"</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H5" sqref="H5"/>
    </sheetView>
  </sheetViews>
  <sheetFormatPr defaultColWidth="9" defaultRowHeight="13.5"/>
  <cols>
    <col min="1" max="1" width="9.5" style="2810" customWidth="1"/>
    <col min="2" max="2" width="23.5" style="2843" customWidth="1"/>
    <col min="3" max="3" width="32.1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625" style="2844" customWidth="1"/>
    <col min="10" max="10" width="2.625" style="2845" customWidth="1"/>
    <col min="11" max="11" width="11.875" style="2843" customWidth="1"/>
    <col min="12" max="12" width="16.625" style="2844" customWidth="1"/>
    <col min="13" max="13" width="2.625" style="2845" customWidth="1"/>
    <col min="14" max="14" width="11.875" style="2843" customWidth="1"/>
    <col min="15" max="15" width="16.625" style="2844" customWidth="1"/>
    <col min="16" max="16" width="2.625" style="2845" customWidth="1"/>
    <col min="17" max="17" width="11.875" style="2843" customWidth="1"/>
    <col min="18" max="18" width="16.625" style="2846" customWidth="1"/>
    <col min="19" max="16384" width="9" style="2810"/>
  </cols>
  <sheetData>
    <row r="1" spans="1:18" s="2804" customFormat="1" ht="19.5" thickBot="1">
      <c r="A1" s="4253" t="s">
        <v>1198</v>
      </c>
      <c r="B1" s="4254"/>
      <c r="C1" s="4254"/>
      <c r="D1" s="4254"/>
      <c r="E1" s="4254"/>
      <c r="F1" s="4254"/>
      <c r="G1" s="4254"/>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55" t="s">
        <v>3469</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56" t="s">
        <v>3470</v>
      </c>
      <c r="D4" s="2813"/>
      <c r="E4" s="2818"/>
      <c r="F4" s="2819" t="s">
        <v>1203</v>
      </c>
      <c r="G4" s="2820" t="s">
        <v>2177</v>
      </c>
      <c r="H4" s="2810"/>
      <c r="I4" s="2810"/>
      <c r="J4" s="2810"/>
      <c r="K4" s="2810"/>
      <c r="L4" s="2810"/>
      <c r="M4" s="2810"/>
      <c r="N4" s="2810"/>
      <c r="O4" s="2810"/>
      <c r="P4" s="2810"/>
      <c r="Q4" s="2810"/>
      <c r="R4" s="2810"/>
    </row>
    <row r="5" spans="1:18" ht="54">
      <c r="A5" s="2814"/>
      <c r="B5" s="2817" t="s">
        <v>1204</v>
      </c>
      <c r="C5" s="4056" t="s">
        <v>3471</v>
      </c>
      <c r="D5" s="2813"/>
      <c r="E5" s="2818"/>
      <c r="F5" s="2817" t="s">
        <v>1827</v>
      </c>
      <c r="G5" s="2820" t="s">
        <v>2178</v>
      </c>
      <c r="H5" s="2810"/>
      <c r="I5" s="2810"/>
      <c r="J5" s="2810"/>
      <c r="K5" s="2810"/>
      <c r="L5" s="2810"/>
      <c r="M5" s="2810"/>
      <c r="N5" s="2810"/>
      <c r="O5" s="2810"/>
      <c r="P5" s="2810"/>
      <c r="Q5" s="2810"/>
      <c r="R5" s="2810"/>
    </row>
    <row r="6" spans="1:18" ht="81">
      <c r="A6" s="2814"/>
      <c r="B6" s="2817" t="s">
        <v>1190</v>
      </c>
      <c r="C6" s="4057" t="s">
        <v>3466</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57" t="s">
        <v>3468</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56" t="s">
        <v>3467</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2871" customWidth="1"/>
    <col min="2" max="16384" width="14.625" style="2871"/>
  </cols>
  <sheetData>
    <row r="1" spans="1:10" ht="16.5">
      <c r="A1" s="2870" t="s">
        <v>2116</v>
      </c>
      <c r="B1" s="2870">
        <f>SUM(B14:B23)</f>
        <v>68148.539999999994</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103558.5214</v>
      </c>
      <c r="C5" s="2870">
        <f ca="1">ROUND(B5*10000/$B$1,0)</f>
        <v>15196</v>
      </c>
      <c r="D5" s="2870">
        <f ca="1">ROUND(B5*10000/$B$2,0)</f>
        <v>18235</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54" t="s">
        <v>3450</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68148.539999999994</v>
      </c>
      <c r="C14" s="2876">
        <f>'数据-汇总表'!D3</f>
        <v>56790.45</v>
      </c>
      <c r="D14" s="2876">
        <f ca="1">土储要求测算表!I16</f>
        <v>103558.5214</v>
      </c>
      <c r="E14" s="2876">
        <f ca="1">ROUND(D14*10000/B14,0)</f>
        <v>15196</v>
      </c>
      <c r="F14" s="2876">
        <f ca="1">ROUND(D14*10000/C14,0)</f>
        <v>18235</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625" style="1096" bestFit="1" customWidth="1"/>
    <col min="3" max="4" width="12.625" style="1096" customWidth="1"/>
    <col min="5" max="9" width="12.625" style="1096" bestFit="1" customWidth="1"/>
    <col min="10" max="10" width="2.125" style="240" customWidth="1"/>
    <col min="11" max="12" width="12.625" style="240" customWidth="1"/>
    <col min="13" max="13" width="12.625" style="240"/>
    <col min="14" max="14" width="15.625" style="240" bestFit="1" customWidth="1"/>
    <col min="15" max="19" width="12.62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99" t="str">
        <f>项目基本情况!K2</f>
        <v>北京市出让国有建设用地使用权</v>
      </c>
      <c r="B2" s="4300"/>
      <c r="C2" s="4301"/>
      <c r="D2" s="4301"/>
      <c r="E2" s="4301"/>
      <c r="F2" s="4301"/>
      <c r="G2" s="4300"/>
      <c r="H2" s="4300"/>
      <c r="I2" s="4302"/>
      <c r="J2" s="1719"/>
      <c r="K2" s="1718"/>
      <c r="L2" s="1718"/>
      <c r="M2" s="1718"/>
      <c r="N2" s="1718"/>
      <c r="O2" s="1718"/>
      <c r="P2" s="1718"/>
      <c r="Q2" s="1718"/>
      <c r="R2" s="1718"/>
      <c r="S2" s="1718"/>
      <c r="T2" s="1718"/>
      <c r="U2" s="1718"/>
      <c r="V2" s="1718"/>
    </row>
    <row r="3" spans="1:22" ht="14.25">
      <c r="A3" s="4310" t="s">
        <v>264</v>
      </c>
      <c r="B3" s="4311"/>
      <c r="C3" s="4311"/>
      <c r="D3" s="4311"/>
      <c r="E3" s="4311"/>
      <c r="F3" s="4311"/>
      <c r="G3" s="4311"/>
      <c r="H3" s="4311"/>
      <c r="I3" s="4311"/>
      <c r="J3" s="1719"/>
      <c r="K3" s="1718"/>
      <c r="L3" s="1718"/>
      <c r="M3" s="1718"/>
      <c r="N3" s="1718"/>
      <c r="O3" s="1718"/>
      <c r="P3" s="1718"/>
      <c r="Q3" s="1718"/>
      <c r="R3" s="1718"/>
      <c r="S3" s="1718"/>
      <c r="T3" s="1718"/>
      <c r="U3" s="1718"/>
      <c r="V3" s="1718"/>
    </row>
    <row r="4" spans="1:22" ht="14.25">
      <c r="A4" s="241" t="s">
        <v>265</v>
      </c>
      <c r="B4" s="242" t="s">
        <v>266</v>
      </c>
      <c r="C4" s="243"/>
      <c r="D4" s="243"/>
      <c r="E4" s="4274" t="s">
        <v>267</v>
      </c>
      <c r="F4" s="4316"/>
      <c r="G4" s="4316"/>
      <c r="H4" s="4316"/>
      <c r="I4" s="4275"/>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303" t="s">
        <v>268</v>
      </c>
      <c r="B5" s="4304">
        <v>25</v>
      </c>
      <c r="C5" s="4312"/>
      <c r="D5" s="4315"/>
      <c r="E5" s="244" t="s">
        <v>269</v>
      </c>
      <c r="F5" s="245"/>
      <c r="G5" s="245"/>
      <c r="H5" s="245"/>
      <c r="I5" s="246"/>
      <c r="J5" s="1719"/>
      <c r="K5" s="1718"/>
      <c r="L5" s="1718"/>
      <c r="M5" s="1718"/>
      <c r="N5" s="1718"/>
      <c r="O5" s="1718"/>
      <c r="P5" s="1718"/>
      <c r="Q5" s="1718"/>
      <c r="R5" s="1718"/>
      <c r="S5" s="1718"/>
      <c r="T5" s="1718"/>
      <c r="U5" s="1718"/>
      <c r="V5" s="1718"/>
    </row>
    <row r="6" spans="1:22" ht="14.25">
      <c r="A6" s="4303"/>
      <c r="B6" s="4304"/>
      <c r="C6" s="4313"/>
      <c r="D6" s="4315"/>
      <c r="E6" s="244" t="s">
        <v>270</v>
      </c>
      <c r="F6" s="245"/>
      <c r="G6" s="245"/>
      <c r="H6" s="245"/>
      <c r="I6" s="246"/>
      <c r="J6" s="1719"/>
      <c r="K6" s="1718"/>
      <c r="L6" s="1718"/>
      <c r="M6" s="1718"/>
      <c r="N6" s="1718"/>
      <c r="O6" s="1718"/>
      <c r="P6" s="1718"/>
      <c r="Q6" s="1718"/>
      <c r="R6" s="1718"/>
      <c r="S6" s="1718"/>
      <c r="T6" s="1718"/>
      <c r="U6" s="1718"/>
      <c r="V6" s="1718"/>
    </row>
    <row r="7" spans="1:22" ht="14.25">
      <c r="A7" s="4303"/>
      <c r="B7" s="4304"/>
      <c r="C7" s="4314"/>
      <c r="D7" s="4315"/>
      <c r="E7" s="244" t="s">
        <v>271</v>
      </c>
      <c r="F7" s="245"/>
      <c r="G7" s="245"/>
      <c r="H7" s="245"/>
      <c r="I7" s="246"/>
      <c r="J7" s="1719"/>
      <c r="K7" s="1718"/>
      <c r="L7" s="1718"/>
      <c r="M7" s="1718"/>
      <c r="N7" s="1718"/>
      <c r="O7" s="1718"/>
      <c r="P7" s="1718"/>
      <c r="Q7" s="1718"/>
      <c r="R7" s="1718"/>
      <c r="S7" s="1718"/>
      <c r="T7" s="1718"/>
      <c r="U7" s="1718"/>
      <c r="V7" s="1718"/>
    </row>
    <row r="8" spans="1:22" ht="14.25">
      <c r="A8" s="4303" t="s">
        <v>272</v>
      </c>
      <c r="B8" s="4304">
        <v>15</v>
      </c>
      <c r="C8" s="4312"/>
      <c r="D8" s="4315"/>
      <c r="E8" s="244" t="s">
        <v>273</v>
      </c>
      <c r="F8" s="245"/>
      <c r="G8" s="245"/>
      <c r="H8" s="245"/>
      <c r="I8" s="246"/>
      <c r="J8" s="1719"/>
      <c r="K8" s="1718"/>
      <c r="L8" s="1718"/>
      <c r="M8" s="1718"/>
      <c r="N8" s="1718"/>
      <c r="O8" s="1718"/>
      <c r="P8" s="1718"/>
      <c r="Q8" s="1718"/>
      <c r="R8" s="1718"/>
      <c r="S8" s="1718"/>
      <c r="T8" s="1718"/>
      <c r="U8" s="1718"/>
      <c r="V8" s="1718"/>
    </row>
    <row r="9" spans="1:22" ht="14.25">
      <c r="A9" s="4303"/>
      <c r="B9" s="4304"/>
      <c r="C9" s="4314"/>
      <c r="D9" s="4315"/>
      <c r="E9" s="244" t="s">
        <v>274</v>
      </c>
      <c r="F9" s="245"/>
      <c r="G9" s="245"/>
      <c r="H9" s="245"/>
      <c r="I9" s="246"/>
      <c r="J9" s="1719"/>
      <c r="K9" s="1718"/>
      <c r="L9" s="1718"/>
      <c r="M9" s="1718"/>
      <c r="N9" s="1718"/>
      <c r="O9" s="1718"/>
      <c r="P9" s="1718"/>
      <c r="Q9" s="1718"/>
      <c r="R9" s="1718"/>
      <c r="S9" s="1718"/>
      <c r="T9" s="1718"/>
      <c r="U9" s="1718"/>
      <c r="V9" s="1718"/>
    </row>
    <row r="10" spans="1:22" ht="14.25">
      <c r="A10" s="4303" t="s">
        <v>275</v>
      </c>
      <c r="B10" s="4304">
        <v>15</v>
      </c>
      <c r="C10" s="4312"/>
      <c r="D10" s="4315"/>
      <c r="E10" s="244" t="s">
        <v>276</v>
      </c>
      <c r="F10" s="245"/>
      <c r="G10" s="245"/>
      <c r="H10" s="245"/>
      <c r="I10" s="246"/>
      <c r="J10" s="1719"/>
      <c r="K10" s="1718"/>
      <c r="L10" s="1718"/>
      <c r="M10" s="1718"/>
      <c r="N10" s="1718"/>
      <c r="O10" s="1718"/>
      <c r="P10" s="1718"/>
      <c r="Q10" s="1718"/>
      <c r="R10" s="1718"/>
      <c r="S10" s="1718"/>
      <c r="T10" s="1718"/>
      <c r="U10" s="1718"/>
      <c r="V10" s="1718"/>
    </row>
    <row r="11" spans="1:22" ht="14.25">
      <c r="A11" s="4303"/>
      <c r="B11" s="4304"/>
      <c r="C11" s="4314"/>
      <c r="D11" s="4315"/>
      <c r="E11" s="244" t="s">
        <v>277</v>
      </c>
      <c r="F11" s="245"/>
      <c r="G11" s="245"/>
      <c r="H11" s="245"/>
      <c r="I11" s="246"/>
      <c r="J11" s="1719"/>
      <c r="K11" s="1718"/>
      <c r="L11" s="1718"/>
      <c r="M11" s="1718"/>
      <c r="N11" s="1718"/>
      <c r="O11" s="1718"/>
      <c r="P11" s="1718"/>
      <c r="Q11" s="1718"/>
      <c r="R11" s="1718"/>
      <c r="S11" s="1718"/>
      <c r="T11" s="1718"/>
      <c r="U11" s="1718"/>
      <c r="V11" s="1718"/>
    </row>
    <row r="12" spans="1:22" ht="14.25">
      <c r="A12" s="4303" t="s">
        <v>278</v>
      </c>
      <c r="B12" s="4304">
        <v>15</v>
      </c>
      <c r="C12" s="4312"/>
      <c r="D12" s="4315"/>
      <c r="E12" s="244" t="s">
        <v>279</v>
      </c>
      <c r="F12" s="245"/>
      <c r="G12" s="245"/>
      <c r="H12" s="245"/>
      <c r="I12" s="246"/>
      <c r="J12" s="1719"/>
      <c r="K12" s="1718"/>
      <c r="L12" s="1718"/>
      <c r="M12" s="1718"/>
      <c r="N12" s="1718"/>
      <c r="O12" s="1718"/>
      <c r="P12" s="1718"/>
      <c r="Q12" s="1718"/>
      <c r="R12" s="1718"/>
      <c r="S12" s="1718"/>
      <c r="T12" s="1718"/>
      <c r="U12" s="1718"/>
      <c r="V12" s="1718"/>
    </row>
    <row r="13" spans="1:22" ht="14.25">
      <c r="A13" s="4303"/>
      <c r="B13" s="4304"/>
      <c r="C13" s="4314"/>
      <c r="D13" s="4315"/>
      <c r="E13" s="244" t="s">
        <v>280</v>
      </c>
      <c r="F13" s="245"/>
      <c r="G13" s="245"/>
      <c r="H13" s="245"/>
      <c r="I13" s="246"/>
      <c r="J13" s="1719"/>
      <c r="K13" s="1718"/>
      <c r="L13" s="1718"/>
      <c r="M13" s="1718"/>
      <c r="N13" s="1718"/>
      <c r="O13" s="1718"/>
      <c r="P13" s="1718"/>
      <c r="Q13" s="1718"/>
      <c r="R13" s="1718"/>
      <c r="S13" s="1718"/>
      <c r="T13" s="1718"/>
      <c r="U13" s="1718"/>
      <c r="V13" s="1718"/>
    </row>
    <row r="14" spans="1:22" ht="14.25">
      <c r="A14" s="4303" t="s">
        <v>281</v>
      </c>
      <c r="B14" s="4304">
        <v>30</v>
      </c>
      <c r="C14" s="4312"/>
      <c r="D14" s="4315"/>
      <c r="E14" s="244" t="s">
        <v>282</v>
      </c>
      <c r="F14" s="245"/>
      <c r="G14" s="245"/>
      <c r="H14" s="245"/>
      <c r="I14" s="246"/>
      <c r="J14" s="1719"/>
      <c r="K14" s="1718"/>
      <c r="L14" s="1718"/>
      <c r="M14" s="1718"/>
      <c r="N14" s="1718"/>
      <c r="O14" s="1718"/>
      <c r="P14" s="1718"/>
      <c r="Q14" s="1718"/>
      <c r="R14" s="1718"/>
      <c r="S14" s="1718"/>
      <c r="T14" s="1718"/>
      <c r="U14" s="1718"/>
      <c r="V14" s="1718"/>
    </row>
    <row r="15" spans="1:22" ht="14.25">
      <c r="A15" s="4303"/>
      <c r="B15" s="4304"/>
      <c r="C15" s="4313"/>
      <c r="D15" s="4315"/>
      <c r="E15" s="244" t="s">
        <v>283</v>
      </c>
      <c r="F15" s="245"/>
      <c r="G15" s="245"/>
      <c r="H15" s="245"/>
      <c r="I15" s="246"/>
      <c r="J15" s="1719"/>
      <c r="K15" s="1718"/>
      <c r="L15" s="1718"/>
      <c r="M15" s="1718"/>
      <c r="N15" s="1718"/>
      <c r="O15" s="1718"/>
      <c r="P15" s="1718"/>
      <c r="Q15" s="1718"/>
      <c r="R15" s="1718"/>
      <c r="S15" s="1718"/>
      <c r="T15" s="1718"/>
      <c r="U15" s="1718"/>
      <c r="V15" s="1718"/>
    </row>
    <row r="16" spans="1:22" ht="14.25">
      <c r="A16" s="4303"/>
      <c r="B16" s="4304"/>
      <c r="C16" s="4314"/>
      <c r="D16" s="4315"/>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317" t="s">
        <v>2248</v>
      </c>
      <c r="F18" s="4318"/>
      <c r="G18" s="4318"/>
      <c r="H18" s="4318"/>
      <c r="I18" s="4318"/>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276"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323"/>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319" t="s">
        <v>2250</v>
      </c>
      <c r="B31" s="4319"/>
      <c r="C31" s="4319"/>
      <c r="D31" s="4319"/>
      <c r="E31" s="4319"/>
      <c r="F31" s="4319"/>
      <c r="G31" s="4319"/>
      <c r="H31" s="4319"/>
      <c r="I31" s="4319"/>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276"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277"/>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278"/>
      <c r="F35" s="284" t="s">
        <v>308</v>
      </c>
      <c r="G35" s="921"/>
      <c r="H35" s="920" t="s">
        <v>309</v>
      </c>
      <c r="I35" s="294"/>
      <c r="J35" s="1718"/>
      <c r="K35" s="4282" t="s">
        <v>316</v>
      </c>
      <c r="L35" s="4282" t="s">
        <v>317</v>
      </c>
      <c r="M35" s="1110" t="s">
        <v>318</v>
      </c>
      <c r="N35" s="4282" t="s">
        <v>319</v>
      </c>
      <c r="O35" s="4282" t="s">
        <v>320</v>
      </c>
      <c r="P35" s="1718"/>
      <c r="V35" s="1718"/>
    </row>
    <row r="36" spans="1:26" ht="16.5" customHeight="1">
      <c r="A36" s="286" t="s">
        <v>310</v>
      </c>
      <c r="B36" s="287" t="s">
        <v>299</v>
      </c>
      <c r="C36" s="288" t="s">
        <v>311</v>
      </c>
      <c r="D36" s="288" t="s">
        <v>312</v>
      </c>
      <c r="E36" s="289" t="s">
        <v>313</v>
      </c>
      <c r="F36" s="294"/>
      <c r="G36" s="294"/>
      <c r="H36" s="294"/>
      <c r="I36" s="294"/>
      <c r="J36" s="1720"/>
      <c r="K36" s="4283"/>
      <c r="L36" s="4283"/>
      <c r="M36" s="1112" t="s">
        <v>321</v>
      </c>
      <c r="N36" s="4283"/>
      <c r="O36" s="4283"/>
      <c r="P36" s="1718"/>
      <c r="V36" s="1718"/>
    </row>
    <row r="37" spans="1:26" ht="16.5" customHeight="1" thickBot="1">
      <c r="A37" s="1106" t="s">
        <v>314</v>
      </c>
      <c r="B37" s="290"/>
      <c r="C37" s="277"/>
      <c r="D37" s="277"/>
      <c r="E37" s="278"/>
      <c r="F37" s="294"/>
      <c r="G37" s="294"/>
      <c r="H37" s="294"/>
      <c r="I37" s="294"/>
      <c r="J37" s="1720"/>
      <c r="K37" s="4284"/>
      <c r="L37" s="4284"/>
      <c r="M37" s="1113"/>
      <c r="N37" s="4284"/>
      <c r="O37" s="4284"/>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73711.9378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95" t="str">
        <f>MID(A44,3,LEN(A44)-2)</f>
        <v/>
      </c>
      <c r="L39" s="4296"/>
      <c r="M39" s="4296"/>
      <c r="N39" s="4297"/>
      <c r="O39" s="1221" t="str">
        <f>C44</f>
        <v>——</v>
      </c>
      <c r="P39" s="1718"/>
      <c r="V39" s="1718"/>
    </row>
    <row r="40" spans="1:26" ht="19.5" thickBot="1">
      <c r="A40" s="99" t="s">
        <v>810</v>
      </c>
      <c r="B40" s="294"/>
      <c r="C40" s="294"/>
      <c r="D40" s="294"/>
      <c r="E40" s="294"/>
      <c r="F40" s="294"/>
      <c r="G40" s="294"/>
      <c r="H40" s="294"/>
      <c r="I40" s="294"/>
      <c r="J40" s="1720"/>
      <c r="K40" s="4295" t="str">
        <f>MID(A45,3,LEN(A45)-2)</f>
        <v/>
      </c>
      <c r="L40" s="4296"/>
      <c r="M40" s="4296"/>
      <c r="N40" s="4297"/>
      <c r="O40" s="1221" t="str">
        <f>C45</f>
        <v>——</v>
      </c>
      <c r="P40" s="1718"/>
      <c r="V40" s="1718"/>
    </row>
    <row r="41" spans="1:26" ht="16.5" thickBot="1">
      <c r="A41" s="295" t="s">
        <v>322</v>
      </c>
      <c r="B41" s="296"/>
      <c r="C41" s="297" t="s">
        <v>323</v>
      </c>
      <c r="D41" s="298" t="s">
        <v>324</v>
      </c>
      <c r="E41" s="298" t="s">
        <v>325</v>
      </c>
      <c r="F41" s="299" t="s">
        <v>326</v>
      </c>
      <c r="G41" s="294"/>
      <c r="H41" s="294"/>
      <c r="I41" s="294"/>
      <c r="J41" s="1720"/>
      <c r="K41" s="4295" t="str">
        <f>MID(A46,3,LEN(A46)-2)</f>
        <v/>
      </c>
      <c r="L41" s="4296"/>
      <c r="M41" s="4296"/>
      <c r="N41" s="4297"/>
      <c r="O41" s="1221" t="str">
        <f>C46</f>
        <v>——</v>
      </c>
      <c r="P41" s="1718"/>
      <c r="V41" s="1718"/>
    </row>
    <row r="42" spans="1:26" ht="29.25">
      <c r="A42" s="4324" t="s">
        <v>1585</v>
      </c>
      <c r="B42" s="4325"/>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334" t="s">
        <v>2010</v>
      </c>
      <c r="B43" s="4335"/>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324" t="str">
        <f>IF(OR(项目基本情况!E8="抵押价格",项目基本情况!E8="已注销及未注销"),"3.抵押价格","——")</f>
        <v>——</v>
      </c>
      <c r="B44" s="4325"/>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329" t="str">
        <f>IF(项目基本情况!E8="已注销及未注销","4.抵押担保权已注销时的抵押价格",IF(项目基本情况!E8="已注销","3.抵押担保权已注销时的抵押价格","——"))</f>
        <v>——</v>
      </c>
      <c r="B45" s="4330"/>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326" t="str">
        <f>IF(项目基本情况!E9="抵押净值",IF(A45="——","4.抵押净值","5.抵押净值"),"——")</f>
        <v>——</v>
      </c>
      <c r="B46" s="4327"/>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87" t="s">
        <v>340</v>
      </c>
      <c r="B63" s="4288"/>
      <c r="C63" s="4289"/>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331" t="s">
        <v>344</v>
      </c>
      <c r="B64" s="4332"/>
      <c r="C64" s="4332"/>
      <c r="D64" s="4332"/>
      <c r="E64" s="4332"/>
      <c r="F64" s="4332"/>
      <c r="G64" s="4333"/>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328" t="s">
        <v>352</v>
      </c>
      <c r="B66" s="4294"/>
      <c r="C66" s="4294"/>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255" t="s">
        <v>351</v>
      </c>
      <c r="M66" s="4256"/>
      <c r="N66" s="2074"/>
      <c r="O66" s="2075"/>
      <c r="P66" s="2076"/>
      <c r="Q66" s="1718"/>
      <c r="R66" s="1718"/>
      <c r="S66" s="1718"/>
      <c r="T66" s="1718"/>
      <c r="U66" s="1718"/>
      <c r="V66" s="1718"/>
    </row>
    <row r="67" spans="1:22" ht="25.5" customHeight="1">
      <c r="A67" s="335" t="s">
        <v>355</v>
      </c>
      <c r="B67" s="4306" t="s">
        <v>356</v>
      </c>
      <c r="C67" s="4306"/>
      <c r="D67" s="336">
        <v>0</v>
      </c>
      <c r="E67" s="38" t="s">
        <v>357</v>
      </c>
      <c r="F67" s="59" t="s">
        <v>15</v>
      </c>
      <c r="G67" s="4290"/>
      <c r="H67" s="2693" t="s">
        <v>2251</v>
      </c>
      <c r="I67" s="2695"/>
      <c r="J67" s="1725"/>
      <c r="K67" s="1697">
        <v>2</v>
      </c>
      <c r="L67" s="4260" t="s">
        <v>354</v>
      </c>
      <c r="M67" s="4260"/>
      <c r="N67" s="1171">
        <f>'数据-取费表'!B2</f>
        <v>45052</v>
      </c>
      <c r="O67" s="1171"/>
      <c r="P67" s="1171"/>
      <c r="Q67" s="1718"/>
      <c r="R67" s="1718"/>
      <c r="S67" s="1718"/>
      <c r="T67" s="1718"/>
      <c r="U67" s="1718"/>
      <c r="V67" s="1718"/>
    </row>
    <row r="68" spans="1:22" ht="25.5" customHeight="1">
      <c r="A68" s="337"/>
      <c r="B68" s="4306" t="s">
        <v>359</v>
      </c>
      <c r="C68" s="4306"/>
      <c r="D68" s="338"/>
      <c r="E68" s="74"/>
      <c r="F68" s="339"/>
      <c r="G68" s="4291"/>
      <c r="H68" s="2694" t="s">
        <v>2252</v>
      </c>
      <c r="I68" s="2695"/>
      <c r="J68" s="1725"/>
      <c r="K68" s="1697">
        <v>3</v>
      </c>
      <c r="L68" s="4260" t="s">
        <v>358</v>
      </c>
      <c r="M68" s="4260"/>
      <c r="N68" s="1139" t="e">
        <f ca="1">C42</f>
        <v>#REF!</v>
      </c>
      <c r="O68" s="1139"/>
      <c r="P68" s="1139"/>
      <c r="Q68" s="1718"/>
      <c r="R68" s="1718"/>
      <c r="S68" s="1718"/>
      <c r="T68" s="1718"/>
      <c r="U68" s="1718"/>
      <c r="V68" s="1718"/>
    </row>
    <row r="69" spans="1:22" ht="23.45" customHeight="1">
      <c r="A69" s="340"/>
      <c r="B69" s="4306" t="s">
        <v>360</v>
      </c>
      <c r="C69" s="4306"/>
      <c r="D69" s="341"/>
      <c r="E69" s="70"/>
      <c r="F69" s="339"/>
      <c r="G69" s="4292"/>
      <c r="H69" s="2694" t="s">
        <v>2253</v>
      </c>
      <c r="I69" s="2695"/>
      <c r="J69" s="1725"/>
      <c r="K69" s="1140">
        <v>4</v>
      </c>
      <c r="L69" s="4261" t="s">
        <v>2155</v>
      </c>
      <c r="M69" s="4262"/>
      <c r="N69" s="1141" t="str">
        <f>C44</f>
        <v>——</v>
      </c>
      <c r="O69" s="1141"/>
      <c r="P69" s="1141"/>
      <c r="Q69" s="1718"/>
      <c r="R69" s="1718"/>
      <c r="S69" s="1718"/>
      <c r="T69" s="1718"/>
      <c r="U69" s="1718"/>
      <c r="V69" s="1718"/>
    </row>
    <row r="70" spans="1:22" ht="24" customHeight="1">
      <c r="A70" s="342" t="s">
        <v>361</v>
      </c>
      <c r="B70" s="4306" t="s">
        <v>362</v>
      </c>
      <c r="C70" s="4306"/>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305" t="s">
        <v>2279</v>
      </c>
      <c r="C71" s="4322"/>
      <c r="D71" s="341" t="e">
        <f ca="1">ROUND(D63*'数据-取费表'!B41/(1+'数据-取费表'!C42),0)</f>
        <v>#REF!</v>
      </c>
      <c r="E71" s="15" t="s">
        <v>363</v>
      </c>
      <c r="F71" s="343">
        <f>'数据-取费表'!B41</f>
        <v>5.5000000000000007E-2</v>
      </c>
      <c r="G71" s="344"/>
      <c r="H71" s="294"/>
      <c r="I71" s="1138"/>
      <c r="J71" s="1725"/>
      <c r="K71" s="2465" t="s">
        <v>364</v>
      </c>
      <c r="L71" s="4263" t="s">
        <v>365</v>
      </c>
      <c r="M71" s="4263"/>
      <c r="N71" s="2465" t="s">
        <v>366</v>
      </c>
      <c r="O71" s="2465" t="s">
        <v>367</v>
      </c>
      <c r="P71" s="2465" t="s">
        <v>368</v>
      </c>
      <c r="Q71" s="1718"/>
      <c r="R71" s="1718"/>
      <c r="S71" s="1718"/>
      <c r="T71" s="1718"/>
      <c r="U71" s="1718"/>
      <c r="V71" s="1718"/>
    </row>
    <row r="72" spans="1:22" ht="12" customHeight="1">
      <c r="A72" s="342" t="s">
        <v>371</v>
      </c>
      <c r="B72" s="4305" t="s">
        <v>2280</v>
      </c>
      <c r="C72" s="4322"/>
      <c r="D72" s="341" t="e">
        <f ca="1">C86</f>
        <v>#REF!</v>
      </c>
      <c r="E72" s="70" t="s">
        <v>372</v>
      </c>
      <c r="F72" s="343">
        <f>'数据-取费表'!B41</f>
        <v>5.5000000000000007E-2</v>
      </c>
      <c r="G72" s="344"/>
      <c r="H72" s="1144"/>
      <c r="I72" s="1138"/>
      <c r="J72" s="1725"/>
      <c r="K72" s="1697">
        <v>1</v>
      </c>
      <c r="L72" s="4259" t="s">
        <v>370</v>
      </c>
      <c r="M72" s="4259"/>
      <c r="N72" s="1142" t="b">
        <f>D66</f>
        <v>0</v>
      </c>
      <c r="O72" s="1602" t="str">
        <f>E66</f>
        <v>销售额×税（费）率</v>
      </c>
      <c r="P72" s="1143">
        <f>F66</f>
        <v>5.5000000000000007E-2</v>
      </c>
      <c r="Q72" s="1718"/>
      <c r="R72" s="1718"/>
      <c r="S72" s="1718"/>
      <c r="T72" s="1718"/>
      <c r="U72" s="1718"/>
      <c r="V72" s="1718"/>
    </row>
    <row r="73" spans="1:22" ht="24" customHeight="1">
      <c r="A73" s="4293" t="s">
        <v>374</v>
      </c>
      <c r="B73" s="4294"/>
      <c r="C73" s="4294"/>
      <c r="D73" s="345" t="e">
        <f ca="1">IF(H73="个人住宅",0,ROUND(D63*I73,0))</f>
        <v>#REF!</v>
      </c>
      <c r="E73" s="15" t="s">
        <v>375</v>
      </c>
      <c r="F73" s="343" t="str">
        <f>IF(H73="正常",I73,"免征")</f>
        <v>免征</v>
      </c>
      <c r="G73" s="344"/>
      <c r="H73" s="181"/>
      <c r="I73" s="343">
        <f>'数据-取费表'!B49</f>
        <v>5.0000000000000001E-4</v>
      </c>
      <c r="J73" s="1725"/>
      <c r="K73" s="1697">
        <v>2</v>
      </c>
      <c r="L73" s="4259" t="s">
        <v>373</v>
      </c>
      <c r="M73" s="4259"/>
      <c r="N73" s="1142" t="e">
        <f t="shared" ref="N73:P74" ca="1" si="0">D73</f>
        <v>#REF!</v>
      </c>
      <c r="O73" s="1602" t="str">
        <f t="shared" si="0"/>
        <v>销售额×税（费）率</v>
      </c>
      <c r="P73" s="1143" t="str">
        <f t="shared" si="0"/>
        <v>免征</v>
      </c>
      <c r="Q73" s="1718"/>
      <c r="R73" s="1718"/>
      <c r="S73" s="1718"/>
      <c r="T73" s="1718"/>
      <c r="U73" s="1718"/>
      <c r="V73" s="1718"/>
    </row>
    <row r="74" spans="1:22" ht="24.75">
      <c r="A74" s="4293" t="s">
        <v>377</v>
      </c>
      <c r="B74" s="4294"/>
      <c r="C74" s="4294"/>
      <c r="D74" s="345" t="e">
        <f ca="1">IF(H74="个人住宅",D75,D76)</f>
        <v>#REF!</v>
      </c>
      <c r="E74" s="15" t="s">
        <v>378</v>
      </c>
      <c r="F74" s="343" t="str">
        <f>IF(H74="正常",F76,"免征")</f>
        <v>免征</v>
      </c>
      <c r="G74" s="922" t="s">
        <v>379</v>
      </c>
      <c r="H74" s="346"/>
      <c r="I74" s="39"/>
      <c r="J74" s="1725"/>
      <c r="K74" s="1697">
        <v>3</v>
      </c>
      <c r="L74" s="4259" t="s">
        <v>376</v>
      </c>
      <c r="M74" s="4259"/>
      <c r="N74" s="1142" t="e">
        <f t="shared" ca="1" si="0"/>
        <v>#REF!</v>
      </c>
      <c r="O74" s="1602" t="str">
        <f t="shared" si="0"/>
        <v>增值额×税（费）率</v>
      </c>
      <c r="P74" s="1145" t="str">
        <f t="shared" si="0"/>
        <v>免征</v>
      </c>
      <c r="Q74" s="1718"/>
      <c r="R74" s="1718"/>
      <c r="S74" s="1718"/>
      <c r="T74" s="1718"/>
      <c r="U74" s="1718"/>
      <c r="V74" s="1718"/>
    </row>
    <row r="75" spans="1:22" ht="12.75">
      <c r="A75" s="342" t="s">
        <v>380</v>
      </c>
      <c r="B75" s="4274" t="s">
        <v>381</v>
      </c>
      <c r="C75" s="4275"/>
      <c r="D75" s="347">
        <v>0</v>
      </c>
      <c r="E75" s="38" t="s">
        <v>382</v>
      </c>
      <c r="F75" s="348"/>
      <c r="G75" s="344"/>
      <c r="H75" s="39"/>
      <c r="I75" s="39"/>
      <c r="J75" s="1725"/>
      <c r="K75" s="2459">
        <f>IF(H77="非个人房产","",4)</f>
        <v>4</v>
      </c>
      <c r="L75" s="4259" t="str">
        <f>IF(H77="非个人房产","——","个人所得税")</f>
        <v>个人所得税</v>
      </c>
      <c r="M75" s="4259"/>
      <c r="N75" s="1146">
        <f>D77</f>
        <v>0</v>
      </c>
      <c r="O75" s="1603" t="str">
        <f>E77</f>
        <v>差额计税</v>
      </c>
      <c r="P75" s="1147">
        <f>F77</f>
        <v>0.01</v>
      </c>
      <c r="Q75" s="1718"/>
      <c r="R75" s="1718"/>
      <c r="S75" s="1718"/>
      <c r="T75" s="1718"/>
      <c r="U75" s="1718"/>
      <c r="V75" s="1718"/>
    </row>
    <row r="76" spans="1:22" ht="24.75">
      <c r="A76" s="342" t="s">
        <v>361</v>
      </c>
      <c r="B76" s="4274" t="s">
        <v>384</v>
      </c>
      <c r="C76" s="4316"/>
      <c r="D76" s="345" t="e">
        <f ca="1">IF(H76="转让取得",C99,C115)</f>
        <v>#REF!</v>
      </c>
      <c r="E76" s="15" t="s">
        <v>385</v>
      </c>
      <c r="F76" s="50" t="s">
        <v>15</v>
      </c>
      <c r="G76" s="344"/>
      <c r="H76" s="346"/>
      <c r="I76" s="39"/>
      <c r="J76" s="1725"/>
      <c r="K76" s="2459" t="str">
        <f>IF(项目基本情况!K6="上海银行",IF(K75="",4,K75+1),"")</f>
        <v/>
      </c>
      <c r="L76" s="4270" t="str">
        <f>IF(项目基本情况!K6="上海银行","其他处置费用","")</f>
        <v/>
      </c>
      <c r="M76" s="4271"/>
      <c r="N76" s="1142" t="str">
        <f>IF(项目基本情况!K6="上海银行",N89,"")</f>
        <v/>
      </c>
      <c r="O76" s="4272" t="str">
        <f>IF(项目基本情况!K6="上海银行","包含处置中涉及的律师、诉讼、拍卖、评估等费用","")</f>
        <v/>
      </c>
      <c r="P76" s="4273"/>
      <c r="Q76" s="1718"/>
      <c r="R76" s="1718"/>
      <c r="S76" s="1718"/>
      <c r="T76" s="1718"/>
      <c r="U76" s="1718"/>
      <c r="V76" s="1718"/>
    </row>
    <row r="77" spans="1:22" ht="24.75" thickBot="1">
      <c r="A77" s="4285" t="s">
        <v>387</v>
      </c>
      <c r="B77" s="4286"/>
      <c r="C77" s="4286"/>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81">
        <f>IF(AND(K75="",K76=""),4,IF(项目基本情况!K6="上海银行",K76+1,K75+1))</f>
        <v>5</v>
      </c>
      <c r="L77" s="4259"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81"/>
      <c r="L78" s="4259"/>
      <c r="M78" s="2464" t="s">
        <v>386</v>
      </c>
      <c r="N78" s="1148"/>
      <c r="O78" s="1149" t="str">
        <f ca="1">NUMBERSTRING(INT(O77*10000),2)&amp;"元整"</f>
        <v>零元整</v>
      </c>
      <c r="P78" s="1150"/>
      <c r="Q78" s="1718"/>
      <c r="R78" s="1718"/>
      <c r="S78" s="1718"/>
      <c r="T78" s="1718"/>
      <c r="U78" s="1718"/>
      <c r="V78" s="1718"/>
    </row>
    <row r="79" spans="1:22" ht="13.5" thickBot="1">
      <c r="A79" s="4336" t="s">
        <v>388</v>
      </c>
      <c r="B79" s="4336"/>
      <c r="C79" s="4336"/>
      <c r="D79" s="4336"/>
      <c r="E79" s="4336"/>
      <c r="F79" s="39"/>
      <c r="G79" s="39"/>
      <c r="H79" s="942"/>
      <c r="I79" s="294"/>
      <c r="J79" s="1725"/>
      <c r="K79" s="4257">
        <f>K77+1</f>
        <v>6</v>
      </c>
      <c r="L79" s="4259" t="s">
        <v>2157</v>
      </c>
      <c r="M79" s="2464" t="s">
        <v>383</v>
      </c>
      <c r="N79" s="1148"/>
      <c r="O79" s="1149" t="e">
        <f ca="1">N69-O77</f>
        <v>#VALUE!</v>
      </c>
      <c r="P79" s="1150"/>
      <c r="Q79" s="1718"/>
      <c r="R79" s="1718"/>
      <c r="S79" s="1718"/>
      <c r="T79" s="1718"/>
      <c r="U79" s="1718"/>
      <c r="V79" s="1718"/>
    </row>
    <row r="80" spans="1:22" ht="12.75">
      <c r="A80" s="4267" t="s">
        <v>389</v>
      </c>
      <c r="B80" s="4268"/>
      <c r="C80" s="933"/>
      <c r="D80" s="933" t="s">
        <v>390</v>
      </c>
      <c r="E80" s="349" t="s">
        <v>391</v>
      </c>
      <c r="F80" s="39"/>
      <c r="G80" s="39"/>
      <c r="H80" s="942"/>
      <c r="I80" s="294"/>
      <c r="J80" s="1718"/>
      <c r="K80" s="4258"/>
      <c r="L80" s="4259"/>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279" t="s">
        <v>2158</v>
      </c>
      <c r="M81" s="4280"/>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269"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269"/>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269"/>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269"/>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269"/>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308" t="s">
        <v>398</v>
      </c>
      <c r="B88" s="4309"/>
      <c r="C88" s="4309"/>
      <c r="D88" s="4309"/>
      <c r="E88" s="4309"/>
      <c r="F88" s="4309"/>
      <c r="G88" s="4309"/>
      <c r="H88" s="4309"/>
      <c r="I88" s="1161"/>
      <c r="J88" s="1726"/>
      <c r="K88" s="4269"/>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267" t="s">
        <v>389</v>
      </c>
      <c r="B89" s="4268"/>
      <c r="C89" s="933"/>
      <c r="D89" s="933" t="s">
        <v>390</v>
      </c>
      <c r="E89" s="370" t="s">
        <v>399</v>
      </c>
      <c r="F89" s="371"/>
      <c r="G89" s="371"/>
      <c r="H89" s="372"/>
      <c r="I89" s="1162"/>
      <c r="J89" s="1728"/>
      <c r="K89" s="4269"/>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305" t="s">
        <v>407</v>
      </c>
      <c r="F94" s="4306"/>
      <c r="G94" s="4306"/>
      <c r="H94" s="4307"/>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64" t="s">
        <v>1778</v>
      </c>
      <c r="F96" s="4265"/>
      <c r="G96" s="4265"/>
      <c r="H96" s="4266"/>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308" t="s">
        <v>414</v>
      </c>
      <c r="B101" s="4309"/>
      <c r="C101" s="4309"/>
      <c r="D101" s="4309"/>
      <c r="E101" s="4309"/>
      <c r="F101" s="4309"/>
      <c r="G101" s="4309"/>
      <c r="H101" s="4309"/>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267" t="s">
        <v>389</v>
      </c>
      <c r="B102" s="4268"/>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320" t="s">
        <v>2246</v>
      </c>
      <c r="H108" s="4321"/>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98" t="s">
        <v>422</v>
      </c>
      <c r="F109" s="4265"/>
      <c r="G109" s="4265"/>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98" t="s">
        <v>424</v>
      </c>
      <c r="F110" s="4265"/>
      <c r="G110" s="4265"/>
      <c r="H110" s="4266"/>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64" t="s">
        <v>1778</v>
      </c>
      <c r="F111" s="4265"/>
      <c r="G111" s="4265"/>
      <c r="H111" s="4266"/>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98" t="s">
        <v>1797</v>
      </c>
      <c r="F112" s="4265"/>
      <c r="G112" s="4265"/>
      <c r="H112" s="4266"/>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8" priority="21" stopIfTrue="1" operator="equal">
      <formula>25</formula>
    </cfRule>
  </conditionalFormatting>
  <conditionalFormatting sqref="C8:C9">
    <cfRule type="cellIs" dxfId="227" priority="19" stopIfTrue="1" operator="equal">
      <formula>15</formula>
    </cfRule>
  </conditionalFormatting>
  <conditionalFormatting sqref="C14:C16">
    <cfRule type="cellIs" dxfId="226" priority="13" stopIfTrue="1" operator="equal">
      <formula>30</formula>
    </cfRule>
  </conditionalFormatting>
  <conditionalFormatting sqref="D5:D7">
    <cfRule type="cellIs" dxfId="225" priority="10" stopIfTrue="1" operator="equal">
      <formula>25</formula>
    </cfRule>
  </conditionalFormatting>
  <conditionalFormatting sqref="D8:D9">
    <cfRule type="cellIs" dxfId="224" priority="9" stopIfTrue="1" operator="equal">
      <formula>15</formula>
    </cfRule>
  </conditionalFormatting>
  <conditionalFormatting sqref="C10:D13">
    <cfRule type="cellIs" dxfId="223" priority="8" stopIfTrue="1" operator="equal">
      <formula>15</formula>
    </cfRule>
  </conditionalFormatting>
  <conditionalFormatting sqref="D14:D16">
    <cfRule type="cellIs" dxfId="222" priority="6" stopIfTrue="1" operator="equal">
      <formula>30</formula>
    </cfRule>
  </conditionalFormatting>
  <conditionalFormatting sqref="C108">
    <cfRule type="expression" dxfId="221" priority="3" stopIfTrue="1">
      <formula>$H$106&lt;&gt;"仅含出让金"</formula>
    </cfRule>
  </conditionalFormatting>
  <conditionalFormatting sqref="C109">
    <cfRule type="expression" dxfId="220" priority="2" stopIfTrue="1">
      <formula>$H$109="由企业提供"</formula>
    </cfRule>
  </conditionalFormatting>
  <conditionalFormatting sqref="I33">
    <cfRule type="expression" dxfId="219"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62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161" t="str">
        <f>项目基本情况!B1</f>
        <v>北京市出让国有建设用地使用权市场价格预评估</v>
      </c>
      <c r="C37" s="4161"/>
      <c r="D37" s="4161"/>
      <c r="E37" s="4161"/>
      <c r="F37" s="4161"/>
      <c r="G37" s="4161"/>
      <c r="H37" s="4161"/>
      <c r="I37" s="4161"/>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30"/>
  <sheetViews>
    <sheetView tabSelected="1" topLeftCell="D1" zoomScaleNormal="100" workbookViewId="0">
      <selection activeCell="I19" sqref="I19"/>
    </sheetView>
  </sheetViews>
  <sheetFormatPr defaultColWidth="9" defaultRowHeight="15.75"/>
  <cols>
    <col min="1" max="1" width="10.625" style="3668" customWidth="1"/>
    <col min="2" max="2" width="10.875" style="3668" customWidth="1"/>
    <col min="3" max="3" width="10.125" style="3668" customWidth="1"/>
    <col min="4" max="4" width="12.375" style="3668" customWidth="1"/>
    <col min="5" max="6" width="7.625" style="3668" customWidth="1"/>
    <col min="7" max="7" width="6.125" style="3668" customWidth="1"/>
    <col min="8" max="8" width="9.875" style="3668" customWidth="1"/>
    <col min="9" max="9" width="14.5" style="3670" customWidth="1"/>
    <col min="10" max="10" width="8.5" style="3670" customWidth="1"/>
    <col min="11" max="11" width="7.625" style="3671" customWidth="1"/>
    <col min="12" max="12" width="10.875" style="3668" customWidth="1"/>
    <col min="13" max="13" width="9" style="3668"/>
    <col min="14" max="14" width="22.625" style="3668" bestFit="1" customWidth="1"/>
    <col min="15" max="16384" width="9" style="3668"/>
  </cols>
  <sheetData>
    <row r="1" spans="1:14" s="3626" customFormat="1" ht="14.25">
      <c r="A1" s="4337" t="s">
        <v>3465</v>
      </c>
      <c r="B1" s="4337"/>
      <c r="C1" s="4337"/>
      <c r="D1" s="4337"/>
      <c r="E1" s="4337"/>
      <c r="F1" s="4337"/>
      <c r="G1" s="4337"/>
      <c r="H1" s="4337"/>
      <c r="I1" s="4338"/>
      <c r="J1" s="4337"/>
      <c r="K1" s="4338"/>
    </row>
    <row r="2" spans="1:14" s="3626" customFormat="1" ht="36">
      <c r="A2" s="3627" t="s">
        <v>3250</v>
      </c>
      <c r="B2" s="3628" t="s">
        <v>3251</v>
      </c>
      <c r="C2" s="3629" t="s">
        <v>3287</v>
      </c>
      <c r="D2" s="3630" t="s">
        <v>3252</v>
      </c>
      <c r="E2" s="3630" t="s">
        <v>3253</v>
      </c>
      <c r="F2" s="3630" t="s">
        <v>3254</v>
      </c>
      <c r="G2" s="3630" t="s">
        <v>2673</v>
      </c>
      <c r="H2" s="3630" t="s">
        <v>3255</v>
      </c>
      <c r="I2" s="3630" t="s">
        <v>3256</v>
      </c>
      <c r="J2" s="3631" t="s">
        <v>3257</v>
      </c>
      <c r="K2" s="3632" t="s">
        <v>3258</v>
      </c>
    </row>
    <row r="3" spans="1:14" s="3637" customFormat="1" ht="10.5">
      <c r="A3" s="3630" t="s">
        <v>3259</v>
      </c>
      <c r="B3" s="3633">
        <f>基准地价住宅!C6</f>
        <v>6160</v>
      </c>
      <c r="C3" s="3633">
        <f>基准地价住宅!C13</f>
        <v>1.155</v>
      </c>
      <c r="D3" s="3633">
        <f>基准地价住宅!C20</f>
        <v>40</v>
      </c>
      <c r="E3" s="3633">
        <f>基准地价住宅!C22</f>
        <v>1</v>
      </c>
      <c r="F3" s="3633">
        <f>基准地价住宅!C23</f>
        <v>1.0677000000000001</v>
      </c>
      <c r="G3" s="3633">
        <f>基准地价住宅!C24</f>
        <v>1</v>
      </c>
      <c r="H3" s="3633">
        <f>基准地价住宅!C25</f>
        <v>1.0597000000000001</v>
      </c>
      <c r="I3" s="3633">
        <f>基准地价住宅!C28</f>
        <v>1.0087999999999999</v>
      </c>
      <c r="J3" s="3635">
        <f>ROUND((B3*C3+D3)*E3*F3*G3*H3*I3,0)</f>
        <v>8166</v>
      </c>
      <c r="K3" s="3636">
        <f t="shared" ref="K3:K10" si="0">J3*0.25</f>
        <v>2041.5</v>
      </c>
    </row>
    <row r="4" spans="1:14" s="3637" customFormat="1" ht="10.5">
      <c r="A4" s="3630" t="s">
        <v>3286</v>
      </c>
      <c r="B4" s="3633">
        <f>基准地价商业!C6</f>
        <v>5320</v>
      </c>
      <c r="C4" s="3633">
        <f>基准地价商业!C7*基准地价商业!C17</f>
        <v>1</v>
      </c>
      <c r="D4" s="3633">
        <f>基准地价商业!C20</f>
        <v>30</v>
      </c>
      <c r="E4" s="3633">
        <f>基准地价商业!C22</f>
        <v>0.8</v>
      </c>
      <c r="F4" s="3633">
        <f>基准地价商业!C23</f>
        <v>1.038</v>
      </c>
      <c r="G4" s="3633">
        <f>基准地价商业!C24</f>
        <v>1</v>
      </c>
      <c r="H4" s="3633">
        <f>基准地价商业!C25</f>
        <v>1.1528</v>
      </c>
      <c r="I4" s="3633">
        <f>基准地价商业!C28</f>
        <v>0.99539999999999995</v>
      </c>
      <c r="J4" s="3635">
        <f t="shared" ref="J4:J5" si="1">ROUND((B4*C4+D4)*E4*F4*G4*H4*I4,0)</f>
        <v>5098</v>
      </c>
      <c r="K4" s="3636">
        <f t="shared" si="0"/>
        <v>1274.5</v>
      </c>
    </row>
    <row r="5" spans="1:14" s="3637" customFormat="1" ht="10.5">
      <c r="A5" s="3630" t="s">
        <v>3288</v>
      </c>
      <c r="B5" s="3633">
        <f>基准地价公服!C6</f>
        <v>3170</v>
      </c>
      <c r="C5" s="3633">
        <f>基准地价公服!C12</f>
        <v>1</v>
      </c>
      <c r="D5" s="3633">
        <f>基准地价公服!C20</f>
        <v>40</v>
      </c>
      <c r="E5" s="3634">
        <f>基准地价公服!C22</f>
        <v>1</v>
      </c>
      <c r="F5" s="3634">
        <f>基准地价公服!C23</f>
        <v>1.0273000000000001</v>
      </c>
      <c r="G5" s="3634">
        <f>基准地价公服!C24</f>
        <v>1</v>
      </c>
      <c r="H5" s="3634">
        <f>基准地价公服!C25</f>
        <v>1.0678000000000001</v>
      </c>
      <c r="I5" s="3634">
        <f>基准地价公服!C28</f>
        <v>0.99609999999999999</v>
      </c>
      <c r="J5" s="3635">
        <f t="shared" si="1"/>
        <v>3507</v>
      </c>
      <c r="K5" s="3636">
        <f t="shared" si="0"/>
        <v>876.75</v>
      </c>
    </row>
    <row r="6" spans="1:14" s="3626" customFormat="1" ht="14.25">
      <c r="A6" s="4339" t="s">
        <v>3260</v>
      </c>
      <c r="B6" s="4339"/>
      <c r="C6" s="4339"/>
      <c r="D6" s="4339"/>
      <c r="E6" s="4339"/>
      <c r="F6" s="4339"/>
      <c r="G6" s="4339"/>
      <c r="H6" s="4339"/>
      <c r="I6" s="4339"/>
      <c r="J6" s="4339" t="s">
        <v>3261</v>
      </c>
      <c r="K6" s="4339"/>
    </row>
    <row r="7" spans="1:14" s="3626" customFormat="1" ht="27">
      <c r="A7" s="3627" t="s">
        <v>3262</v>
      </c>
      <c r="B7" s="3629" t="s">
        <v>3263</v>
      </c>
      <c r="C7" s="3628" t="s">
        <v>3264</v>
      </c>
      <c r="D7" s="3628" t="s">
        <v>3265</v>
      </c>
      <c r="E7" s="3628" t="s">
        <v>3266</v>
      </c>
      <c r="F7" s="3628" t="s">
        <v>3267</v>
      </c>
      <c r="G7" s="3628" t="s">
        <v>3268</v>
      </c>
      <c r="H7" s="3628" t="s">
        <v>3269</v>
      </c>
      <c r="I7" s="3628" t="s">
        <v>3270</v>
      </c>
      <c r="J7" s="3638" t="s">
        <v>3257</v>
      </c>
      <c r="K7" s="3639" t="s">
        <v>3258</v>
      </c>
    </row>
    <row r="8" spans="1:14" s="3645" customFormat="1" ht="14.25">
      <c r="A8" s="3677" t="s">
        <v>3259</v>
      </c>
      <c r="B8" s="3640">
        <f>'剩余法住宅(待)'!C8</f>
        <v>38679</v>
      </c>
      <c r="C8" s="3646">
        <f>H8</f>
        <v>68148.539999999994</v>
      </c>
      <c r="D8" s="3640">
        <v>0</v>
      </c>
      <c r="E8" s="3640">
        <v>0</v>
      </c>
      <c r="F8" s="3640">
        <v>0</v>
      </c>
      <c r="G8" s="3640">
        <v>0</v>
      </c>
      <c r="H8" s="3646">
        <f>'数据-汇总表'!F19</f>
        <v>68148.539999999994</v>
      </c>
      <c r="I8" s="3643">
        <f>B8</f>
        <v>38679</v>
      </c>
      <c r="J8" s="3647">
        <f ca="1">'剩余法住宅(待)'!B3</f>
        <v>18209</v>
      </c>
      <c r="K8" s="3644">
        <f t="shared" ca="1" si="0"/>
        <v>4552.25</v>
      </c>
    </row>
    <row r="9" spans="1:14" s="3645" customFormat="1" ht="14.25">
      <c r="A9" s="3677" t="s">
        <v>3286</v>
      </c>
      <c r="B9" s="3640">
        <f>'剩余法商业(待)'!C8</f>
        <v>22020</v>
      </c>
      <c r="C9" s="3641">
        <v>0</v>
      </c>
      <c r="D9" s="3640">
        <v>0</v>
      </c>
      <c r="E9" s="3640">
        <v>0</v>
      </c>
      <c r="F9" s="3640">
        <v>0</v>
      </c>
      <c r="G9" s="3640">
        <v>0</v>
      </c>
      <c r="H9" s="3641">
        <v>0</v>
      </c>
      <c r="I9" s="3643">
        <f t="shared" ref="I9:I10" si="2">B9</f>
        <v>22020</v>
      </c>
      <c r="J9" s="3647">
        <f ca="1">'剩余法商业(待)'!B3</f>
        <v>9426</v>
      </c>
      <c r="K9" s="3644">
        <f t="shared" ca="1" si="0"/>
        <v>2356.5</v>
      </c>
    </row>
    <row r="10" spans="1:14" s="3626" customFormat="1" ht="14.25">
      <c r="A10" s="3677" t="s">
        <v>3288</v>
      </c>
      <c r="B10" s="3640">
        <f ca="1">'剩余法公服(待)'!C8</f>
        <v>11607</v>
      </c>
      <c r="C10" s="3648">
        <v>0</v>
      </c>
      <c r="D10" s="3642">
        <v>0</v>
      </c>
      <c r="E10" s="3648">
        <v>0</v>
      </c>
      <c r="F10" s="3648">
        <v>0</v>
      </c>
      <c r="G10" s="3648">
        <v>0</v>
      </c>
      <c r="H10" s="3648">
        <v>0</v>
      </c>
      <c r="I10" s="3643">
        <f t="shared" ca="1" si="2"/>
        <v>11607</v>
      </c>
      <c r="J10" s="3647">
        <f ca="1">'剩余法公服(待)'!B3</f>
        <v>3738</v>
      </c>
      <c r="K10" s="3644">
        <f t="shared" ca="1" si="0"/>
        <v>934.5</v>
      </c>
    </row>
    <row r="11" spans="1:14" s="3626" customFormat="1" ht="27">
      <c r="A11" s="3627" t="s">
        <v>3262</v>
      </c>
      <c r="B11" s="3629" t="s">
        <v>3289</v>
      </c>
      <c r="C11" s="3628" t="s">
        <v>3264</v>
      </c>
      <c r="D11" s="3628" t="s">
        <v>3265</v>
      </c>
      <c r="E11" s="3628" t="s">
        <v>3266</v>
      </c>
      <c r="F11" s="3628" t="s">
        <v>3267</v>
      </c>
      <c r="G11" s="3628" t="s">
        <v>3268</v>
      </c>
      <c r="H11" s="3628" t="s">
        <v>3269</v>
      </c>
      <c r="I11" s="3628" t="s">
        <v>3270</v>
      </c>
      <c r="J11" s="3638" t="s">
        <v>3257</v>
      </c>
      <c r="K11" s="3639" t="s">
        <v>3258</v>
      </c>
    </row>
    <row r="12" spans="1:14" s="3645" customFormat="1" ht="14.25">
      <c r="A12" s="3677" t="s">
        <v>3259</v>
      </c>
      <c r="B12" s="3640">
        <f>'剩余法住宅(待)'!C8</f>
        <v>38679</v>
      </c>
      <c r="C12" s="3646">
        <f>H12</f>
        <v>68148.539999999994</v>
      </c>
      <c r="D12" s="3640">
        <v>0</v>
      </c>
      <c r="E12" s="3640">
        <v>0</v>
      </c>
      <c r="F12" s="3640">
        <v>0</v>
      </c>
      <c r="G12" s="3640">
        <v>0</v>
      </c>
      <c r="H12" s="3646">
        <f>'数据-汇总表'!F19</f>
        <v>68148.539999999994</v>
      </c>
      <c r="I12" s="3643">
        <f>B12</f>
        <v>38679</v>
      </c>
      <c r="J12" s="3647">
        <f ca="1">'剩余法住宅(待)'!B3</f>
        <v>18209</v>
      </c>
      <c r="K12" s="3644">
        <f t="shared" ref="K12:K14" ca="1" si="3">J12*0.25</f>
        <v>4552.25</v>
      </c>
    </row>
    <row r="13" spans="1:14" s="3645" customFormat="1" ht="14.25">
      <c r="A13" s="3677" t="s">
        <v>3286</v>
      </c>
      <c r="B13" s="3640">
        <f>'剩余法商业(待)'!C8</f>
        <v>22020</v>
      </c>
      <c r="C13" s="3641">
        <v>0</v>
      </c>
      <c r="D13" s="3640">
        <v>0</v>
      </c>
      <c r="E13" s="3640">
        <v>0</v>
      </c>
      <c r="F13" s="3640">
        <v>0</v>
      </c>
      <c r="G13" s="3640">
        <v>0</v>
      </c>
      <c r="H13" s="3641">
        <v>0</v>
      </c>
      <c r="I13" s="3643">
        <f t="shared" ref="I13:I14" si="4">B13</f>
        <v>22020</v>
      </c>
      <c r="J13" s="3647">
        <f ca="1">'剩余法商业(待)'!B3</f>
        <v>9426</v>
      </c>
      <c r="K13" s="3644">
        <f t="shared" ca="1" si="3"/>
        <v>2356.5</v>
      </c>
    </row>
    <row r="14" spans="1:14" s="3626" customFormat="1" ht="14.25">
      <c r="A14" s="3677" t="s">
        <v>3288</v>
      </c>
      <c r="B14" s="3640">
        <f ca="1">'剩余法公服(待)'!C8</f>
        <v>11607</v>
      </c>
      <c r="C14" s="3648">
        <v>0</v>
      </c>
      <c r="D14" s="3642">
        <v>0</v>
      </c>
      <c r="E14" s="3648">
        <v>0</v>
      </c>
      <c r="F14" s="3648">
        <v>0</v>
      </c>
      <c r="G14" s="3648">
        <v>0</v>
      </c>
      <c r="H14" s="3648">
        <v>0</v>
      </c>
      <c r="I14" s="3643">
        <f t="shared" ca="1" si="4"/>
        <v>11607</v>
      </c>
      <c r="J14" s="3647">
        <f ca="1">'剩余法公服(待)'!B3</f>
        <v>3738</v>
      </c>
      <c r="K14" s="3644">
        <f t="shared" ca="1" si="3"/>
        <v>934.5</v>
      </c>
    </row>
    <row r="15" spans="1:14" s="3626" customFormat="1" ht="18">
      <c r="A15" s="3649" t="s">
        <v>3271</v>
      </c>
      <c r="B15" s="3650" t="s">
        <v>3272</v>
      </c>
      <c r="C15" s="3650" t="s">
        <v>3273</v>
      </c>
      <c r="D15" s="3650" t="s">
        <v>3274</v>
      </c>
      <c r="E15" s="3650" t="s">
        <v>3273</v>
      </c>
      <c r="F15" s="3650"/>
      <c r="G15" s="3650"/>
      <c r="H15" s="3650" t="s">
        <v>3275</v>
      </c>
      <c r="I15" s="3650" t="s">
        <v>3276</v>
      </c>
      <c r="J15" s="3650" t="s">
        <v>3277</v>
      </c>
      <c r="K15" s="3650" t="s">
        <v>3258</v>
      </c>
    </row>
    <row r="16" spans="1:14" s="3626" customFormat="1" ht="14.25">
      <c r="A16" s="3628" t="s">
        <v>3278</v>
      </c>
      <c r="B16" s="3651">
        <f>J3</f>
        <v>8166</v>
      </c>
      <c r="C16" s="3652">
        <v>0.3</v>
      </c>
      <c r="D16" s="3653">
        <f ca="1">J8</f>
        <v>18209</v>
      </c>
      <c r="E16" s="3654">
        <f>1-C16</f>
        <v>0.7</v>
      </c>
      <c r="F16" s="3642"/>
      <c r="G16" s="3654"/>
      <c r="H16" s="3655">
        <f>H8</f>
        <v>68148.539999999994</v>
      </c>
      <c r="I16" s="3820">
        <f ca="1">ROUND(J16*H16/10000,4)</f>
        <v>103558.5214</v>
      </c>
      <c r="J16" s="3647">
        <f ca="1">ROUND(B16*C16+D16*E16,0)</f>
        <v>15196</v>
      </c>
      <c r="K16" s="3656">
        <f ca="1">ROUND(J16*0.25,0)</f>
        <v>3799</v>
      </c>
      <c r="L16" s="3657">
        <f ca="1">K16*H16/10000</f>
        <v>25889.630345999998</v>
      </c>
      <c r="N16" s="4029">
        <v>10420</v>
      </c>
    </row>
    <row r="17" spans="1:14" s="3626" customFormat="1" ht="14.25">
      <c r="A17" s="3995" t="s">
        <v>3286</v>
      </c>
      <c r="B17" s="3651">
        <f>J4</f>
        <v>5098</v>
      </c>
      <c r="C17" s="3652">
        <v>0.3</v>
      </c>
      <c r="D17" s="3653">
        <f ca="1">J9</f>
        <v>9426</v>
      </c>
      <c r="E17" s="3654">
        <f t="shared" ref="E17:E18" si="5">1-C17</f>
        <v>0.7</v>
      </c>
      <c r="F17" s="3642"/>
      <c r="G17" s="3654"/>
      <c r="H17" s="3648">
        <v>0</v>
      </c>
      <c r="I17" s="3820">
        <v>0</v>
      </c>
      <c r="J17" s="3647">
        <f ca="1">ROUND(B17*C17+D17*E17,0)</f>
        <v>8128</v>
      </c>
      <c r="K17" s="3656">
        <f ca="1">ROUND(J17*0.25,0)</f>
        <v>2032</v>
      </c>
      <c r="L17" s="3657"/>
      <c r="N17" s="4029">
        <v>7370</v>
      </c>
    </row>
    <row r="18" spans="1:14" s="3626" customFormat="1" ht="14.25">
      <c r="A18" s="3995" t="s">
        <v>3187</v>
      </c>
      <c r="B18" s="3651">
        <f>J5</f>
        <v>3507</v>
      </c>
      <c r="C18" s="3652">
        <v>0.5</v>
      </c>
      <c r="D18" s="3653">
        <f ca="1">J10</f>
        <v>3738</v>
      </c>
      <c r="E18" s="3654">
        <f t="shared" si="5"/>
        <v>0.5</v>
      </c>
      <c r="F18" s="3642"/>
      <c r="G18" s="3654"/>
      <c r="H18" s="3648">
        <f>H10</f>
        <v>0</v>
      </c>
      <c r="I18" s="3820">
        <f ca="1">ROUND(J18*H18/10000,4)</f>
        <v>0</v>
      </c>
      <c r="J18" s="3647">
        <f ca="1">ROUND(B18*C18+D18*E18,0)</f>
        <v>3623</v>
      </c>
      <c r="K18" s="3656">
        <f ca="1">ROUND(J18*0.25,0)</f>
        <v>906</v>
      </c>
      <c r="L18" s="3657">
        <f ca="1">K18*H18/10000</f>
        <v>0</v>
      </c>
      <c r="M18" s="3658"/>
    </row>
    <row r="19" spans="1:14" s="3626" customFormat="1" ht="14.25">
      <c r="A19" s="3659" t="s">
        <v>3276</v>
      </c>
      <c r="B19" s="3660"/>
      <c r="C19" s="3660"/>
      <c r="D19" s="3660"/>
      <c r="E19" s="3660"/>
      <c r="F19" s="3660"/>
      <c r="G19" s="3660"/>
      <c r="H19" s="3660"/>
      <c r="I19" s="3821">
        <f ca="1">I16+I18</f>
        <v>103558.5214</v>
      </c>
      <c r="J19" s="3660"/>
      <c r="K19" s="3661"/>
    </row>
    <row r="20" spans="1:14" s="3626" customFormat="1" ht="14.25">
      <c r="A20" s="3630" t="s">
        <v>3279</v>
      </c>
      <c r="B20" s="3662"/>
      <c r="C20" s="3662"/>
      <c r="D20" s="3662"/>
      <c r="E20" s="3662"/>
      <c r="F20" s="3662"/>
      <c r="G20" s="3662"/>
      <c r="H20" s="3662"/>
      <c r="I20" s="3820">
        <f ca="1">ROUND(K16*H16/10000,4)+ROUND(K18*H18/10000,4)</f>
        <v>25889.630300000001</v>
      </c>
      <c r="J20" s="3662"/>
      <c r="K20" s="3663"/>
    </row>
    <row r="21" spans="1:14" s="3626" customFormat="1" ht="14.25">
      <c r="A21" s="3630" t="s">
        <v>3280</v>
      </c>
      <c r="B21" s="3662"/>
      <c r="C21" s="3662"/>
      <c r="D21" s="3662"/>
      <c r="E21" s="3662"/>
      <c r="F21" s="3662"/>
      <c r="G21" s="3662"/>
      <c r="H21" s="3662"/>
      <c r="I21" s="3822">
        <v>77598.289999999994</v>
      </c>
      <c r="J21" s="3662"/>
      <c r="K21" s="3663"/>
    </row>
    <row r="22" spans="1:14" s="3626" customFormat="1" ht="14.25">
      <c r="A22" s="3630" t="s">
        <v>3281</v>
      </c>
      <c r="B22" s="3662"/>
      <c r="C22" s="3662"/>
      <c r="D22" s="3662"/>
      <c r="E22" s="3662"/>
      <c r="F22" s="3662"/>
      <c r="G22" s="3662"/>
      <c r="H22" s="3662"/>
      <c r="I22" s="3820">
        <f ca="1">I20+I21</f>
        <v>103487.9203</v>
      </c>
      <c r="J22" s="3662"/>
      <c r="K22" s="3663"/>
    </row>
    <row r="23" spans="1:14" s="3664" customFormat="1">
      <c r="A23" s="3664" t="s">
        <v>3282</v>
      </c>
      <c r="I23" s="3665"/>
      <c r="J23" s="3665"/>
      <c r="K23" s="3666"/>
    </row>
    <row r="24" spans="1:14">
      <c r="A24" s="3667" t="s">
        <v>3283</v>
      </c>
      <c r="B24" s="4045">
        <f ca="1">B16/D16</f>
        <v>0.44845955296831236</v>
      </c>
      <c r="C24" s="4046">
        <f ca="1">B24-1</f>
        <v>-0.55154044703168759</v>
      </c>
      <c r="D24" s="4045">
        <f ca="1">D16/B16</f>
        <v>2.2298554984080332</v>
      </c>
      <c r="E24" s="4053">
        <f ca="1">D24-1</f>
        <v>1.2298554984080332</v>
      </c>
    </row>
    <row r="25" spans="1:14">
      <c r="A25" s="3667" t="s">
        <v>3284</v>
      </c>
      <c r="B25" s="4045">
        <f ca="1">B17-D17</f>
        <v>-4328</v>
      </c>
      <c r="C25" s="3669">
        <f ca="1">B25/B17</f>
        <v>-0.84896037661828172</v>
      </c>
      <c r="D25" s="4045">
        <f t="shared" ref="D25:D26" ca="1" si="6">D17/B17</f>
        <v>1.8489603766182816</v>
      </c>
      <c r="E25" s="4053">
        <f t="shared" ref="E25" ca="1" si="7">D25-1</f>
        <v>0.84896037661828161</v>
      </c>
    </row>
    <row r="26" spans="1:14">
      <c r="A26" s="3667" t="s">
        <v>3285</v>
      </c>
      <c r="B26" s="4045">
        <f ca="1">B18-D18</f>
        <v>-231</v>
      </c>
      <c r="C26" s="3669">
        <f ca="1">B26/D18</f>
        <v>-6.1797752808988762E-2</v>
      </c>
      <c r="D26" s="4045">
        <f t="shared" ca="1" si="6"/>
        <v>1.0658682634730539</v>
      </c>
      <c r="E26" s="4053">
        <f ca="1">D26-1</f>
        <v>6.5868263473053856E-2</v>
      </c>
      <c r="I26" s="4117"/>
    </row>
    <row r="27" spans="1:14">
      <c r="D27" s="4045"/>
      <c r="E27" s="4045"/>
      <c r="H27" s="4045"/>
    </row>
    <row r="28" spans="1:14">
      <c r="D28" s="4053">
        <f ca="1">(D16-B16)/B16</f>
        <v>1.2298554984080332</v>
      </c>
      <c r="H28" s="4045"/>
    </row>
    <row r="29" spans="1:14">
      <c r="D29" s="4053">
        <f ca="1">(D17-B17)/B17</f>
        <v>0.84896037661828172</v>
      </c>
    </row>
    <row r="30" spans="1:14">
      <c r="D30" s="4053">
        <f ca="1">(D18-B18)/B18</f>
        <v>6.5868263473053898E-2</v>
      </c>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625" style="1813" customWidth="1"/>
    <col min="2" max="2" width="25.62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-37112.060899999997</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-5035</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-6535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-436</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33170.372000000003</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1658.5186000000001</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2211.3580999999999</v>
      </c>
      <c r="D16" s="3603">
        <f ca="1">IF(B1="",'数据-汇总表'!E3,INDIRECT("'数据-取费表'!K"&amp;$K$1)+INDIRECT("'数据-取费表'!S"&amp;$K$1))</f>
        <v>73711.9378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497.55560000000003</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37537.804300000003</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294.84780000000001</v>
      </c>
      <c r="D19" s="3609">
        <f ca="1">D16</f>
        <v>73711.9378</v>
      </c>
      <c r="E19" s="3598">
        <f>'数据-取费表'!B32</f>
        <v>40</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1027.9327000000001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1022.2281</v>
      </c>
      <c r="D21" s="3603">
        <f ca="1">IF(B1="",'数据-汇总表'!E5,IF(INDIRECT("'数据-取费表'!c"&amp;$K$1)="住宅",INDIRECT("'数据-取费表'!k"&amp;$K$1),0))</f>
        <v>68148.539999999994</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105.7046</v>
      </c>
      <c r="D22" s="3603">
        <f ca="1">IF(B1="",'数据-汇总表'!E6,IF(INDIRECT("'数据-取费表'!c"&amp;$K$1)="住宅",INDIRECT("'数据-取费表'!s"&amp;$K$1),INDIRECT("'数据-取费表'!k"&amp;$K$1)+INDIRECT("'数据-取费表'!s"&amp;$K$1)))</f>
        <v>5563.3978000000061</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1165.8175000000001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2390.5142999999998</v>
      </c>
      <c r="D26" s="3598">
        <f ca="1">C27</f>
        <v>0.1268</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0.1268</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2390.5142999999998</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3297</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42416.916600000004</v>
      </c>
      <c r="D30" s="3620">
        <f ca="1">C32</f>
        <v>0.1573</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42416.916600000004</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0.1573</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12007.920700000001</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12007.920700000001</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-37112.060899999997</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80" zoomScaleNormal="60" zoomScaleSheetLayoutView="80" workbookViewId="0">
      <selection activeCell="D8" sqref="D8"/>
    </sheetView>
  </sheetViews>
  <sheetFormatPr defaultColWidth="12" defaultRowHeight="12"/>
  <cols>
    <col min="1" max="1" width="9.625" style="1233" customWidth="1"/>
    <col min="2" max="2" width="30.37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68148.539999999994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55650</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11882</v>
      </c>
      <c r="U2" s="2354"/>
      <c r="V2" s="2364">
        <f>ROUND(T2*U2/10000,0)</f>
        <v>0</v>
      </c>
      <c r="W2" s="1877"/>
      <c r="X2" s="1877"/>
      <c r="Y2" s="1877"/>
      <c r="Z2" s="1877"/>
      <c r="AA2" s="1877"/>
      <c r="AB2" s="1877"/>
      <c r="AC2" s="1878"/>
    </row>
    <row r="3" spans="1:39" ht="15.75">
      <c r="A3" s="1240" t="s">
        <v>1220</v>
      </c>
      <c r="B3" s="968">
        <f>ROUND(B2*10000/D1,0)</f>
        <v>8166</v>
      </c>
      <c r="C3" s="1236" t="s">
        <v>855</v>
      </c>
      <c r="D3" s="1237" t="s">
        <v>856</v>
      </c>
      <c r="E3" s="1241" t="s">
        <v>3337</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9158</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7471</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7154.8</v>
      </c>
      <c r="D5" s="3826">
        <f>ROUND(C6+C20,0)</f>
        <v>6200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6342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5778</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8" t="s">
        <v>2058</v>
      </c>
      <c r="X8" s="4349"/>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350"/>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50"/>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3353</v>
      </c>
      <c r="D15" s="3486" t="s">
        <v>3353</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51" t="s">
        <v>1370</v>
      </c>
      <c r="B20" s="1252" t="s">
        <v>875</v>
      </c>
      <c r="C20" s="975">
        <f>ROUND(IF(F21="与级别开发程度一致",0,(G21-E21)/C21),0)</f>
        <v>40</v>
      </c>
      <c r="D20" s="4353" t="s">
        <v>879</v>
      </c>
      <c r="E20" s="4354"/>
      <c r="F20" s="4353" t="s">
        <v>876</v>
      </c>
      <c r="G20" s="4354"/>
      <c r="H20" s="1265" t="s">
        <v>2760</v>
      </c>
      <c r="I20" s="1265" t="s">
        <v>2761</v>
      </c>
      <c r="J20" s="1265" t="s">
        <v>2763</v>
      </c>
      <c r="K20" s="1265" t="s">
        <v>2764</v>
      </c>
      <c r="L20" s="1265" t="s">
        <v>2767</v>
      </c>
      <c r="M20" s="1265"/>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352"/>
      <c r="B21" s="4075" t="s">
        <v>878</v>
      </c>
      <c r="C21" s="4076">
        <f>IF(E3="M4科研用地",SUMPRODUCT((修正!A2:A7=E3)*(修正!B1:M1=G2)*(修正!B2:M7)),SUMPRODUCT((修正!A2:A7=E2)*(修正!B1:M1=G2)*(修正!B2:M7)))</f>
        <v>1.5</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1.0597000000000001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1.0597000000000001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1.0087999999999999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55650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8166</v>
      </c>
      <c r="D33" s="1300">
        <f>'数据-汇总表'!F19</f>
        <v>68148.539999999994</v>
      </c>
      <c r="E33" s="1601">
        <f>ROUND(C33*D33/10000,0)</f>
        <v>55650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3.5" thickBot="1">
      <c r="A34" s="1303"/>
      <c r="B34" s="1304" t="s">
        <v>918</v>
      </c>
      <c r="C34" s="974">
        <f>ROUND(IF(E2="工业",C33*M42,IF(B25="楼层修正",SUM(V2:V16)*M41*10000/D34,C33*M41)),0)</f>
        <v>2042</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6"/>
      <c r="B37" s="1318" t="s">
        <v>923</v>
      </c>
      <c r="C37" s="982">
        <f>ROUND(D5*C22*C23*C24*C28*F37,0)</f>
        <v>3339</v>
      </c>
      <c r="D37" s="1330"/>
      <c r="E37" s="973">
        <f>ROUND(C37*D37/10000,0)</f>
        <v>0</v>
      </c>
      <c r="F37" s="973">
        <f>SUMIF(修正!A57:A68,G2,修正!B57:B68)</f>
        <v>0.5</v>
      </c>
      <c r="G37" s="973">
        <f>ROUND(IF(E2="工业",C37*$M$42,C37*$M$41),0)</f>
        <v>835</v>
      </c>
      <c r="H37" s="973">
        <f>D37</f>
        <v>0</v>
      </c>
      <c r="I37" s="973">
        <f>ROUND(G37*H37/10000,0)</f>
        <v>0</v>
      </c>
      <c r="J37" s="4346"/>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7"/>
      <c r="B38" s="1262" t="s">
        <v>924</v>
      </c>
      <c r="C38" s="982">
        <f>ROUND(D5*C22*C23*C24*C28*F38,0)</f>
        <v>1336</v>
      </c>
      <c r="D38" s="1330"/>
      <c r="E38" s="973">
        <f t="shared" ref="E38:E42" si="4">ROUND(C38*D38/10000,0)</f>
        <v>0</v>
      </c>
      <c r="F38" s="973">
        <f>SUMIF(修正!A57:A68,G2,修正!C57:C68)</f>
        <v>0.2</v>
      </c>
      <c r="G38" s="973">
        <f>ROUND(IF(E2="工业",C38*$M$42,C38*$M$41),0)</f>
        <v>334</v>
      </c>
      <c r="H38" s="973">
        <f t="shared" ref="H38:H42" si="5">D38</f>
        <v>0</v>
      </c>
      <c r="I38" s="973">
        <f t="shared" ref="I38:I42" si="6">ROUND(G38*H38/10000,0)</f>
        <v>0</v>
      </c>
      <c r="J38" s="4347"/>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7"/>
      <c r="B39" s="3504" t="s">
        <v>3210</v>
      </c>
      <c r="C39" s="982">
        <f>ROUND(D5*C22*C23*C24*C28*F39,0)</f>
        <v>1336</v>
      </c>
      <c r="D39" s="1330"/>
      <c r="E39" s="973">
        <f t="shared" si="4"/>
        <v>0</v>
      </c>
      <c r="F39" s="973">
        <f>SUMIF(修正!A57:A68,G2,修正!D57:D68)</f>
        <v>0.2</v>
      </c>
      <c r="G39" s="973">
        <f>ROUND(IF(E2="工业",C39*$M$42,C39*$M$41),0)</f>
        <v>334</v>
      </c>
      <c r="H39" s="973">
        <f t="shared" si="5"/>
        <v>0</v>
      </c>
      <c r="I39" s="973">
        <f t="shared" si="6"/>
        <v>0</v>
      </c>
      <c r="J39" s="4347"/>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1336</v>
      </c>
      <c r="D40" s="1330"/>
      <c r="E40" s="973">
        <f t="shared" si="4"/>
        <v>0</v>
      </c>
      <c r="F40" s="982">
        <f>SUMIF(修正!A57:A68,G2,修正!E57:E68)</f>
        <v>0.2</v>
      </c>
      <c r="G40" s="973">
        <f>ROUND(IF(E2="工业",C40*$M$42,C40*$M$41),0)</f>
        <v>334</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48"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60"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24"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32"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24.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36"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60"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24"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32"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24.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1.0087999999999999</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48">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3341</v>
      </c>
      <c r="D72" s="3532">
        <f t="shared" ref="D72:D80" si="17">SUMIF($J$71:$N$71,C72,J72:N72)</f>
        <v>0</v>
      </c>
      <c r="E72" s="3533">
        <f>ROUND(SUM(D72:D80),4)</f>
        <v>8.8000000000000005E-3</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60">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72" t="s">
        <v>3437</v>
      </c>
      <c r="D73" s="3532">
        <f t="shared" si="17"/>
        <v>-1.95E-2</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3342</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3342</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3341</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3343</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3343</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24">
      <c r="A79" s="3523" t="s">
        <v>950</v>
      </c>
      <c r="B79" s="3530" t="str">
        <f>估价对象房地状况!C20</f>
        <v>区域自然环境：南郎中休闲公园、方氏渠；无人文环境；综合评价环境状况一般</v>
      </c>
      <c r="C79" s="3548" t="s">
        <v>3341</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3437</v>
      </c>
      <c r="D80" s="3532">
        <f t="shared" si="17"/>
        <v>-3.7000000000000002E-3</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24.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24.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32">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24.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0" t="s">
        <v>1172</v>
      </c>
      <c r="B104" s="4340"/>
      <c r="C104" s="4340"/>
      <c r="D104" s="4340"/>
      <c r="E104" s="4340"/>
      <c r="F104" s="4340"/>
      <c r="G104" s="4340"/>
      <c r="H104" s="4340"/>
      <c r="I104" s="4340"/>
      <c r="J104" s="4340"/>
      <c r="K104" s="3600"/>
      <c r="L104" s="3600"/>
      <c r="M104" s="3600"/>
      <c r="N104" s="3600"/>
    </row>
    <row r="105" spans="1:36">
      <c r="A105" s="4341" t="s">
        <v>833</v>
      </c>
      <c r="B105" s="4341" t="s">
        <v>1173</v>
      </c>
      <c r="C105" s="1018" t="s">
        <v>1174</v>
      </c>
      <c r="D105" s="1019"/>
      <c r="E105" s="1019"/>
      <c r="F105" s="1019"/>
      <c r="G105" s="1019"/>
      <c r="H105" s="1019"/>
      <c r="I105" s="1019"/>
      <c r="J105" s="1020"/>
      <c r="K105" s="1012"/>
      <c r="L105" s="1012"/>
      <c r="M105" s="1012"/>
      <c r="N105" s="1012"/>
    </row>
    <row r="106" spans="1:36">
      <c r="A106" s="4341"/>
      <c r="B106" s="4341"/>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42"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43"/>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43"/>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43"/>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43"/>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43"/>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44"/>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45" t="s">
        <v>1175</v>
      </c>
      <c r="B114" s="4345"/>
      <c r="C114" s="4345"/>
      <c r="D114" s="4345"/>
      <c r="E114" s="4345"/>
      <c r="F114" s="4345"/>
      <c r="G114" s="4345"/>
      <c r="H114" s="4345"/>
      <c r="I114" s="4345"/>
      <c r="J114" s="4345"/>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218" priority="5" stopIfTrue="1" operator="notEqual">
      <formula>"——"</formula>
    </cfRule>
  </conditionalFormatting>
  <conditionalFormatting sqref="F61">
    <cfRule type="cellIs" dxfId="217" priority="4" stopIfTrue="1" operator="notEqual">
      <formula>"——"</formula>
    </cfRule>
  </conditionalFormatting>
  <conditionalFormatting sqref="F72">
    <cfRule type="cellIs" dxfId="216" priority="3" stopIfTrue="1" operator="notEqual">
      <formula>"——"</formula>
    </cfRule>
  </conditionalFormatting>
  <conditionalFormatting sqref="F83">
    <cfRule type="cellIs" dxfId="215" priority="2" stopIfTrue="1" operator="notEqual">
      <formula>"——"</formula>
    </cfRule>
  </conditionalFormatting>
  <conditionalFormatting sqref="H50:H58 H72:H80 H83:H91 H93:H102 H61:H69">
    <cfRule type="cellIs" dxfId="214" priority="1" operator="notEqual">
      <formula>"——"</formula>
    </cfRule>
  </conditionalFormatting>
  <dataValidations disablePrompts="1"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1"/>
  <sheetViews>
    <sheetView view="pageBreakPreview" zoomScale="87" zoomScaleNormal="80" zoomScaleSheetLayoutView="87" workbookViewId="0">
      <selection activeCell="B3" sqref="B3"/>
    </sheetView>
  </sheetViews>
  <sheetFormatPr defaultColWidth="6.625" defaultRowHeight="12.75"/>
  <cols>
    <col min="1" max="1" width="11.5" style="3816" customWidth="1"/>
    <col min="2" max="2" width="25.62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124089.16869999999</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18209</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20522</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1368</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263591.73790000001</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38679</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68148.539999999994</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263591.73790000001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30666.843000000001</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1533.3422</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2146.6790000000001</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2044.4562000000001</v>
      </c>
      <c r="D16" s="4018">
        <f>D21</f>
        <v>68148.539999999994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460.00259999999997</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36851.322999999997</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272.5942</v>
      </c>
      <c r="D19" s="4017">
        <f>D16</f>
        <v>68148.539999999994</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C21+C22+C23</f>
        <v>1055.8279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1022.2281</v>
      </c>
      <c r="D21" s="3833">
        <f>C9</f>
        <v>68148.539999999994</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3310</v>
      </c>
      <c r="B23" s="3859" t="s">
        <v>3311</v>
      </c>
      <c r="C23" s="3844">
        <f>ROUND(D23*E23/10000,4)</f>
        <v>33.599800000000002</v>
      </c>
      <c r="D23" s="4071">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1145.3924</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10543.6695</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2978.3366000000001</v>
      </c>
      <c r="D27" s="3724">
        <f ca="1">C28</f>
        <v>0.1268</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0.1268</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2978.3366000000001</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13807.186299999999</v>
      </c>
      <c r="D30" s="3608"/>
      <c r="E30" s="3608"/>
      <c r="F30" s="3619">
        <f>'数据-取费表'!B41</f>
        <v>5.5000000000000007E-2</v>
      </c>
      <c r="G30" s="3849" t="s">
        <v>3305</v>
      </c>
      <c r="H30" s="3850"/>
      <c r="I30" s="3850"/>
      <c r="J30" s="3850"/>
      <c r="K30" s="3851"/>
    </row>
    <row r="31" spans="1:26" s="3804" customFormat="1" ht="13.5" customHeight="1">
      <c r="A31" s="1413" t="s">
        <v>1392</v>
      </c>
      <c r="B31" s="2292" t="s">
        <v>460</v>
      </c>
      <c r="C31" s="3681">
        <f ca="1">C32</f>
        <v>66654.329899999982</v>
      </c>
      <c r="D31" s="3620">
        <f ca="1">C33</f>
        <v>0.1573</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66654.329899999982</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0.1573</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14960.642099999999</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14960.642099999999</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124089.16869999999</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algorithmName="SHA-512" hashValue="RA3uxy9GEct3kZ6oMeKVkxRDpIVLIRtkZnvp2+P1FU6uwZxqJ/Yf+vtB9eyuetmTXDK76XGdPmiuhQChGdRusw==" saltValue="URzNNKhaUfU7YIcOIUHZmA==" spinCount="100000" sheet="1" objects="1" scenarios="1" formatCells="0" formatColumns="0" formatRows="0"/>
  <phoneticPr fontId="224" type="noConversion"/>
  <dataValidations count="3">
    <dataValidation type="list" allowBlank="1" showInputMessage="1" showErrorMessage="1" sqref="G20" xr:uid="{00000000-0002-0000-1600-000000000000}">
      <formula1>"已全部缴纳,已部分缴纳"</formula1>
    </dataValidation>
    <dataValidation type="list" allowBlank="1" showInputMessage="1" showErrorMessage="1" sqref="D7:K7" xr:uid="{00000000-0002-0000-1600-000001000000}">
      <formula1>项目类型</formula1>
    </dataValidation>
    <dataValidation type="list" allowBlank="1" showInputMessage="1" showErrorMessage="1" sqref="D6" xr:uid="{00000000-0002-0000-1600-000002000000}">
      <formula1>"比价法,收益法"</formula1>
    </dataValidation>
  </dataValidations>
  <pageMargins left="0.7" right="0.7" top="0.75" bottom="0.75" header="0.3" footer="0.3"/>
  <pageSetup paperSize="9" scale="67"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A6" zoomScale="80" zoomScaleNormal="60" zoomScaleSheetLayoutView="80" workbookViewId="0">
      <selection activeCell="L15" sqref="L15"/>
    </sheetView>
  </sheetViews>
  <sheetFormatPr defaultColWidth="9" defaultRowHeight="14.25"/>
  <cols>
    <col min="1" max="1" width="10.5" style="1175" customWidth="1"/>
    <col min="2" max="2" width="15.625" style="1175" customWidth="1"/>
    <col min="3" max="3" width="26" style="1175" customWidth="1"/>
    <col min="4" max="4" width="12.125" style="1175" customWidth="1"/>
    <col min="5" max="5" width="29.875" style="1175" customWidth="1"/>
    <col min="6" max="6" width="12.125" style="1175" customWidth="1"/>
    <col min="7" max="7" width="14.5" style="1175" customWidth="1"/>
    <col min="8" max="8" width="12.125" style="1175" customWidth="1"/>
    <col min="9" max="9" width="29"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3354</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263592</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38679</v>
      </c>
      <c r="C3" s="794" t="s">
        <v>669</v>
      </c>
      <c r="D3" s="793">
        <f>SUMIF('数据-汇总表'!$C19:$C33,D1,'数据-汇总表'!$E19:$E33)</f>
        <v>68148.539999999994</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373" t="s">
        <v>471</v>
      </c>
      <c r="D4" s="4374"/>
      <c r="E4" s="4375" t="s">
        <v>472</v>
      </c>
      <c r="F4" s="4376"/>
      <c r="G4" s="4373" t="s">
        <v>473</v>
      </c>
      <c r="H4" s="4374"/>
      <c r="I4" s="4373" t="s">
        <v>474</v>
      </c>
      <c r="J4" s="4374"/>
      <c r="K4" s="795" t="s">
        <v>475</v>
      </c>
      <c r="L4" s="1822"/>
      <c r="M4" s="1823"/>
      <c r="N4" s="1823"/>
      <c r="O4" s="1823"/>
      <c r="P4" s="4377" t="s">
        <v>476</v>
      </c>
      <c r="Q4" s="4378"/>
      <c r="R4" s="4360" t="s">
        <v>472</v>
      </c>
      <c r="S4" s="4361"/>
      <c r="T4" s="4360" t="s">
        <v>473</v>
      </c>
      <c r="U4" s="4361"/>
      <c r="V4" s="4385" t="s">
        <v>474</v>
      </c>
      <c r="W4" s="4385"/>
      <c r="X4" s="1354"/>
      <c r="Y4" s="4360" t="s">
        <v>476</v>
      </c>
      <c r="Z4" s="4361"/>
      <c r="AA4" s="4355" t="s">
        <v>472</v>
      </c>
      <c r="AB4" s="4355" t="s">
        <v>473</v>
      </c>
      <c r="AC4" s="4355" t="s">
        <v>474</v>
      </c>
    </row>
    <row r="5" spans="1:29" ht="15">
      <c r="A5" s="464"/>
      <c r="B5" s="465"/>
      <c r="C5" s="4366" t="s">
        <v>2186</v>
      </c>
      <c r="D5" s="4367"/>
      <c r="E5" s="4364" t="str">
        <f>住宅案例!P2</f>
        <v>观承望溪</v>
      </c>
      <c r="F5" s="4365"/>
      <c r="G5" s="4366" t="str">
        <f>住宅案例!P3</f>
        <v>富力首开·金禧璞瑅</v>
      </c>
      <c r="H5" s="4367"/>
      <c r="I5" s="4366" t="str">
        <f>住宅案例!P5</f>
        <v>招商中建·顺义臻珑府</v>
      </c>
      <c r="J5" s="4367"/>
      <c r="K5" s="796"/>
      <c r="L5" s="1822"/>
      <c r="M5" s="1823"/>
      <c r="N5" s="1823"/>
      <c r="O5" s="1823"/>
      <c r="P5" s="4379"/>
      <c r="Q5" s="4380"/>
      <c r="R5" s="4362"/>
      <c r="S5" s="4363"/>
      <c r="T5" s="4362"/>
      <c r="U5" s="4363"/>
      <c r="V5" s="4385"/>
      <c r="W5" s="4385"/>
      <c r="X5" s="1354"/>
      <c r="Y5" s="4362"/>
      <c r="Z5" s="4363"/>
      <c r="AA5" s="4356"/>
      <c r="AB5" s="4356"/>
      <c r="AC5" s="4356"/>
    </row>
    <row r="6" spans="1:29" ht="15.75" thickBot="1">
      <c r="A6" s="466"/>
      <c r="B6" s="467"/>
      <c r="C6" s="4368" t="s">
        <v>2190</v>
      </c>
      <c r="D6" s="4369"/>
      <c r="E6" s="4370" t="s">
        <v>2190</v>
      </c>
      <c r="F6" s="4371"/>
      <c r="G6" s="4368" t="s">
        <v>2190</v>
      </c>
      <c r="H6" s="4369"/>
      <c r="I6" s="4368" t="s">
        <v>2190</v>
      </c>
      <c r="J6" s="4369"/>
      <c r="K6" s="796" t="s">
        <v>477</v>
      </c>
      <c r="L6" s="1822"/>
      <c r="M6" s="1823"/>
      <c r="N6" s="1823"/>
      <c r="O6" s="1823"/>
      <c r="P6" s="4381"/>
      <c r="Q6" s="4382"/>
      <c r="R6" s="4362"/>
      <c r="S6" s="4363"/>
      <c r="T6" s="4383"/>
      <c r="U6" s="4384"/>
      <c r="V6" s="4385"/>
      <c r="W6" s="4385"/>
      <c r="X6" s="1354"/>
      <c r="Y6" s="4383"/>
      <c r="Z6" s="4384"/>
      <c r="AA6" s="4357"/>
      <c r="AB6" s="4357"/>
      <c r="AC6" s="4357"/>
    </row>
    <row r="7" spans="1:29" s="1095" customFormat="1" ht="15.75" thickBot="1">
      <c r="A7" s="2340"/>
      <c r="B7" s="2347" t="s">
        <v>478</v>
      </c>
      <c r="C7" s="468">
        <f>'数据-取费表'!B2</f>
        <v>45052</v>
      </c>
      <c r="D7" s="469">
        <v>100</v>
      </c>
      <c r="E7" s="470" t="str">
        <f>住宅案例!Q12</f>
        <v>2023-01</v>
      </c>
      <c r="F7" s="471">
        <f>SUMIF(58:58,YEAR(E7)&amp;"-"&amp;MONTH(E7),59:59)</f>
        <v>100</v>
      </c>
      <c r="G7" s="472" t="str">
        <f>住宅案例!Q18</f>
        <v>2023-02</v>
      </c>
      <c r="H7" s="469">
        <f>SUMIF(58:58,YEAR(G7)&amp;"-"&amp;MONTH(G7),59:59)</f>
        <v>100</v>
      </c>
      <c r="I7" s="472" t="str">
        <f>住宅案例!Q31</f>
        <v>2023-04</v>
      </c>
      <c r="J7" s="469">
        <f>SUMIF(58:58,YEAR(I7)&amp;"-"&amp;MONTH(I7),59:59)</f>
        <v>100</v>
      </c>
      <c r="K7" s="797"/>
      <c r="L7" s="1824"/>
      <c r="M7" s="1825"/>
      <c r="N7" s="1825"/>
      <c r="O7" s="1825"/>
      <c r="P7" s="4358" t="s">
        <v>479</v>
      </c>
      <c r="Q7" s="4386"/>
      <c r="R7" s="1355" t="s">
        <v>10</v>
      </c>
      <c r="S7" s="1356">
        <f t="shared" ref="S7:S15" si="0">F7</f>
        <v>100</v>
      </c>
      <c r="T7" s="1355" t="s">
        <v>10</v>
      </c>
      <c r="U7" s="1356">
        <f t="shared" ref="U7:U15" si="1">H7</f>
        <v>100</v>
      </c>
      <c r="V7" s="1355" t="s">
        <v>10</v>
      </c>
      <c r="W7" s="1356">
        <f t="shared" ref="W7:W15" si="2">J7</f>
        <v>100</v>
      </c>
      <c r="X7" s="1357"/>
      <c r="Y7" s="4358" t="s">
        <v>479</v>
      </c>
      <c r="Z7" s="4359"/>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358" t="s">
        <v>482</v>
      </c>
      <c r="Q8" s="4359"/>
      <c r="R8" s="1355" t="s">
        <v>10</v>
      </c>
      <c r="S8" s="1356">
        <f t="shared" si="0"/>
        <v>100</v>
      </c>
      <c r="T8" s="1355" t="s">
        <v>10</v>
      </c>
      <c r="U8" s="1356">
        <f t="shared" si="1"/>
        <v>100</v>
      </c>
      <c r="V8" s="1355" t="s">
        <v>10</v>
      </c>
      <c r="W8" s="1356">
        <f t="shared" si="2"/>
        <v>100</v>
      </c>
      <c r="X8" s="1357"/>
      <c r="Y8" s="4358" t="s">
        <v>482</v>
      </c>
      <c r="Z8" s="4359"/>
      <c r="AA8" s="1358">
        <f t="shared" ref="AA8:AA46" si="3">D8/F8</f>
        <v>1</v>
      </c>
      <c r="AB8" s="1358">
        <f t="shared" ref="AB8:AB46" si="4">D8/H8</f>
        <v>1</v>
      </c>
      <c r="AC8" s="1358">
        <f t="shared" ref="AC8:AC46" si="5">D8/J8</f>
        <v>1</v>
      </c>
    </row>
    <row r="9" spans="1:29" s="1095" customFormat="1" ht="15">
      <c r="A9" s="2342"/>
      <c r="B9" s="2349" t="s">
        <v>2036</v>
      </c>
      <c r="C9" s="4007" t="s">
        <v>3420</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372" t="s">
        <v>484</v>
      </c>
      <c r="Q9" s="1027" t="str">
        <f t="shared" ref="Q9:Q15" si="6">B9</f>
        <v>用途</v>
      </c>
      <c r="R9" s="1355" t="s">
        <v>5</v>
      </c>
      <c r="S9" s="1356">
        <f t="shared" si="0"/>
        <v>100</v>
      </c>
      <c r="T9" s="1355" t="s">
        <v>5</v>
      </c>
      <c r="U9" s="1356">
        <f t="shared" si="1"/>
        <v>100</v>
      </c>
      <c r="V9" s="1355" t="s">
        <v>5</v>
      </c>
      <c r="W9" s="1356">
        <f t="shared" si="2"/>
        <v>100</v>
      </c>
      <c r="X9" s="1357"/>
      <c r="Y9" s="4304"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4"/>
      <c r="B11" s="2348" t="s">
        <v>2038</v>
      </c>
      <c r="C11" s="482">
        <f>'数据-汇总表'!I7</f>
        <v>1.2</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97.5</v>
      </c>
      <c r="K11" s="804">
        <v>2.5</v>
      </c>
      <c r="L11" s="1829"/>
      <c r="M11" s="1823"/>
      <c r="N11" s="1823"/>
      <c r="O11" s="1830"/>
      <c r="P11" s="4372"/>
      <c r="Q11" s="1027" t="str">
        <f t="shared" si="6"/>
        <v>容积率</v>
      </c>
      <c r="R11" s="1355" t="s">
        <v>8</v>
      </c>
      <c r="S11" s="1356">
        <f t="shared" si="0"/>
        <v>100</v>
      </c>
      <c r="T11" s="1355" t="s">
        <v>8</v>
      </c>
      <c r="U11" s="1356">
        <f t="shared" si="1"/>
        <v>100</v>
      </c>
      <c r="V11" s="1355" t="s">
        <v>8</v>
      </c>
      <c r="W11" s="1356">
        <f t="shared" si="2"/>
        <v>97.5</v>
      </c>
      <c r="X11" s="1357"/>
      <c r="Y11" s="4304"/>
      <c r="Z11" s="1026" t="str">
        <f t="shared" si="7"/>
        <v>容积率</v>
      </c>
      <c r="AA11" s="1358">
        <f t="shared" si="3"/>
        <v>1</v>
      </c>
      <c r="AB11" s="1358">
        <f t="shared" si="4"/>
        <v>1</v>
      </c>
      <c r="AC11" s="1358">
        <f t="shared" si="5"/>
        <v>1.0256410256410255</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372"/>
      <c r="Q12" s="1027">
        <f t="shared" si="6"/>
        <v>111</v>
      </c>
      <c r="R12" s="1355" t="s">
        <v>8</v>
      </c>
      <c r="S12" s="1356">
        <f t="shared" si="0"/>
        <v>100</v>
      </c>
      <c r="T12" s="1355" t="s">
        <v>8</v>
      </c>
      <c r="U12" s="1356">
        <f t="shared" si="1"/>
        <v>100</v>
      </c>
      <c r="V12" s="1355" t="s">
        <v>8</v>
      </c>
      <c r="W12" s="1356">
        <f t="shared" si="2"/>
        <v>100</v>
      </c>
      <c r="X12" s="1357"/>
      <c r="Y12" s="4304"/>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372"/>
      <c r="Q13" s="1027">
        <f t="shared" si="6"/>
        <v>111</v>
      </c>
      <c r="R13" s="1355" t="s">
        <v>8</v>
      </c>
      <c r="S13" s="1356">
        <f t="shared" si="0"/>
        <v>100</v>
      </c>
      <c r="T13" s="1355" t="s">
        <v>8</v>
      </c>
      <c r="U13" s="1356">
        <f t="shared" si="1"/>
        <v>100</v>
      </c>
      <c r="V13" s="1355" t="s">
        <v>8</v>
      </c>
      <c r="W13" s="1356">
        <f t="shared" si="2"/>
        <v>100</v>
      </c>
      <c r="X13" s="1357"/>
      <c r="Y13" s="4304"/>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372"/>
      <c r="Q14" s="1027">
        <f t="shared" si="6"/>
        <v>111</v>
      </c>
      <c r="R14" s="1355" t="s">
        <v>8</v>
      </c>
      <c r="S14" s="1356">
        <f t="shared" si="0"/>
        <v>100</v>
      </c>
      <c r="T14" s="1355" t="s">
        <v>8</v>
      </c>
      <c r="U14" s="1356">
        <f t="shared" si="1"/>
        <v>100</v>
      </c>
      <c r="V14" s="1355" t="s">
        <v>8</v>
      </c>
      <c r="W14" s="1356">
        <f t="shared" si="2"/>
        <v>100</v>
      </c>
      <c r="X14" s="1357"/>
      <c r="Y14" s="4304"/>
      <c r="Z14" s="1026">
        <f t="shared" si="7"/>
        <v>111</v>
      </c>
      <c r="AA14" s="1358">
        <f t="shared" si="3"/>
        <v>1</v>
      </c>
      <c r="AB14" s="1358">
        <f t="shared" si="4"/>
        <v>1</v>
      </c>
      <c r="AC14" s="1358">
        <f t="shared" si="5"/>
        <v>1</v>
      </c>
    </row>
    <row r="15" spans="1:29" ht="86.25" customHeight="1">
      <c r="A15" s="2338" t="s">
        <v>2034</v>
      </c>
      <c r="B15" s="158" t="s">
        <v>261</v>
      </c>
      <c r="C15" s="4058" t="str">
        <f>估价对象房地状况!C3</f>
        <v>估价对象周边2公里范围内有丽喜花园、东君府、moma万万树、壹号东临院等社区，居住小区规模和社区发展完善程度较完善，综合评价居住社区成熟度一般</v>
      </c>
      <c r="D15" s="498">
        <v>100</v>
      </c>
      <c r="E15" s="4059" t="s">
        <v>3458</v>
      </c>
      <c r="F15" s="500">
        <f>SUMIF(76:76,E16,77:77)-SUMIF(76:76,C16,77:77)+100</f>
        <v>103</v>
      </c>
      <c r="G15" s="4060"/>
      <c r="H15" s="498">
        <f>SUMIF(76:76,G16,77:77)-SUMIF(76:76,C16,77:77)+100</f>
        <v>100</v>
      </c>
      <c r="I15" s="4059" t="s">
        <v>3461</v>
      </c>
      <c r="J15" s="498">
        <f>SUMIF(76:76,I16,77:77)-SUMIF(76:76,C16,77:77)+100</f>
        <v>103</v>
      </c>
      <c r="K15" s="808">
        <v>3</v>
      </c>
      <c r="L15" s="1831">
        <f ca="1">土储要求测算表!J16</f>
        <v>15196</v>
      </c>
      <c r="M15" s="1823"/>
      <c r="N15" s="1823"/>
      <c r="O15" s="1830"/>
      <c r="P15" s="4391" t="s">
        <v>489</v>
      </c>
      <c r="Q15" s="1359" t="str">
        <f t="shared" si="6"/>
        <v>居住社区成熟度</v>
      </c>
      <c r="R15" s="1360" t="s">
        <v>8</v>
      </c>
      <c r="S15" s="1361">
        <f t="shared" si="0"/>
        <v>103</v>
      </c>
      <c r="T15" s="1360" t="s">
        <v>8</v>
      </c>
      <c r="U15" s="1361">
        <f t="shared" si="1"/>
        <v>100</v>
      </c>
      <c r="V15" s="1360" t="s">
        <v>8</v>
      </c>
      <c r="W15" s="1361">
        <f t="shared" si="2"/>
        <v>103</v>
      </c>
      <c r="X15" s="1354"/>
      <c r="Y15" s="4391" t="s">
        <v>489</v>
      </c>
      <c r="Z15" s="1362" t="str">
        <f t="shared" si="7"/>
        <v>居住社区成熟度</v>
      </c>
      <c r="AA15" s="1363">
        <f t="shared" si="3"/>
        <v>0.970873786407767</v>
      </c>
      <c r="AB15" s="1363">
        <f t="shared" si="4"/>
        <v>1</v>
      </c>
      <c r="AC15" s="1363">
        <f t="shared" si="5"/>
        <v>0.970873786407767</v>
      </c>
    </row>
    <row r="16" spans="1:29" ht="15.75" thickBot="1">
      <c r="A16" s="481"/>
      <c r="B16" s="809"/>
      <c r="C16" s="525" t="s">
        <v>3341</v>
      </c>
      <c r="D16" s="504"/>
      <c r="E16" s="505" t="s">
        <v>3342</v>
      </c>
      <c r="F16" s="506"/>
      <c r="G16" s="505" t="s">
        <v>3341</v>
      </c>
      <c r="H16" s="508"/>
      <c r="I16" s="525" t="s">
        <v>3342</v>
      </c>
      <c r="J16" s="504"/>
      <c r="K16" s="810"/>
      <c r="L16" s="1831"/>
      <c r="M16" s="1823"/>
      <c r="N16" s="1823"/>
      <c r="O16" s="1830"/>
      <c r="P16" s="4392"/>
      <c r="Q16" s="1359"/>
      <c r="R16" s="1360"/>
      <c r="S16" s="1361"/>
      <c r="T16" s="1360"/>
      <c r="U16" s="1361"/>
      <c r="V16" s="1360"/>
      <c r="W16" s="1361"/>
      <c r="X16" s="1354"/>
      <c r="Y16" s="4392"/>
      <c r="Z16" s="1362"/>
      <c r="AA16" s="1363">
        <v>1</v>
      </c>
      <c r="AB16" s="1363">
        <v>1</v>
      </c>
      <c r="AC16" s="1363">
        <v>1</v>
      </c>
    </row>
    <row r="17" spans="1:29" ht="84.75" customHeight="1">
      <c r="A17" s="481"/>
      <c r="B17" s="811" t="s">
        <v>262</v>
      </c>
      <c r="C17" s="4058"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61" t="s">
        <v>3459</v>
      </c>
      <c r="F17" s="512">
        <f>SUMIF(78:78,E18,79:79)-SUMIF(78:78,C18,79:79)+100</f>
        <v>103</v>
      </c>
      <c r="G17" s="4062"/>
      <c r="H17" s="514">
        <f>SUMIF(78:78,G18,79:79)-SUMIF(78:78,C18,79:79)+100</f>
        <v>103</v>
      </c>
      <c r="I17" s="4061" t="s">
        <v>3462</v>
      </c>
      <c r="J17" s="514">
        <f>SUMIF(78:78,I18,79:79)-SUMIF(78:78,C18,79:79)+100</f>
        <v>103</v>
      </c>
      <c r="K17" s="808">
        <v>3</v>
      </c>
      <c r="L17" s="1831"/>
      <c r="M17" s="1823"/>
      <c r="N17" s="1823"/>
      <c r="O17" s="1830"/>
      <c r="P17" s="4392"/>
      <c r="Q17" s="1359" t="str">
        <f>B17</f>
        <v>交通便捷度</v>
      </c>
      <c r="R17" s="1360" t="s">
        <v>8</v>
      </c>
      <c r="S17" s="1361">
        <f>F17</f>
        <v>103</v>
      </c>
      <c r="T17" s="1360" t="s">
        <v>8</v>
      </c>
      <c r="U17" s="1361">
        <f>H17</f>
        <v>103</v>
      </c>
      <c r="V17" s="1360" t="s">
        <v>8</v>
      </c>
      <c r="W17" s="1361">
        <f>J17</f>
        <v>103</v>
      </c>
      <c r="X17" s="1354"/>
      <c r="Y17" s="4392"/>
      <c r="Z17" s="1362" t="str">
        <f>Q17</f>
        <v>交通便捷度</v>
      </c>
      <c r="AA17" s="1363">
        <f t="shared" si="3"/>
        <v>0.970873786407767</v>
      </c>
      <c r="AB17" s="1363">
        <f t="shared" si="4"/>
        <v>0.970873786407767</v>
      </c>
      <c r="AC17" s="1363">
        <f t="shared" si="5"/>
        <v>0.970873786407767</v>
      </c>
    </row>
    <row r="18" spans="1:29" ht="15.75" thickBot="1">
      <c r="A18" s="481"/>
      <c r="B18" s="544"/>
      <c r="C18" s="4068" t="s">
        <v>3437</v>
      </c>
      <c r="D18" s="508"/>
      <c r="E18" s="505" t="s">
        <v>3341</v>
      </c>
      <c r="F18" s="512"/>
      <c r="G18" s="505" t="s">
        <v>3341</v>
      </c>
      <c r="H18" s="504"/>
      <c r="I18" s="525" t="s">
        <v>3341</v>
      </c>
      <c r="J18" s="504"/>
      <c r="K18" s="810"/>
      <c r="L18" s="1831"/>
      <c r="M18" s="1823"/>
      <c r="N18" s="1823"/>
      <c r="O18" s="1830"/>
      <c r="P18" s="4392"/>
      <c r="Q18" s="1359"/>
      <c r="R18" s="1360"/>
      <c r="S18" s="1361"/>
      <c r="T18" s="1360"/>
      <c r="U18" s="1361"/>
      <c r="V18" s="1360"/>
      <c r="W18" s="1361"/>
      <c r="X18" s="1354"/>
      <c r="Y18" s="4392"/>
      <c r="Z18" s="1362"/>
      <c r="AA18" s="1363">
        <v>1</v>
      </c>
      <c r="AB18" s="1363">
        <v>1</v>
      </c>
      <c r="AC18" s="1363">
        <v>1</v>
      </c>
    </row>
    <row r="19" spans="1:29" ht="156.75" customHeight="1">
      <c r="A19" s="481"/>
      <c r="B19" s="2172" t="s">
        <v>1827</v>
      </c>
      <c r="C19" s="4058"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61" t="s">
        <v>3460</v>
      </c>
      <c r="F19" s="520">
        <f>SUMIF(80:80,E20,81:81)-SUMIF(80:80,C20,81:81)+100</f>
        <v>100</v>
      </c>
      <c r="G19" s="4064"/>
      <c r="H19" s="508">
        <f>SUMIF(80:80,G20,81:81)-SUMIF(80:80,C20,81:81)+100</f>
        <v>100</v>
      </c>
      <c r="I19" s="4061" t="s">
        <v>3472</v>
      </c>
      <c r="J19" s="508">
        <f>SUMIF(80:80,I20,81:81)-SUMIF(80:80,C20,81:81)+100</f>
        <v>102</v>
      </c>
      <c r="K19" s="808">
        <v>2</v>
      </c>
      <c r="L19" s="1831"/>
      <c r="M19" s="1823"/>
      <c r="N19" s="1823"/>
      <c r="O19" s="1830"/>
      <c r="P19" s="4392"/>
      <c r="Q19" s="1359" t="str">
        <f>B19</f>
        <v>公共配套设施</v>
      </c>
      <c r="R19" s="1360" t="s">
        <v>8</v>
      </c>
      <c r="S19" s="1361">
        <f>F19</f>
        <v>100</v>
      </c>
      <c r="T19" s="1360" t="s">
        <v>8</v>
      </c>
      <c r="U19" s="1361">
        <f>H19</f>
        <v>100</v>
      </c>
      <c r="V19" s="1360" t="s">
        <v>8</v>
      </c>
      <c r="W19" s="1361">
        <f>J19</f>
        <v>102</v>
      </c>
      <c r="X19" s="1354"/>
      <c r="Y19" s="4392"/>
      <c r="Z19" s="1362" t="str">
        <f>Q19</f>
        <v>公共配套设施</v>
      </c>
      <c r="AA19" s="1363">
        <f t="shared" si="3"/>
        <v>1</v>
      </c>
      <c r="AB19" s="1363">
        <f t="shared" si="4"/>
        <v>1</v>
      </c>
      <c r="AC19" s="1363">
        <f t="shared" si="5"/>
        <v>0.98039215686274506</v>
      </c>
    </row>
    <row r="20" spans="1:29" ht="15.75" thickBot="1">
      <c r="A20" s="481"/>
      <c r="B20" s="544"/>
      <c r="C20" s="525" t="s">
        <v>3341</v>
      </c>
      <c r="D20" s="504"/>
      <c r="E20" s="525" t="s">
        <v>3341</v>
      </c>
      <c r="F20" s="506"/>
      <c r="G20" s="525" t="s">
        <v>3341</v>
      </c>
      <c r="H20" s="504"/>
      <c r="I20" s="525" t="s">
        <v>3342</v>
      </c>
      <c r="J20" s="504"/>
      <c r="K20" s="810"/>
      <c r="L20" s="1831"/>
      <c r="M20" s="1823"/>
      <c r="N20" s="1823"/>
      <c r="O20" s="1830"/>
      <c r="P20" s="4392"/>
      <c r="Q20" s="1359"/>
      <c r="R20" s="1360"/>
      <c r="S20" s="1361"/>
      <c r="T20" s="1360"/>
      <c r="U20" s="1361"/>
      <c r="V20" s="1360"/>
      <c r="W20" s="1361"/>
      <c r="X20" s="1354"/>
      <c r="Y20" s="4392"/>
      <c r="Z20" s="1362"/>
      <c r="AA20" s="1363">
        <v>1</v>
      </c>
      <c r="AB20" s="1363">
        <v>1</v>
      </c>
      <c r="AC20" s="1363">
        <v>1</v>
      </c>
    </row>
    <row r="21" spans="1:29" ht="32.25" customHeight="1">
      <c r="A21" s="481"/>
      <c r="B21" s="2165" t="s">
        <v>1839</v>
      </c>
      <c r="C21" s="4058" t="str">
        <f>估价对象房地状况!C8</f>
        <v>估价对象所在区域基础设施水平</v>
      </c>
      <c r="D21" s="514">
        <v>100</v>
      </c>
      <c r="E21" s="4064"/>
      <c r="F21" s="520">
        <f>SUMIF(82:82,E22,83:83)-SUMIF(82:82,C22,83:83)+100</f>
        <v>100</v>
      </c>
      <c r="G21" s="4064"/>
      <c r="H21" s="514">
        <f>SUMIF(82:82,G22,83:83)-SUMIF(82:82,C22,83:83)+100</f>
        <v>100</v>
      </c>
      <c r="I21" s="4063"/>
      <c r="J21" s="514">
        <f>SUMIF(82:82,I22,83:83)-SUMIF(82:82,C22,83:83)+100</f>
        <v>100</v>
      </c>
      <c r="K21" s="808">
        <v>1</v>
      </c>
      <c r="L21" s="1831"/>
      <c r="M21" s="1823"/>
      <c r="N21" s="1823"/>
      <c r="O21" s="1830"/>
      <c r="P21" s="4392"/>
      <c r="Q21" s="2157" t="str">
        <f>B21</f>
        <v>基础设施水平</v>
      </c>
      <c r="R21" s="1360" t="s">
        <v>8</v>
      </c>
      <c r="S21" s="1361">
        <f>F21</f>
        <v>100</v>
      </c>
      <c r="T21" s="1360" t="s">
        <v>8</v>
      </c>
      <c r="U21" s="1361">
        <f>H21</f>
        <v>100</v>
      </c>
      <c r="V21" s="1360" t="s">
        <v>8</v>
      </c>
      <c r="W21" s="1361">
        <f>J21</f>
        <v>100</v>
      </c>
      <c r="X21" s="2159"/>
      <c r="Y21" s="4392"/>
      <c r="Z21" s="2158" t="str">
        <f>Q21</f>
        <v>基础设施水平</v>
      </c>
      <c r="AA21" s="1363">
        <f>D21/F21</f>
        <v>1</v>
      </c>
      <c r="AB21" s="1363">
        <f>D21/H21</f>
        <v>1</v>
      </c>
      <c r="AC21" s="1363">
        <f>D21/J21</f>
        <v>1</v>
      </c>
    </row>
    <row r="22" spans="1:29" ht="15.75" customHeight="1" thickBot="1">
      <c r="A22" s="481"/>
      <c r="B22" s="862"/>
      <c r="C22" s="813" t="s">
        <v>3438</v>
      </c>
      <c r="D22" s="504"/>
      <c r="E22" s="813" t="s">
        <v>3438</v>
      </c>
      <c r="F22" s="506"/>
      <c r="G22" s="813" t="s">
        <v>3438</v>
      </c>
      <c r="H22" s="504"/>
      <c r="I22" s="813" t="s">
        <v>3438</v>
      </c>
      <c r="J22" s="504"/>
      <c r="K22" s="2171"/>
      <c r="L22" s="1831"/>
      <c r="M22" s="1823"/>
      <c r="N22" s="1823"/>
      <c r="O22" s="1830"/>
      <c r="P22" s="4392"/>
      <c r="Q22" s="2157"/>
      <c r="R22" s="1360"/>
      <c r="S22" s="1361"/>
      <c r="T22" s="1360"/>
      <c r="U22" s="1361"/>
      <c r="V22" s="1360"/>
      <c r="W22" s="1361"/>
      <c r="X22" s="2159"/>
      <c r="Y22" s="4392"/>
      <c r="Z22" s="2158"/>
      <c r="AA22" s="1363">
        <v>1</v>
      </c>
      <c r="AB22" s="1363">
        <v>1</v>
      </c>
      <c r="AC22" s="1363">
        <v>1</v>
      </c>
    </row>
    <row r="23" spans="1:29" ht="45" customHeight="1">
      <c r="A23" s="481"/>
      <c r="B23" s="811" t="s">
        <v>263</v>
      </c>
      <c r="C23" s="4058" t="str">
        <f>估价对象房地状况!C9</f>
        <v>区域自然环境：南郎中休闲公园、方氏渠；无人文环境；综合评价环境状况一般</v>
      </c>
      <c r="D23" s="508">
        <v>100</v>
      </c>
      <c r="E23" s="4065" t="s">
        <v>3463</v>
      </c>
      <c r="F23" s="512">
        <f>SUMIF(84:84,E24,85:85)-SUMIF(84:84,C24,85:85)+100</f>
        <v>102</v>
      </c>
      <c r="G23" s="4079"/>
      <c r="H23" s="4080">
        <f>SUMIF(84:84,G24,85:85)-SUMIF(84:84,C24,85:85)+100</f>
        <v>98</v>
      </c>
      <c r="I23" s="4065" t="s">
        <v>3464</v>
      </c>
      <c r="J23" s="508">
        <f>SUMIF(84:84,I24,85:85)-SUMIF(84:84,C24,85:85)+100</f>
        <v>104</v>
      </c>
      <c r="K23" s="808">
        <v>2</v>
      </c>
      <c r="L23" s="1831"/>
      <c r="M23" s="1823"/>
      <c r="N23" s="1823"/>
      <c r="O23" s="1830"/>
      <c r="P23" s="4392"/>
      <c r="Q23" s="1359" t="str">
        <f>B23</f>
        <v>自然及人文环境</v>
      </c>
      <c r="R23" s="1360" t="s">
        <v>8</v>
      </c>
      <c r="S23" s="1361">
        <f>F23</f>
        <v>102</v>
      </c>
      <c r="T23" s="1360" t="s">
        <v>8</v>
      </c>
      <c r="U23" s="1361">
        <f>H23</f>
        <v>98</v>
      </c>
      <c r="V23" s="1360" t="s">
        <v>8</v>
      </c>
      <c r="W23" s="1361">
        <f>J23</f>
        <v>104</v>
      </c>
      <c r="X23" s="1354"/>
      <c r="Y23" s="4392"/>
      <c r="Z23" s="1362" t="str">
        <f>Q23</f>
        <v>自然及人文环境</v>
      </c>
      <c r="AA23" s="1363">
        <f t="shared" si="3"/>
        <v>0.98039215686274506</v>
      </c>
      <c r="AB23" s="1363">
        <f t="shared" si="4"/>
        <v>1.0204081632653061</v>
      </c>
      <c r="AC23" s="1363">
        <f t="shared" si="5"/>
        <v>0.96153846153846156</v>
      </c>
    </row>
    <row r="24" spans="1:29" ht="15">
      <c r="A24" s="481"/>
      <c r="B24" s="544"/>
      <c r="C24" s="525" t="s">
        <v>3341</v>
      </c>
      <c r="D24" s="504"/>
      <c r="E24" s="505" t="s">
        <v>3342</v>
      </c>
      <c r="F24" s="506"/>
      <c r="G24" s="507" t="s">
        <v>3437</v>
      </c>
      <c r="H24" s="504"/>
      <c r="I24" s="507" t="s">
        <v>3343</v>
      </c>
      <c r="J24" s="504"/>
      <c r="K24" s="810"/>
      <c r="L24" s="1831"/>
      <c r="M24" s="1823"/>
      <c r="N24" s="1823"/>
      <c r="O24" s="1830"/>
      <c r="P24" s="4392"/>
      <c r="Q24" s="1359"/>
      <c r="R24" s="1360"/>
      <c r="S24" s="1361"/>
      <c r="T24" s="1360"/>
      <c r="U24" s="1361"/>
      <c r="V24" s="1360"/>
      <c r="W24" s="1361"/>
      <c r="X24" s="1354"/>
      <c r="Y24" s="4392"/>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92"/>
      <c r="Q25" s="1359" t="str">
        <f t="shared" ref="Q25:Q46" si="8">B25</f>
        <v>楼层-1</v>
      </c>
      <c r="R25" s="1360" t="s">
        <v>8</v>
      </c>
      <c r="S25" s="1361">
        <f>F25</f>
        <v>100</v>
      </c>
      <c r="T25" s="1360" t="s">
        <v>8</v>
      </c>
      <c r="U25" s="1361">
        <f>H25</f>
        <v>100</v>
      </c>
      <c r="V25" s="1360" t="s">
        <v>8</v>
      </c>
      <c r="W25" s="1361">
        <f>J25</f>
        <v>100</v>
      </c>
      <c r="X25" s="1354"/>
      <c r="Y25" s="4392"/>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92"/>
      <c r="Q26" s="1359" t="str">
        <f t="shared" si="8"/>
        <v>朝向</v>
      </c>
      <c r="R26" s="1360" t="s">
        <v>8</v>
      </c>
      <c r="S26" s="1361">
        <f>F26</f>
        <v>100</v>
      </c>
      <c r="T26" s="1360" t="s">
        <v>8</v>
      </c>
      <c r="U26" s="1361">
        <f>H26</f>
        <v>100</v>
      </c>
      <c r="V26" s="1360" t="s">
        <v>8</v>
      </c>
      <c r="W26" s="1361">
        <f>J26</f>
        <v>100</v>
      </c>
      <c r="X26" s="1354"/>
      <c r="Y26" s="4392"/>
      <c r="Z26" s="1362" t="str">
        <f>Q26</f>
        <v>朝向</v>
      </c>
      <c r="AA26" s="1363">
        <f t="shared" si="3"/>
        <v>1</v>
      </c>
      <c r="AB26" s="1363">
        <f t="shared" si="4"/>
        <v>1</v>
      </c>
      <c r="AC26" s="1363">
        <f t="shared" si="5"/>
        <v>1</v>
      </c>
    </row>
    <row r="27" spans="1:29" s="1095" customFormat="1" ht="27.75">
      <c r="A27" s="485"/>
      <c r="B27" s="486" t="s">
        <v>671</v>
      </c>
      <c r="C27" s="4042" t="s">
        <v>3425</v>
      </c>
      <c r="D27" s="815">
        <v>100</v>
      </c>
      <c r="E27" s="4013" t="s">
        <v>3426</v>
      </c>
      <c r="F27" s="816">
        <f>SUMIF(90:90,E27,91:91)-SUMIF(90:90,C27,91:91)+100</f>
        <v>99</v>
      </c>
      <c r="G27" s="4013" t="s">
        <v>3427</v>
      </c>
      <c r="H27" s="815">
        <f>SUMIF(90:90,G27,91:91)-SUMIF(90:90,C27,91:91)+100</f>
        <v>99</v>
      </c>
      <c r="I27" s="4042" t="s">
        <v>3428</v>
      </c>
      <c r="J27" s="815">
        <f>SUMIF(90:90,I27,91:91)-SUMIF(90:90,C27,91:91)+100</f>
        <v>100</v>
      </c>
      <c r="K27" s="805"/>
      <c r="L27" s="1824"/>
      <c r="M27" s="1825"/>
      <c r="N27" s="1825"/>
      <c r="O27" s="1826"/>
      <c r="P27" s="4392"/>
      <c r="Q27" s="1027" t="str">
        <f t="shared" si="8"/>
        <v>道路级别</v>
      </c>
      <c r="R27" s="1355" t="s">
        <v>8</v>
      </c>
      <c r="S27" s="1356">
        <f>F27</f>
        <v>99</v>
      </c>
      <c r="T27" s="1355" t="s">
        <v>8</v>
      </c>
      <c r="U27" s="1356">
        <f>H27</f>
        <v>99</v>
      </c>
      <c r="V27" s="1355" t="s">
        <v>8</v>
      </c>
      <c r="W27" s="1356">
        <f>J27</f>
        <v>100</v>
      </c>
      <c r="X27" s="1357"/>
      <c r="Y27" s="4392"/>
      <c r="Z27" s="1026" t="str">
        <f>Q27</f>
        <v>道路级别</v>
      </c>
      <c r="AA27" s="1363">
        <f>D27/F27</f>
        <v>1.0101010101010102</v>
      </c>
      <c r="AB27" s="1363">
        <f>D27/H27</f>
        <v>1.0101010101010102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92"/>
      <c r="Q28" s="1359">
        <f t="shared" si="8"/>
        <v>111</v>
      </c>
      <c r="R28" s="1360" t="s">
        <v>8</v>
      </c>
      <c r="S28" s="1361">
        <f t="shared" ref="S28:S46" si="9">F28</f>
        <v>100</v>
      </c>
      <c r="T28" s="1360" t="s">
        <v>8</v>
      </c>
      <c r="U28" s="1361">
        <f t="shared" ref="U28:U46" si="10">H28</f>
        <v>100</v>
      </c>
      <c r="V28" s="1360" t="s">
        <v>8</v>
      </c>
      <c r="W28" s="1361">
        <f t="shared" ref="W28:W46" si="11">J28</f>
        <v>100</v>
      </c>
      <c r="X28" s="1354"/>
      <c r="Y28" s="4392"/>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92"/>
      <c r="Q29" s="1359">
        <f t="shared" si="8"/>
        <v>111</v>
      </c>
      <c r="R29" s="1360" t="s">
        <v>8</v>
      </c>
      <c r="S29" s="1361">
        <f t="shared" si="9"/>
        <v>100</v>
      </c>
      <c r="T29" s="1360" t="s">
        <v>8</v>
      </c>
      <c r="U29" s="1361">
        <f t="shared" si="10"/>
        <v>100</v>
      </c>
      <c r="V29" s="1360" t="s">
        <v>8</v>
      </c>
      <c r="W29" s="1361">
        <f t="shared" si="11"/>
        <v>100</v>
      </c>
      <c r="X29" s="1354"/>
      <c r="Y29" s="4392"/>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92"/>
      <c r="Q30" s="1359">
        <f t="shared" si="8"/>
        <v>111</v>
      </c>
      <c r="R30" s="1360" t="s">
        <v>8</v>
      </c>
      <c r="S30" s="1361">
        <f t="shared" si="9"/>
        <v>100</v>
      </c>
      <c r="T30" s="1360" t="s">
        <v>8</v>
      </c>
      <c r="U30" s="1361">
        <f t="shared" si="10"/>
        <v>100</v>
      </c>
      <c r="V30" s="1360" t="s">
        <v>8</v>
      </c>
      <c r="W30" s="1361">
        <f t="shared" si="11"/>
        <v>100</v>
      </c>
      <c r="X30" s="1354"/>
      <c r="Y30" s="4392"/>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92"/>
      <c r="Q31" s="1359">
        <f t="shared" si="8"/>
        <v>111</v>
      </c>
      <c r="R31" s="1360" t="s">
        <v>8</v>
      </c>
      <c r="S31" s="1361">
        <f t="shared" si="9"/>
        <v>100</v>
      </c>
      <c r="T31" s="1360" t="s">
        <v>8</v>
      </c>
      <c r="U31" s="1361">
        <f t="shared" si="10"/>
        <v>100</v>
      </c>
      <c r="V31" s="1360" t="s">
        <v>8</v>
      </c>
      <c r="W31" s="1361">
        <f t="shared" si="11"/>
        <v>100</v>
      </c>
      <c r="X31" s="1354"/>
      <c r="Y31" s="4392"/>
      <c r="Z31" s="1362">
        <f t="shared" si="12"/>
        <v>111</v>
      </c>
      <c r="AA31" s="1363">
        <f t="shared" si="3"/>
        <v>1</v>
      </c>
      <c r="AB31" s="1363">
        <f t="shared" si="4"/>
        <v>1</v>
      </c>
      <c r="AC31" s="1363">
        <f t="shared" si="5"/>
        <v>1</v>
      </c>
    </row>
    <row r="32" spans="1:29" ht="15">
      <c r="A32" s="2335" t="s">
        <v>2035</v>
      </c>
      <c r="B32" s="164" t="s">
        <v>672</v>
      </c>
      <c r="C32" s="819" t="s">
        <v>3532</v>
      </c>
      <c r="D32" s="546">
        <v>100</v>
      </c>
      <c r="E32" s="819" t="s">
        <v>3363</v>
      </c>
      <c r="F32" s="524">
        <f>SUMIF(100:100,E32,101:101)-SUMIF(100:100,C32,101:101)+100</f>
        <v>99</v>
      </c>
      <c r="G32" s="819" t="s">
        <v>3363</v>
      </c>
      <c r="H32" s="546">
        <f>SUMIF(100:100,G32,101:101)-SUMIF(100:100,C32,101:101)+100</f>
        <v>99</v>
      </c>
      <c r="I32" s="819" t="s">
        <v>3363</v>
      </c>
      <c r="J32" s="489">
        <f>SUMIF(100:100,I32,101:101)-SUMIF(100:100,C32,101:101)+100</f>
        <v>99</v>
      </c>
      <c r="K32" s="804">
        <v>1</v>
      </c>
      <c r="L32" s="1831"/>
      <c r="M32" s="1823"/>
      <c r="N32" s="1823"/>
      <c r="O32" s="1830"/>
      <c r="P32" s="4393" t="s">
        <v>499</v>
      </c>
      <c r="Q32" s="1359" t="str">
        <f t="shared" si="8"/>
        <v>建筑类型</v>
      </c>
      <c r="R32" s="1360" t="s">
        <v>8</v>
      </c>
      <c r="S32" s="1361">
        <f t="shared" si="9"/>
        <v>99</v>
      </c>
      <c r="T32" s="1360" t="s">
        <v>8</v>
      </c>
      <c r="U32" s="1361">
        <f t="shared" si="10"/>
        <v>99</v>
      </c>
      <c r="V32" s="1360" t="s">
        <v>8</v>
      </c>
      <c r="W32" s="1361">
        <f t="shared" si="11"/>
        <v>99</v>
      </c>
      <c r="X32" s="1354"/>
      <c r="Y32" s="4394" t="s">
        <v>499</v>
      </c>
      <c r="Z32" s="1362" t="str">
        <f t="shared" si="12"/>
        <v>建筑类型</v>
      </c>
      <c r="AA32" s="1363">
        <f t="shared" si="3"/>
        <v>1.0101010101010102</v>
      </c>
      <c r="AB32" s="1363">
        <f t="shared" si="4"/>
        <v>1.0101010101010102</v>
      </c>
      <c r="AC32" s="1363">
        <f t="shared" si="5"/>
        <v>1.0101010101010102</v>
      </c>
    </row>
    <row r="33" spans="1:29" s="1177" customFormat="1" ht="15">
      <c r="A33" s="552"/>
      <c r="B33" s="476" t="s">
        <v>673</v>
      </c>
      <c r="C33" s="820">
        <f>'数据-汇总表'!F19</f>
        <v>68148.539999999994</v>
      </c>
      <c r="D33" s="238">
        <v>100</v>
      </c>
      <c r="E33" s="483">
        <f>住宅案例!U2</f>
        <v>106459</v>
      </c>
      <c r="F33" s="803">
        <f>LOOKUP(E33,103:103,104:104)-LOOKUP(C33,103:103,104:104)+100</f>
        <v>102</v>
      </c>
      <c r="G33" s="482">
        <f>住宅案例!U3</f>
        <v>145000</v>
      </c>
      <c r="H33" s="238">
        <f>LOOKUP(G33,103:103,104:104)-LOOKUP(C33,103:103,104:104)+100</f>
        <v>104</v>
      </c>
      <c r="I33" s="483">
        <f>住宅案例!U5</f>
        <v>84773</v>
      </c>
      <c r="J33" s="238">
        <f>LOOKUP(I33,103:103,104:104)-LOOKUP(C33,103:103,104:104)+100</f>
        <v>101</v>
      </c>
      <c r="K33" s="805"/>
      <c r="L33" s="1829"/>
      <c r="M33" s="1859"/>
      <c r="N33" s="1859"/>
      <c r="O33" s="1832"/>
      <c r="P33" s="4394"/>
      <c r="Q33" s="1388" t="str">
        <f t="shared" si="8"/>
        <v>项目建筑规模</v>
      </c>
      <c r="R33" s="1364" t="s">
        <v>8</v>
      </c>
      <c r="S33" s="1365">
        <f t="shared" si="9"/>
        <v>102</v>
      </c>
      <c r="T33" s="1364" t="s">
        <v>8</v>
      </c>
      <c r="U33" s="1365">
        <f t="shared" si="10"/>
        <v>104</v>
      </c>
      <c r="V33" s="1364" t="s">
        <v>8</v>
      </c>
      <c r="W33" s="1365">
        <f t="shared" si="11"/>
        <v>101</v>
      </c>
      <c r="X33" s="1366"/>
      <c r="Y33" s="4394"/>
      <c r="Z33" s="1367" t="str">
        <f t="shared" si="12"/>
        <v>项目建筑规模</v>
      </c>
      <c r="AA33" s="1363">
        <f t="shared" si="3"/>
        <v>0.98039215686274506</v>
      </c>
      <c r="AB33" s="1363">
        <f t="shared" si="4"/>
        <v>0.96153846153846156</v>
      </c>
      <c r="AC33" s="1363">
        <f t="shared" si="5"/>
        <v>0.99009900990099009</v>
      </c>
    </row>
    <row r="34" spans="1:29" ht="15">
      <c r="A34" s="543"/>
      <c r="B34" s="476" t="s">
        <v>674</v>
      </c>
      <c r="C34" s="821" t="s">
        <v>3334</v>
      </c>
      <c r="D34" s="489">
        <v>100</v>
      </c>
      <c r="E34" s="821" t="s">
        <v>3334</v>
      </c>
      <c r="F34" s="524">
        <f>SUMIF(105:105,E34,106:106)-SUMIF(105:105,C34,106:106)+100</f>
        <v>100</v>
      </c>
      <c r="G34" s="821" t="s">
        <v>3334</v>
      </c>
      <c r="H34" s="489">
        <f>SUMIF(105:105,G34,106:106)-SUMIF(105:105,C34,106:106)+100</f>
        <v>100</v>
      </c>
      <c r="I34" s="821" t="s">
        <v>3334</v>
      </c>
      <c r="J34" s="489">
        <f>SUMIF(105:105,I34,106:106)-SUMIF(105:105,C34,106:106)+100</f>
        <v>100</v>
      </c>
      <c r="K34" s="804"/>
      <c r="L34" s="1831"/>
      <c r="M34" s="1823"/>
      <c r="N34" s="1823"/>
      <c r="O34" s="1830"/>
      <c r="P34" s="4394"/>
      <c r="Q34" s="1359" t="str">
        <f t="shared" si="8"/>
        <v>建筑结构</v>
      </c>
      <c r="R34" s="1360" t="s">
        <v>8</v>
      </c>
      <c r="S34" s="1361">
        <f t="shared" si="9"/>
        <v>100</v>
      </c>
      <c r="T34" s="1360" t="s">
        <v>8</v>
      </c>
      <c r="U34" s="1361">
        <f t="shared" si="10"/>
        <v>100</v>
      </c>
      <c r="V34" s="1360" t="s">
        <v>8</v>
      </c>
      <c r="W34" s="1361">
        <f t="shared" si="11"/>
        <v>100</v>
      </c>
      <c r="X34" s="1354"/>
      <c r="Y34" s="4394"/>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94"/>
      <c r="Q35" s="1359" t="str">
        <f t="shared" si="8"/>
        <v>建筑品质</v>
      </c>
      <c r="R35" s="1360" t="s">
        <v>8</v>
      </c>
      <c r="S35" s="1361">
        <f t="shared" si="9"/>
        <v>100</v>
      </c>
      <c r="T35" s="1360" t="s">
        <v>8</v>
      </c>
      <c r="U35" s="1361">
        <f t="shared" si="10"/>
        <v>100</v>
      </c>
      <c r="V35" s="1360" t="s">
        <v>8</v>
      </c>
      <c r="W35" s="1361">
        <f t="shared" si="11"/>
        <v>100</v>
      </c>
      <c r="X35" s="1354"/>
      <c r="Y35" s="4394"/>
      <c r="Z35" s="1362" t="str">
        <f t="shared" si="12"/>
        <v>建筑品质</v>
      </c>
      <c r="AA35" s="1363">
        <f t="shared" si="3"/>
        <v>1</v>
      </c>
      <c r="AB35" s="1363">
        <f t="shared" si="4"/>
        <v>1</v>
      </c>
      <c r="AC35" s="1363">
        <f t="shared" si="5"/>
        <v>1</v>
      </c>
    </row>
    <row r="36" spans="1:29" ht="15">
      <c r="A36" s="543"/>
      <c r="B36" s="476" t="s">
        <v>676</v>
      </c>
      <c r="C36" s="548" t="s">
        <v>3452</v>
      </c>
      <c r="D36" s="489">
        <v>100</v>
      </c>
      <c r="E36" s="548" t="s">
        <v>3452</v>
      </c>
      <c r="F36" s="524">
        <f>SUMIF(109:109,E36,110:110)-SUMIF(109:109,C36,110:110)+100</f>
        <v>100</v>
      </c>
      <c r="G36" s="548" t="s">
        <v>3452</v>
      </c>
      <c r="H36" s="489">
        <f>SUMIF(109:109,G36,110:110)-SUMIF(109:109,C36,110:110)+100</f>
        <v>100</v>
      </c>
      <c r="I36" s="548" t="s">
        <v>3452</v>
      </c>
      <c r="J36" s="489">
        <f>SUMIF(109:109,I36,110:110)-SUMIF(109:109,C36,110:110)+100</f>
        <v>100</v>
      </c>
      <c r="K36" s="804"/>
      <c r="L36" s="1831"/>
      <c r="M36" s="1823"/>
      <c r="N36" s="1823"/>
      <c r="O36" s="1830"/>
      <c r="P36" s="4394"/>
      <c r="Q36" s="1359" t="str">
        <f t="shared" si="8"/>
        <v>公共部分装修</v>
      </c>
      <c r="R36" s="1360" t="s">
        <v>8</v>
      </c>
      <c r="S36" s="1361">
        <f t="shared" si="9"/>
        <v>100</v>
      </c>
      <c r="T36" s="1360" t="s">
        <v>8</v>
      </c>
      <c r="U36" s="1361">
        <f t="shared" si="10"/>
        <v>100</v>
      </c>
      <c r="V36" s="1360" t="s">
        <v>8</v>
      </c>
      <c r="W36" s="1361">
        <f t="shared" si="11"/>
        <v>100</v>
      </c>
      <c r="X36" s="1354"/>
      <c r="Y36" s="4394"/>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394"/>
      <c r="Q37" s="1027" t="str">
        <f t="shared" si="8"/>
        <v>成新度</v>
      </c>
      <c r="R37" s="1355" t="s">
        <v>8</v>
      </c>
      <c r="S37" s="1356">
        <f t="shared" si="9"/>
        <v>100</v>
      </c>
      <c r="T37" s="1355" t="s">
        <v>8</v>
      </c>
      <c r="U37" s="1356">
        <f t="shared" si="10"/>
        <v>100</v>
      </c>
      <c r="V37" s="1355" t="s">
        <v>8</v>
      </c>
      <c r="W37" s="1356">
        <f t="shared" si="11"/>
        <v>100</v>
      </c>
      <c r="X37" s="1357"/>
      <c r="Y37" s="4394"/>
      <c r="Z37" s="1026" t="str">
        <f t="shared" si="12"/>
        <v>成新度</v>
      </c>
      <c r="AA37" s="1358">
        <f t="shared" si="3"/>
        <v>1</v>
      </c>
      <c r="AB37" s="1358">
        <f t="shared" si="4"/>
        <v>1</v>
      </c>
      <c r="AC37" s="1358">
        <f t="shared" si="5"/>
        <v>1</v>
      </c>
    </row>
    <row r="38" spans="1:29" ht="15">
      <c r="A38" s="543"/>
      <c r="B38" s="476" t="s">
        <v>678</v>
      </c>
      <c r="C38" s="548" t="s">
        <v>3456</v>
      </c>
      <c r="D38" s="489">
        <v>100</v>
      </c>
      <c r="E38" s="548" t="s">
        <v>3456</v>
      </c>
      <c r="F38" s="524">
        <f>SUMIF(114:114,E38,115:115)-SUMIF(114:114,C38,115:115)+100</f>
        <v>100</v>
      </c>
      <c r="G38" s="548" t="s">
        <v>3456</v>
      </c>
      <c r="H38" s="489">
        <f>SUMIF(114:114,G38,115:115)-SUMIF(114:114,C38,115:115)+100</f>
        <v>100</v>
      </c>
      <c r="I38" s="548" t="s">
        <v>3456</v>
      </c>
      <c r="J38" s="489">
        <f>SUMIF(114:114,I38,115:115)-SUMIF(114:114,C38,115:115)+100</f>
        <v>100</v>
      </c>
      <c r="K38" s="804"/>
      <c r="L38" s="1831"/>
      <c r="M38" s="1823"/>
      <c r="N38" s="1823"/>
      <c r="O38" s="1830"/>
      <c r="P38" s="4394" t="s">
        <v>499</v>
      </c>
      <c r="Q38" s="1359" t="str">
        <f t="shared" si="8"/>
        <v>物业管理</v>
      </c>
      <c r="R38" s="1360" t="s">
        <v>8</v>
      </c>
      <c r="S38" s="1361">
        <f t="shared" si="9"/>
        <v>100</v>
      </c>
      <c r="T38" s="1360" t="s">
        <v>8</v>
      </c>
      <c r="U38" s="1361">
        <f t="shared" si="10"/>
        <v>100</v>
      </c>
      <c r="V38" s="1360" t="s">
        <v>8</v>
      </c>
      <c r="W38" s="1361">
        <f t="shared" si="11"/>
        <v>100</v>
      </c>
      <c r="X38" s="1354"/>
      <c r="Y38" s="4394" t="s">
        <v>499</v>
      </c>
      <c r="Z38" s="1362" t="str">
        <f t="shared" si="12"/>
        <v>物业管理</v>
      </c>
      <c r="AA38" s="1363">
        <f t="shared" si="3"/>
        <v>1</v>
      </c>
      <c r="AB38" s="1363">
        <f t="shared" si="4"/>
        <v>1</v>
      </c>
      <c r="AC38" s="1363">
        <f t="shared" si="5"/>
        <v>1</v>
      </c>
    </row>
    <row r="39" spans="1:29" ht="15">
      <c r="A39" s="543"/>
      <c r="B39" s="1617" t="s">
        <v>1845</v>
      </c>
      <c r="C39" s="548" t="s">
        <v>3454</v>
      </c>
      <c r="D39" s="489">
        <v>100</v>
      </c>
      <c r="E39" s="548" t="s">
        <v>3454</v>
      </c>
      <c r="F39" s="524">
        <f>SUMIF(116:116,E39,117:117)-SUMIF(116:116,C39,117:117)+100</f>
        <v>100</v>
      </c>
      <c r="G39" s="548" t="s">
        <v>3454</v>
      </c>
      <c r="H39" s="489">
        <f>SUMIF(116:116,G39,117:117)-SUMIF(116:116,C39,117:117)+100</f>
        <v>100</v>
      </c>
      <c r="I39" s="548" t="s">
        <v>3454</v>
      </c>
      <c r="J39" s="489">
        <f>SUMIF(116:116,I39,117:117)-SUMIF(116:116,C39,117:117)+100</f>
        <v>100</v>
      </c>
      <c r="K39" s="804"/>
      <c r="L39" s="1831"/>
      <c r="M39" s="1823"/>
      <c r="N39" s="1823"/>
      <c r="O39" s="1830"/>
      <c r="P39" s="4394"/>
      <c r="Q39" s="1359" t="str">
        <f t="shared" si="8"/>
        <v>市政基础设施</v>
      </c>
      <c r="R39" s="1360" t="s">
        <v>8</v>
      </c>
      <c r="S39" s="1361">
        <f t="shared" si="9"/>
        <v>100</v>
      </c>
      <c r="T39" s="1360" t="s">
        <v>8</v>
      </c>
      <c r="U39" s="1361">
        <f t="shared" si="10"/>
        <v>100</v>
      </c>
      <c r="V39" s="1360" t="s">
        <v>8</v>
      </c>
      <c r="W39" s="1361">
        <f t="shared" si="11"/>
        <v>100</v>
      </c>
      <c r="X39" s="1354"/>
      <c r="Y39" s="4394"/>
      <c r="Z39" s="1362" t="str">
        <f t="shared" si="12"/>
        <v>市政基础设施</v>
      </c>
      <c r="AA39" s="1363">
        <f t="shared" si="3"/>
        <v>1</v>
      </c>
      <c r="AB39" s="1363">
        <f t="shared" si="4"/>
        <v>1</v>
      </c>
      <c r="AC39" s="1363">
        <f t="shared" si="5"/>
        <v>1</v>
      </c>
    </row>
    <row r="40" spans="1:29" ht="15">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394"/>
      <c r="Q40" s="1359" t="str">
        <f t="shared" si="8"/>
        <v>房型</v>
      </c>
      <c r="R40" s="1360" t="s">
        <v>8</v>
      </c>
      <c r="S40" s="1361">
        <f t="shared" si="9"/>
        <v>100</v>
      </c>
      <c r="T40" s="1360" t="s">
        <v>8</v>
      </c>
      <c r="U40" s="1361">
        <f t="shared" si="10"/>
        <v>100</v>
      </c>
      <c r="V40" s="1360" t="s">
        <v>8</v>
      </c>
      <c r="W40" s="1361">
        <f t="shared" si="11"/>
        <v>100</v>
      </c>
      <c r="X40" s="1354"/>
      <c r="Y40" s="4394"/>
      <c r="Z40" s="1362" t="str">
        <f t="shared" si="12"/>
        <v>房型</v>
      </c>
      <c r="AA40" s="1363">
        <f t="shared" si="3"/>
        <v>1</v>
      </c>
      <c r="AB40" s="1363">
        <f t="shared" si="4"/>
        <v>1</v>
      </c>
      <c r="AC40" s="1363">
        <f t="shared" si="5"/>
        <v>1</v>
      </c>
    </row>
    <row r="41" spans="1:29" s="1177" customFormat="1" ht="28.5">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394"/>
      <c r="Q41" s="1388" t="str">
        <f t="shared" si="8"/>
        <v>单套/主力户型建筑面积</v>
      </c>
      <c r="R41" s="1364" t="s">
        <v>8</v>
      </c>
      <c r="S41" s="1365">
        <f t="shared" si="9"/>
        <v>100</v>
      </c>
      <c r="T41" s="1364" t="s">
        <v>8</v>
      </c>
      <c r="U41" s="1365">
        <f t="shared" si="10"/>
        <v>100</v>
      </c>
      <c r="V41" s="1364" t="s">
        <v>8</v>
      </c>
      <c r="W41" s="1365">
        <f t="shared" si="11"/>
        <v>100</v>
      </c>
      <c r="X41" s="1366"/>
      <c r="Y41" s="4394"/>
      <c r="Z41" s="1367" t="str">
        <f t="shared" si="12"/>
        <v>单套/主力户型建筑面积</v>
      </c>
      <c r="AA41" s="1363">
        <f t="shared" si="3"/>
        <v>1</v>
      </c>
      <c r="AB41" s="1363">
        <f t="shared" si="4"/>
        <v>1</v>
      </c>
      <c r="AC41" s="1363">
        <f t="shared" si="5"/>
        <v>1</v>
      </c>
    </row>
    <row r="42" spans="1:29" ht="15">
      <c r="A42" s="543"/>
      <c r="B42" s="476" t="s">
        <v>681</v>
      </c>
      <c r="C42" s="814" t="s">
        <v>3348</v>
      </c>
      <c r="D42" s="489">
        <v>100</v>
      </c>
      <c r="E42" s="814" t="s">
        <v>3348</v>
      </c>
      <c r="F42" s="524">
        <f>SUMIF(122:122,E42,123:123)-SUMIF(122:122,C42,123:123)+100</f>
        <v>100</v>
      </c>
      <c r="G42" s="814" t="s">
        <v>3348</v>
      </c>
      <c r="H42" s="489">
        <f>SUMIF(122:122,G42,123:123)-SUMIF(122:122,C42,123:123)+100</f>
        <v>100</v>
      </c>
      <c r="I42" s="814" t="s">
        <v>3348</v>
      </c>
      <c r="J42" s="489">
        <f>SUMIF(122:122,I42,123:123)-SUMIF(122:122,C42,123:123)+100</f>
        <v>100</v>
      </c>
      <c r="K42" s="804">
        <v>2</v>
      </c>
      <c r="L42" s="1831"/>
      <c r="M42" s="1823"/>
      <c r="N42" s="1823"/>
      <c r="O42" s="1830"/>
      <c r="P42" s="4394"/>
      <c r="Q42" s="1359" t="str">
        <f t="shared" si="8"/>
        <v>内部装修</v>
      </c>
      <c r="R42" s="1360" t="s">
        <v>8</v>
      </c>
      <c r="S42" s="1361">
        <f t="shared" si="9"/>
        <v>100</v>
      </c>
      <c r="T42" s="1360" t="s">
        <v>8</v>
      </c>
      <c r="U42" s="1361">
        <f t="shared" si="10"/>
        <v>100</v>
      </c>
      <c r="V42" s="1360" t="s">
        <v>8</v>
      </c>
      <c r="W42" s="1361">
        <f t="shared" si="11"/>
        <v>100</v>
      </c>
      <c r="X42" s="1354"/>
      <c r="Y42" s="4394"/>
      <c r="Z42" s="1362" t="str">
        <f t="shared" si="12"/>
        <v>内部装修</v>
      </c>
      <c r="AA42" s="1363">
        <f t="shared" si="3"/>
        <v>1</v>
      </c>
      <c r="AB42" s="1363">
        <f t="shared" si="4"/>
        <v>1</v>
      </c>
      <c r="AC42" s="1363">
        <f t="shared" si="5"/>
        <v>1</v>
      </c>
    </row>
    <row r="43" spans="1:29" ht="27">
      <c r="A43" s="543"/>
      <c r="B43" s="476" t="s">
        <v>682</v>
      </c>
      <c r="C43" s="548" t="s">
        <v>3343</v>
      </c>
      <c r="D43" s="489">
        <v>100</v>
      </c>
      <c r="E43" s="548" t="s">
        <v>3343</v>
      </c>
      <c r="F43" s="524">
        <f>SUMIF(124:124,E43,125:125)-SUMIF(124:124,C43,125:125)+100</f>
        <v>100</v>
      </c>
      <c r="G43" s="548" t="s">
        <v>3343</v>
      </c>
      <c r="H43" s="489">
        <f>SUMIF(124:124,G43,125:125)-SUMIF(124:124,C43,125:125)+100</f>
        <v>100</v>
      </c>
      <c r="I43" s="548" t="s">
        <v>3343</v>
      </c>
      <c r="J43" s="489">
        <f>SUMIF(124:124,I43,125:125)-SUMIF(124:124,C43,125:125)+100</f>
        <v>100</v>
      </c>
      <c r="K43" s="804"/>
      <c r="L43" s="1831"/>
      <c r="M43" s="1823"/>
      <c r="N43" s="1823"/>
      <c r="O43" s="1830"/>
      <c r="P43" s="4394"/>
      <c r="Q43" s="1359" t="str">
        <f t="shared" si="8"/>
        <v>内部装修维护情况</v>
      </c>
      <c r="R43" s="1360" t="s">
        <v>8</v>
      </c>
      <c r="S43" s="1361">
        <f t="shared" si="9"/>
        <v>100</v>
      </c>
      <c r="T43" s="1360" t="s">
        <v>8</v>
      </c>
      <c r="U43" s="1361">
        <f t="shared" si="10"/>
        <v>100</v>
      </c>
      <c r="V43" s="1360" t="s">
        <v>8</v>
      </c>
      <c r="W43" s="1361">
        <f t="shared" si="11"/>
        <v>100</v>
      </c>
      <c r="X43" s="1354"/>
      <c r="Y43" s="4394"/>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94"/>
      <c r="Q44" s="1027">
        <f t="shared" si="8"/>
        <v>111</v>
      </c>
      <c r="R44" s="1355" t="s">
        <v>8</v>
      </c>
      <c r="S44" s="1356">
        <f t="shared" si="9"/>
        <v>100</v>
      </c>
      <c r="T44" s="1355" t="s">
        <v>8</v>
      </c>
      <c r="U44" s="1356">
        <f t="shared" si="10"/>
        <v>100</v>
      </c>
      <c r="V44" s="1355" t="s">
        <v>8</v>
      </c>
      <c r="W44" s="1356">
        <f t="shared" si="11"/>
        <v>100</v>
      </c>
      <c r="X44" s="1357"/>
      <c r="Y44" s="4394"/>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94"/>
      <c r="Q45" s="1359">
        <f t="shared" si="8"/>
        <v>111</v>
      </c>
      <c r="R45" s="1360" t="s">
        <v>8</v>
      </c>
      <c r="S45" s="1361">
        <f t="shared" si="9"/>
        <v>100</v>
      </c>
      <c r="T45" s="1360" t="s">
        <v>8</v>
      </c>
      <c r="U45" s="1361">
        <f t="shared" si="10"/>
        <v>100</v>
      </c>
      <c r="V45" s="1360" t="s">
        <v>8</v>
      </c>
      <c r="W45" s="1361">
        <f t="shared" si="11"/>
        <v>100</v>
      </c>
      <c r="X45" s="1354"/>
      <c r="Y45" s="4394"/>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95"/>
      <c r="Q46" s="1359">
        <f t="shared" si="8"/>
        <v>111</v>
      </c>
      <c r="R46" s="1360" t="s">
        <v>7</v>
      </c>
      <c r="S46" s="1361">
        <f t="shared" si="9"/>
        <v>100</v>
      </c>
      <c r="T46" s="1360" t="s">
        <v>7</v>
      </c>
      <c r="U46" s="1361">
        <f t="shared" si="10"/>
        <v>100</v>
      </c>
      <c r="V46" s="1360" t="s">
        <v>7</v>
      </c>
      <c r="W46" s="1361">
        <f t="shared" si="11"/>
        <v>100</v>
      </c>
      <c r="X46" s="1354"/>
      <c r="Y46" s="4395"/>
      <c r="Z46" s="1362">
        <f t="shared" si="12"/>
        <v>111</v>
      </c>
      <c r="AA46" s="1363">
        <f t="shared" si="3"/>
        <v>1</v>
      </c>
      <c r="AB46" s="1363">
        <f t="shared" si="4"/>
        <v>1</v>
      </c>
      <c r="AC46" s="1363">
        <f t="shared" si="5"/>
        <v>1</v>
      </c>
    </row>
    <row r="47" spans="1:29" ht="15">
      <c r="A47" s="556" t="s">
        <v>683</v>
      </c>
      <c r="B47" s="827"/>
      <c r="C47" s="2198" t="s">
        <v>6</v>
      </c>
      <c r="D47" s="2199"/>
      <c r="E47" s="2200">
        <f>住宅案例!T12</f>
        <v>42492</v>
      </c>
      <c r="F47" s="2201"/>
      <c r="G47" s="2202">
        <f>住宅案例!T18</f>
        <v>42462</v>
      </c>
      <c r="H47" s="2203"/>
      <c r="I47" s="2200">
        <f>住宅案例!T31</f>
        <v>38937</v>
      </c>
      <c r="J47" s="2203"/>
      <c r="K47" s="1389"/>
      <c r="L47" s="1833"/>
      <c r="M47" s="1834"/>
      <c r="N47" s="1823"/>
      <c r="O47" s="1834"/>
      <c r="P47" s="4372" t="str">
        <f>A47</f>
        <v>成交单价（元/平方米）</v>
      </c>
      <c r="Q47" s="4372"/>
      <c r="R47" s="4390">
        <f>E47</f>
        <v>42492</v>
      </c>
      <c r="S47" s="4390"/>
      <c r="T47" s="4390">
        <f>G47</f>
        <v>42462</v>
      </c>
      <c r="U47" s="4390"/>
      <c r="V47" s="4390">
        <f>I47</f>
        <v>38937</v>
      </c>
      <c r="W47" s="4390"/>
      <c r="X47" s="1349"/>
      <c r="Y47" s="1368"/>
      <c r="Z47" s="1349"/>
      <c r="AA47" s="1349"/>
      <c r="AB47" s="1349"/>
      <c r="AC47" s="1349"/>
    </row>
    <row r="48" spans="1:29" ht="15.75" thickBot="1">
      <c r="A48" s="564" t="s">
        <v>2040</v>
      </c>
      <c r="B48" s="828"/>
      <c r="C48" s="2204">
        <f>R49</f>
        <v>38679</v>
      </c>
      <c r="D48" s="2701" t="s">
        <v>2255</v>
      </c>
      <c r="E48" s="2205">
        <f>R48</f>
        <v>39279</v>
      </c>
      <c r="F48" s="2702"/>
      <c r="G48" s="2204">
        <f>T48</f>
        <v>41270</v>
      </c>
      <c r="H48" s="2702"/>
      <c r="I48" s="2205">
        <f>V48</f>
        <v>35489</v>
      </c>
      <c r="J48" s="2702"/>
      <c r="K48" s="2710">
        <f>F48+H48+J48</f>
        <v>0</v>
      </c>
      <c r="L48" s="1833"/>
      <c r="M48" s="1834"/>
      <c r="N48" s="1834"/>
      <c r="O48" s="1834"/>
      <c r="P48" s="4372" t="str">
        <f>A48</f>
        <v>比较价格（元/平方米）</v>
      </c>
      <c r="Q48" s="4372"/>
      <c r="R48" s="4390">
        <f>IF(F1="售价",ROUND(PRODUCT(R47,AA7:AA46),0),ROUND(PRODUCT(R47,AA7:AA46),1))</f>
        <v>39279</v>
      </c>
      <c r="S48" s="4390"/>
      <c r="T48" s="4390">
        <f>IF(F1="售价",ROUND(PRODUCT(T47,AB7:AB46),0),ROUND(PRODUCT(T47,AB7:AB46),1))</f>
        <v>41270</v>
      </c>
      <c r="U48" s="4390"/>
      <c r="V48" s="4390">
        <f>IF(F1="售价",ROUND(PRODUCT(V47,AC7:AC46),0),ROUND(PRODUCT(V47,AC7:AC46),1))</f>
        <v>35489</v>
      </c>
      <c r="W48" s="4390"/>
      <c r="X48" s="1349"/>
      <c r="Y48" s="1349"/>
      <c r="Z48" s="1349"/>
      <c r="AA48" s="1349"/>
      <c r="AB48" s="1349"/>
      <c r="AC48" s="1349"/>
    </row>
    <row r="49" spans="1:29" ht="15.75" thickBot="1">
      <c r="A49" s="568" t="s">
        <v>2192</v>
      </c>
      <c r="B49" s="569"/>
      <c r="C49" s="2206">
        <f>R49</f>
        <v>38679</v>
      </c>
      <c r="D49" s="2206"/>
      <c r="E49" s="2206"/>
      <c r="F49" s="2206"/>
      <c r="G49" s="2206"/>
      <c r="H49" s="2206"/>
      <c r="I49" s="2206"/>
      <c r="J49" s="2206"/>
      <c r="K49" s="1390"/>
      <c r="L49" s="1833"/>
      <c r="M49" s="1834"/>
      <c r="N49" s="1834"/>
      <c r="O49" s="1834"/>
      <c r="P49" s="4387" t="str">
        <f>A49</f>
        <v>估价对象XX用房的比较价格（楼面单价，元/平方米）</v>
      </c>
      <c r="Q49" s="4388"/>
      <c r="R49" s="4389">
        <f>IF(F1="售价",ROUND(IF(D48="简单平均",AVERAGE(R48:V48),R48*F48+T48*H48+V48*J48),0),ROUND(IF(D48="简单平均",AVERAGE(R48:V48),R48*F48+T48*H48+V48*J48),1))</f>
        <v>38679</v>
      </c>
      <c r="S49" s="4389"/>
      <c r="T49" s="4389"/>
      <c r="U49" s="4389"/>
      <c r="V49" s="4389"/>
      <c r="W49" s="4389"/>
      <c r="X49" s="1349"/>
      <c r="Y49" s="1349"/>
      <c r="Z49" s="1349"/>
      <c r="AA49" s="1349"/>
      <c r="AB49" s="1349"/>
      <c r="AC49" s="1349"/>
    </row>
    <row r="50" spans="1:29">
      <c r="A50" s="2899"/>
      <c r="B50" s="2899"/>
      <c r="C50" s="4050" t="s">
        <v>3440</v>
      </c>
      <c r="D50" s="2899"/>
      <c r="E50" s="4050" t="s">
        <v>3439</v>
      </c>
      <c r="F50" s="2899"/>
      <c r="G50" s="4051" t="s">
        <v>3441</v>
      </c>
      <c r="H50" s="2899"/>
      <c r="I50" s="4050" t="s">
        <v>3439</v>
      </c>
      <c r="J50" s="2899">
        <f ca="1">土储要求测算表!J16</f>
        <v>15196</v>
      </c>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8.1799434812495297E-2</v>
      </c>
      <c r="F52" s="574" t="str">
        <f>IF(OR(E52&gt;=0.3,E52&lt;=-0.3),"超过30%","")</f>
        <v/>
      </c>
      <c r="G52" s="573">
        <f>IF(G47&lt;G48,G48/G47-1,G47/G48-1)</f>
        <v>2.8882965834746699E-2</v>
      </c>
      <c r="H52" s="574" t="str">
        <f>IF(OR(G52&gt;=0.3,G52&lt;=-0.3),"超过30%","")</f>
        <v/>
      </c>
      <c r="I52" s="573">
        <f>IF(I47&lt;I48,I48/I47-1,I47/I48-1)</f>
        <v>9.7156865507622037E-2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5.0688663153338975E-2</v>
      </c>
      <c r="F53" s="574" t="str">
        <f>IF(OR(E53&gt;=0.2,E53&lt;=-0.2),"超过20%","")</f>
        <v/>
      </c>
      <c r="G53" s="573">
        <f>IF(G48&lt;I48,I48/G48-1,G48/I48-1)</f>
        <v>0.16289554509848125</v>
      </c>
      <c r="H53" s="574" t="str">
        <f>IF(OR(G53&gt;=0.2,G53&lt;=-0.2),"超过20%","")</f>
        <v/>
      </c>
      <c r="I53" s="573">
        <f>IF(I48&lt;E48,E48/I48-1,I48/E48-1)</f>
        <v>0.10679365437177712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7.0651405962984803E-4</v>
      </c>
      <c r="F54" s="574" t="str">
        <f>IF(OR(E54&gt;=0.3,E54&lt;=-0.3),"超过30%","")</f>
        <v/>
      </c>
      <c r="G54" s="573">
        <f>IF(G47&lt;I47,I47/G47-1,G47/I47-1)</f>
        <v>9.0530857539101728E-2</v>
      </c>
      <c r="H54" s="574" t="str">
        <f>IF(OR(G54&gt;=0.3,G54&lt;=-0.3),"超过30%","")</f>
        <v/>
      </c>
      <c r="I54" s="573">
        <f>IF(I47&lt;E47,E47/I47-1,I47/E47-1)</f>
        <v>9.1301332922413048E-2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v>100</v>
      </c>
      <c r="F59" s="597">
        <v>100</v>
      </c>
      <c r="G59" s="597">
        <v>100</v>
      </c>
      <c r="H59" s="597">
        <v>99.5</v>
      </c>
      <c r="I59" s="597">
        <v>99.5</v>
      </c>
      <c r="J59" s="597">
        <v>99.5</v>
      </c>
      <c r="K59" s="597">
        <v>99.5</v>
      </c>
      <c r="L59" s="597">
        <v>99.5</v>
      </c>
      <c r="M59" s="597">
        <v>99.5</v>
      </c>
      <c r="N59" s="597">
        <v>99.5</v>
      </c>
      <c r="O59" s="597">
        <v>99.5</v>
      </c>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97.5</v>
      </c>
      <c r="E69" s="626">
        <f t="shared" si="15"/>
        <v>95</v>
      </c>
      <c r="F69" s="626">
        <f t="shared" si="15"/>
        <v>92.5</v>
      </c>
      <c r="G69" s="626">
        <f t="shared" si="15"/>
        <v>90</v>
      </c>
      <c r="H69" s="626">
        <f t="shared" si="15"/>
        <v>87.5</v>
      </c>
      <c r="I69" s="626">
        <f t="shared" si="15"/>
        <v>85</v>
      </c>
      <c r="J69" s="626">
        <f t="shared" si="15"/>
        <v>82.5</v>
      </c>
      <c r="K69" s="626">
        <f t="shared" si="15"/>
        <v>80</v>
      </c>
      <c r="L69" s="626">
        <f t="shared" si="15"/>
        <v>77.5</v>
      </c>
      <c r="M69" s="627">
        <f t="shared" si="15"/>
        <v>75</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97</v>
      </c>
      <c r="E77" s="626">
        <f>D77-$K15</f>
        <v>94</v>
      </c>
      <c r="F77" s="626">
        <f>E77-$K15</f>
        <v>91</v>
      </c>
      <c r="G77" s="626">
        <f>F77-$K15</f>
        <v>88</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97</v>
      </c>
      <c r="E79" s="626">
        <f>D79-$K17</f>
        <v>94</v>
      </c>
      <c r="F79" s="626">
        <f>E79-$K17</f>
        <v>91</v>
      </c>
      <c r="G79" s="626">
        <f>F79-$K17</f>
        <v>88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2" t="s">
        <v>3425</v>
      </c>
      <c r="D90" s="4013" t="s">
        <v>3426</v>
      </c>
      <c r="E90" s="4013" t="s">
        <v>3427</v>
      </c>
      <c r="F90" s="4042" t="s">
        <v>3428</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3357</v>
      </c>
      <c r="D100" s="4012" t="s">
        <v>3358</v>
      </c>
      <c r="E100" s="4012" t="s">
        <v>3359</v>
      </c>
      <c r="F100" s="4012" t="s">
        <v>3360</v>
      </c>
      <c r="G100" s="4012" t="s">
        <v>3361</v>
      </c>
      <c r="H100" s="4012" t="s">
        <v>3362</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99</v>
      </c>
      <c r="E101" s="626">
        <f t="shared" si="18"/>
        <v>98</v>
      </c>
      <c r="F101" s="626">
        <f t="shared" si="18"/>
        <v>97</v>
      </c>
      <c r="G101" s="626">
        <f t="shared" si="18"/>
        <v>96</v>
      </c>
      <c r="H101" s="626">
        <f t="shared" si="18"/>
        <v>95</v>
      </c>
      <c r="I101" s="626">
        <f t="shared" si="18"/>
        <v>94</v>
      </c>
      <c r="J101" s="626">
        <f t="shared" si="18"/>
        <v>93</v>
      </c>
      <c r="K101" s="626">
        <f t="shared" si="18"/>
        <v>92</v>
      </c>
      <c r="L101" s="626">
        <f t="shared" si="18"/>
        <v>91</v>
      </c>
      <c r="M101" s="626">
        <f t="shared" si="18"/>
        <v>90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0(含)-20000</v>
      </c>
      <c r="D102" s="655" t="str">
        <f t="shared" ref="D102:L102" si="19">D103&amp;"(含)"&amp;"-"&amp;E103</f>
        <v>20000(含)-40000</v>
      </c>
      <c r="E102" s="655" t="str">
        <f t="shared" si="19"/>
        <v>40000(含)-60000</v>
      </c>
      <c r="F102" s="655" t="str">
        <f t="shared" si="19"/>
        <v>60000(含)-80000</v>
      </c>
      <c r="G102" s="655" t="str">
        <f t="shared" si="19"/>
        <v>80000(含)-100000</v>
      </c>
      <c r="H102" s="655" t="str">
        <f t="shared" si="19"/>
        <v>100000(含)-120000</v>
      </c>
      <c r="I102" s="655" t="str">
        <f t="shared" si="19"/>
        <v>120000(含)-140000</v>
      </c>
      <c r="J102" s="655" t="str">
        <f t="shared" si="19"/>
        <v>140000(含)-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C103+20000</f>
        <v>20000</v>
      </c>
      <c r="E103" s="677">
        <f t="shared" ref="E103:J103" si="20">D103+20000</f>
        <v>40000</v>
      </c>
      <c r="F103" s="677">
        <f t="shared" si="20"/>
        <v>60000</v>
      </c>
      <c r="G103" s="677">
        <f t="shared" si="20"/>
        <v>80000</v>
      </c>
      <c r="H103" s="677">
        <f t="shared" si="20"/>
        <v>100000</v>
      </c>
      <c r="I103" s="677">
        <f t="shared" si="20"/>
        <v>120000</v>
      </c>
      <c r="J103" s="677">
        <f t="shared" si="20"/>
        <v>140000</v>
      </c>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101</v>
      </c>
      <c r="E104" s="618">
        <f t="shared" ref="E104:J104" si="21">D104+1</f>
        <v>102</v>
      </c>
      <c r="F104" s="618">
        <f t="shared" si="21"/>
        <v>103</v>
      </c>
      <c r="G104" s="618">
        <f t="shared" si="21"/>
        <v>104</v>
      </c>
      <c r="H104" s="618">
        <f t="shared" si="21"/>
        <v>105</v>
      </c>
      <c r="I104" s="618">
        <f t="shared" si="21"/>
        <v>106</v>
      </c>
      <c r="J104" s="618">
        <f t="shared" si="21"/>
        <v>107</v>
      </c>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3451</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3453</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3457</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3455</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3355</v>
      </c>
      <c r="D122" s="4009" t="s">
        <v>3356</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13" priority="19" stopIfTrue="1" operator="containsText" text="超过">
      <formula>NOT(ISERROR(SEARCH("超过",F52)))</formula>
    </cfRule>
  </conditionalFormatting>
  <conditionalFormatting sqref="J54">
    <cfRule type="containsText" dxfId="212" priority="18" stopIfTrue="1" operator="containsText" text="超过">
      <formula>NOT(ISERROR(SEARCH("超过",J54)))</formula>
    </cfRule>
  </conditionalFormatting>
  <conditionalFormatting sqref="H54">
    <cfRule type="containsText" dxfId="211" priority="17" stopIfTrue="1" operator="containsText" text="超过">
      <formula>NOT(ISERROR(SEARCH("超过",H54)))</formula>
    </cfRule>
  </conditionalFormatting>
  <conditionalFormatting sqref="F54">
    <cfRule type="containsText" dxfId="210" priority="16" stopIfTrue="1" operator="containsText" text="超过">
      <formula>NOT(ISERROR(SEARCH("超过",F54)))</formula>
    </cfRule>
  </conditionalFormatting>
  <conditionalFormatting sqref="F53 H53 J53">
    <cfRule type="containsText" dxfId="209" priority="15" stopIfTrue="1" operator="containsText" text="超过">
      <formula>NOT(ISERROR(SEARCH("超过",F53)))</formula>
    </cfRule>
  </conditionalFormatting>
  <conditionalFormatting sqref="E52">
    <cfRule type="expression" dxfId="208" priority="14" stopIfTrue="1">
      <formula>$F$52="超过30%"</formula>
    </cfRule>
  </conditionalFormatting>
  <conditionalFormatting sqref="G54">
    <cfRule type="expression" dxfId="207" priority="12" stopIfTrue="1">
      <formula>$H$54="超过30%"</formula>
    </cfRule>
  </conditionalFormatting>
  <conditionalFormatting sqref="E53">
    <cfRule type="expression" dxfId="206" priority="11" stopIfTrue="1">
      <formula>$F$53="超过20%"</formula>
    </cfRule>
  </conditionalFormatting>
  <conditionalFormatting sqref="E54">
    <cfRule type="expression" dxfId="205" priority="10" stopIfTrue="1">
      <formula>$F$54="超过30%"</formula>
    </cfRule>
  </conditionalFormatting>
  <conditionalFormatting sqref="G52">
    <cfRule type="expression" dxfId="204" priority="9" stopIfTrue="1">
      <formula>$H$52="超过30%"</formula>
    </cfRule>
  </conditionalFormatting>
  <conditionalFormatting sqref="G53">
    <cfRule type="expression" dxfId="203" priority="8" stopIfTrue="1">
      <formula>$H$53="超过20%"</formula>
    </cfRule>
  </conditionalFormatting>
  <conditionalFormatting sqref="I52">
    <cfRule type="expression" dxfId="202" priority="7" stopIfTrue="1">
      <formula>$J$52="超过30%"</formula>
    </cfRule>
  </conditionalFormatting>
  <conditionalFormatting sqref="I53">
    <cfRule type="expression" dxfId="201" priority="6" stopIfTrue="1">
      <formula>$J$53="超过20%"</formula>
    </cfRule>
  </conditionalFormatting>
  <conditionalFormatting sqref="I54">
    <cfRule type="expression" dxfId="200" priority="5" stopIfTrue="1">
      <formula>$J$54="超过30%"</formula>
    </cfRule>
  </conditionalFormatting>
  <conditionalFormatting sqref="F48">
    <cfRule type="expression" dxfId="199" priority="4">
      <formula>$D$48="简单平均"</formula>
    </cfRule>
  </conditionalFormatting>
  <conditionalFormatting sqref="H48">
    <cfRule type="expression" dxfId="198" priority="3">
      <formula>$D$48="简单平均"</formula>
    </cfRule>
  </conditionalFormatting>
  <conditionalFormatting sqref="J48">
    <cfRule type="expression" dxfId="197" priority="2">
      <formula>$D$48="简单平均"</formula>
    </cfRule>
  </conditionalFormatting>
  <conditionalFormatting sqref="F7:F46 H7:H46 J7:J46">
    <cfRule type="cellIs" dxfId="196" priority="1" operator="notEqual">
      <formula>100</formula>
    </cfRule>
  </conditionalFormatting>
  <dataValidations disablePrompts="1" count="21">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D48" xr:uid="{00000000-0002-0000-1700-000014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100" sqref="I100"/>
    </sheetView>
  </sheetViews>
  <sheetFormatPr defaultColWidth="8.875" defaultRowHeight="13.5"/>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O1:X58"/>
  <sheetViews>
    <sheetView zoomScaleNormal="100" workbookViewId="0">
      <selection activeCell="T18" sqref="T18"/>
    </sheetView>
  </sheetViews>
  <sheetFormatPr defaultColWidth="9" defaultRowHeight="12"/>
  <cols>
    <col min="1" max="15" width="9" style="4031"/>
    <col min="16" max="16" width="19.625" style="4038" bestFit="1" customWidth="1"/>
    <col min="17" max="17" width="8" style="4038" bestFit="1" customWidth="1"/>
    <col min="18" max="19" width="11.5" style="4038" bestFit="1" customWidth="1"/>
    <col min="20" max="20" width="14.125" style="4038" bestFit="1" customWidth="1"/>
    <col min="21" max="21" width="13.375" style="4038" bestFit="1" customWidth="1"/>
    <col min="22" max="23" width="15.125" style="4038" bestFit="1" customWidth="1"/>
    <col min="24" max="24" width="9" style="4038"/>
    <col min="25" max="16384" width="9" style="4031"/>
  </cols>
  <sheetData>
    <row r="1" spans="15:24">
      <c r="P1" s="4038" t="s">
        <v>3419</v>
      </c>
      <c r="Q1" s="4038" t="s">
        <v>3414</v>
      </c>
      <c r="R1" s="4038" t="s">
        <v>3413</v>
      </c>
      <c r="S1" s="4038" t="s">
        <v>3415</v>
      </c>
      <c r="T1" s="4038" t="s">
        <v>3416</v>
      </c>
      <c r="U1" s="4038" t="s">
        <v>3418</v>
      </c>
      <c r="V1" s="4038" t="s">
        <v>3417</v>
      </c>
    </row>
    <row r="2" spans="15:24">
      <c r="P2" s="4043" t="s">
        <v>3406</v>
      </c>
      <c r="Q2" s="4043">
        <f>X7</f>
        <v>49182</v>
      </c>
      <c r="R2" s="4044">
        <v>2022</v>
      </c>
      <c r="S2" s="4043" t="s">
        <v>3412</v>
      </c>
      <c r="T2" s="4043">
        <v>1.5</v>
      </c>
      <c r="U2" s="4043">
        <v>106459</v>
      </c>
      <c r="V2" s="4043" t="s">
        <v>3411</v>
      </c>
    </row>
    <row r="3" spans="15:24">
      <c r="P3" s="4043" t="s">
        <v>3407</v>
      </c>
      <c r="Q3" s="4043">
        <f>X14</f>
        <v>45266</v>
      </c>
      <c r="R3" s="4043"/>
      <c r="S3" s="4043" t="s">
        <v>3412</v>
      </c>
      <c r="T3" s="4043">
        <v>1.5</v>
      </c>
      <c r="U3" s="4043">
        <v>145000</v>
      </c>
      <c r="V3" s="4043" t="s">
        <v>3410</v>
      </c>
    </row>
    <row r="4" spans="15:24">
      <c r="P4" s="4038" t="s">
        <v>3405</v>
      </c>
      <c r="Q4" s="4038">
        <f>X42</f>
        <v>44506</v>
      </c>
      <c r="S4" s="4038" t="s">
        <v>3412</v>
      </c>
      <c r="T4" s="4038">
        <v>2</v>
      </c>
      <c r="U4" s="4038">
        <v>132950</v>
      </c>
      <c r="V4" s="4038" t="s">
        <v>3409</v>
      </c>
    </row>
    <row r="5" spans="15:24">
      <c r="P5" s="4043" t="s">
        <v>3421</v>
      </c>
      <c r="Q5" s="4043">
        <f>X28</f>
        <v>40189</v>
      </c>
      <c r="R5" s="4043"/>
      <c r="S5" s="4043" t="s">
        <v>3412</v>
      </c>
      <c r="T5" s="4043">
        <v>2</v>
      </c>
      <c r="U5" s="4043">
        <v>84773</v>
      </c>
      <c r="V5" s="4043" t="s">
        <v>3422</v>
      </c>
    </row>
    <row r="7" spans="15:24">
      <c r="P7" s="4396" t="s">
        <v>3406</v>
      </c>
      <c r="Q7" s="4039" t="s">
        <v>3384</v>
      </c>
      <c r="R7" s="4039" t="s">
        <v>3385</v>
      </c>
      <c r="S7" s="4039" t="s">
        <v>3386</v>
      </c>
      <c r="T7" s="4039" t="s">
        <v>3387</v>
      </c>
      <c r="U7" s="4039" t="s">
        <v>3388</v>
      </c>
      <c r="V7" s="4039" t="s">
        <v>3389</v>
      </c>
      <c r="W7" s="4039" t="s">
        <v>3390</v>
      </c>
      <c r="X7" s="4396">
        <f>ROUND(AVERAGE(T8:T13),0)</f>
        <v>49182</v>
      </c>
    </row>
    <row r="8" spans="15:24">
      <c r="P8" s="4396"/>
      <c r="Q8" s="4039" t="s">
        <v>3391</v>
      </c>
      <c r="R8" s="4039">
        <v>24</v>
      </c>
      <c r="S8" s="4039">
        <v>4851</v>
      </c>
      <c r="T8" s="4039">
        <v>45462</v>
      </c>
      <c r="U8" s="4039">
        <v>22051.01</v>
      </c>
      <c r="V8" s="4039" t="s">
        <v>2093</v>
      </c>
      <c r="W8" s="4039" t="s">
        <v>2093</v>
      </c>
      <c r="X8" s="4396"/>
    </row>
    <row r="9" spans="15:24">
      <c r="P9" s="4396"/>
      <c r="Q9" s="4039" t="s">
        <v>3392</v>
      </c>
      <c r="R9" s="4039">
        <v>2</v>
      </c>
      <c r="S9" s="4039">
        <v>265</v>
      </c>
      <c r="T9" s="4039">
        <v>57715</v>
      </c>
      <c r="U9" s="4039">
        <v>1528.06</v>
      </c>
      <c r="V9" s="4039" t="s">
        <v>2093</v>
      </c>
      <c r="W9" s="4039" t="s">
        <v>2093</v>
      </c>
      <c r="X9" s="4396"/>
    </row>
    <row r="10" spans="15:24">
      <c r="O10" s="4031" t="s">
        <v>3423</v>
      </c>
      <c r="P10" s="4396"/>
      <c r="Q10" s="4039" t="s">
        <v>3393</v>
      </c>
      <c r="R10" s="4039">
        <v>2</v>
      </c>
      <c r="S10" s="4039">
        <v>264</v>
      </c>
      <c r="T10" s="4039">
        <v>53324</v>
      </c>
      <c r="U10" s="4039">
        <v>1406.16</v>
      </c>
      <c r="V10" s="4039" t="s">
        <v>2093</v>
      </c>
      <c r="W10" s="4039" t="s">
        <v>2093</v>
      </c>
      <c r="X10" s="4396"/>
    </row>
    <row r="11" spans="15:24">
      <c r="P11" s="4396"/>
      <c r="Q11" s="4039" t="s">
        <v>3394</v>
      </c>
      <c r="R11" s="4039">
        <v>2</v>
      </c>
      <c r="S11" s="4039">
        <v>323</v>
      </c>
      <c r="T11" s="4039">
        <v>52446</v>
      </c>
      <c r="U11" s="4039">
        <v>1693.58</v>
      </c>
      <c r="V11" s="4039" t="s">
        <v>2093</v>
      </c>
      <c r="W11" s="4039" t="s">
        <v>2093</v>
      </c>
      <c r="X11" s="4396"/>
    </row>
    <row r="12" spans="15:24">
      <c r="P12" s="4396"/>
      <c r="Q12" s="4116" t="s">
        <v>3395</v>
      </c>
      <c r="R12" s="4116">
        <v>1</v>
      </c>
      <c r="S12" s="4116">
        <v>286</v>
      </c>
      <c r="T12" s="4116">
        <v>42492</v>
      </c>
      <c r="U12" s="4039">
        <v>1215.4000000000001</v>
      </c>
      <c r="V12" s="4039" t="s">
        <v>2093</v>
      </c>
      <c r="W12" s="4039" t="s">
        <v>2093</v>
      </c>
      <c r="X12" s="4396"/>
    </row>
    <row r="13" spans="15:24">
      <c r="P13" s="4396"/>
      <c r="Q13" s="4039" t="s">
        <v>3396</v>
      </c>
      <c r="R13" s="4039">
        <v>17</v>
      </c>
      <c r="S13" s="4039">
        <v>3713</v>
      </c>
      <c r="T13" s="4039">
        <v>43651</v>
      </c>
      <c r="U13" s="4039">
        <v>16207.81</v>
      </c>
      <c r="V13" s="4039" t="s">
        <v>2093</v>
      </c>
      <c r="W13" s="4039" t="s">
        <v>2093</v>
      </c>
      <c r="X13" s="4396"/>
    </row>
    <row r="14" spans="15:24">
      <c r="P14" s="4396" t="s">
        <v>3407</v>
      </c>
      <c r="Q14" s="4040" t="s">
        <v>3384</v>
      </c>
      <c r="R14" s="4040" t="s">
        <v>3385</v>
      </c>
      <c r="S14" s="4040" t="s">
        <v>3386</v>
      </c>
      <c r="T14" s="4040" t="s">
        <v>3387</v>
      </c>
      <c r="U14" s="4040" t="s">
        <v>3388</v>
      </c>
      <c r="V14" s="4040" t="s">
        <v>3389</v>
      </c>
      <c r="W14" s="4040" t="s">
        <v>3390</v>
      </c>
      <c r="X14" s="4396">
        <f>ROUND(AVERAGE(T15:T27),0)</f>
        <v>45266</v>
      </c>
    </row>
    <row r="15" spans="15:24">
      <c r="P15" s="4396"/>
      <c r="Q15" s="4039" t="s">
        <v>3391</v>
      </c>
      <c r="R15" s="4039">
        <v>107</v>
      </c>
      <c r="S15" s="4039">
        <v>16174</v>
      </c>
      <c r="T15" s="4039">
        <v>45355</v>
      </c>
      <c r="U15" s="4040">
        <v>73347.7</v>
      </c>
      <c r="V15" s="4040" t="s">
        <v>2093</v>
      </c>
      <c r="W15" s="4040" t="s">
        <v>2093</v>
      </c>
      <c r="X15" s="4396"/>
    </row>
    <row r="16" spans="15:24">
      <c r="P16" s="4396"/>
      <c r="Q16" s="4039" t="s">
        <v>3393</v>
      </c>
      <c r="R16" s="4039">
        <v>10</v>
      </c>
      <c r="S16" s="4039">
        <v>1541</v>
      </c>
      <c r="T16" s="4039">
        <v>45556</v>
      </c>
      <c r="U16" s="4041">
        <v>7019.63</v>
      </c>
      <c r="V16" s="4041" t="s">
        <v>2093</v>
      </c>
      <c r="W16" s="4040" t="s">
        <v>2093</v>
      </c>
      <c r="X16" s="4396"/>
    </row>
    <row r="17" spans="15:24">
      <c r="P17" s="4396"/>
      <c r="Q17" s="4039" t="s">
        <v>3394</v>
      </c>
      <c r="R17" s="4039">
        <v>2</v>
      </c>
      <c r="S17" s="4039">
        <v>353</v>
      </c>
      <c r="T17" s="4039">
        <v>46817</v>
      </c>
      <c r="U17" s="4040">
        <v>1651.2</v>
      </c>
      <c r="V17" s="4040" t="s">
        <v>2093</v>
      </c>
      <c r="W17" s="4040" t="s">
        <v>2093</v>
      </c>
      <c r="X17" s="4396"/>
    </row>
    <row r="18" spans="15:24">
      <c r="P18" s="4396"/>
      <c r="Q18" s="4116" t="s">
        <v>3397</v>
      </c>
      <c r="R18" s="4116">
        <v>1</v>
      </c>
      <c r="S18" s="4116">
        <v>140</v>
      </c>
      <c r="T18" s="4116">
        <v>42462</v>
      </c>
      <c r="U18" s="4040">
        <v>593.11</v>
      </c>
      <c r="V18" s="4040" t="s">
        <v>2093</v>
      </c>
      <c r="W18" s="4040" t="s">
        <v>2093</v>
      </c>
      <c r="X18" s="4396"/>
    </row>
    <row r="19" spans="15:24">
      <c r="P19" s="4396"/>
      <c r="Q19" s="4040" t="s">
        <v>3395</v>
      </c>
      <c r="R19" s="4040">
        <v>6</v>
      </c>
      <c r="S19" s="4040">
        <v>920</v>
      </c>
      <c r="T19" s="4040">
        <v>46159</v>
      </c>
      <c r="U19" s="4040">
        <v>4244.5</v>
      </c>
      <c r="V19" s="4040" t="s">
        <v>2093</v>
      </c>
      <c r="W19" s="4040" t="s">
        <v>2093</v>
      </c>
      <c r="X19" s="4396"/>
    </row>
    <row r="20" spans="15:24">
      <c r="P20" s="4396"/>
      <c r="Q20" s="4040" t="s">
        <v>3396</v>
      </c>
      <c r="R20" s="4040">
        <v>8</v>
      </c>
      <c r="S20" s="4040">
        <v>1158</v>
      </c>
      <c r="T20" s="4040">
        <v>44883</v>
      </c>
      <c r="U20" s="4040">
        <v>5197.1899999999996</v>
      </c>
      <c r="V20" s="4040" t="s">
        <v>2093</v>
      </c>
      <c r="W20" s="4040" t="s">
        <v>2093</v>
      </c>
      <c r="X20" s="4396"/>
    </row>
    <row r="21" spans="15:24">
      <c r="O21" s="4031" t="s">
        <v>3424</v>
      </c>
      <c r="P21" s="4396"/>
      <c r="Q21" s="4040" t="s">
        <v>3398</v>
      </c>
      <c r="R21" s="4040">
        <v>7</v>
      </c>
      <c r="S21" s="4040">
        <v>1037</v>
      </c>
      <c r="T21" s="4040">
        <v>45364</v>
      </c>
      <c r="U21" s="4040">
        <v>4705.07</v>
      </c>
      <c r="V21" s="4040" t="s">
        <v>2093</v>
      </c>
      <c r="W21" s="4040" t="s">
        <v>2093</v>
      </c>
      <c r="X21" s="4396"/>
    </row>
    <row r="22" spans="15:24">
      <c r="P22" s="4396"/>
      <c r="Q22" s="4040" t="s">
        <v>3399</v>
      </c>
      <c r="R22" s="4040">
        <v>7</v>
      </c>
      <c r="S22" s="4040">
        <v>1090</v>
      </c>
      <c r="T22" s="4040">
        <v>45139</v>
      </c>
      <c r="U22" s="4040">
        <v>4919.2</v>
      </c>
      <c r="V22" s="4040" t="s">
        <v>2093</v>
      </c>
      <c r="W22" s="4040" t="s">
        <v>2093</v>
      </c>
      <c r="X22" s="4396"/>
    </row>
    <row r="23" spans="15:24">
      <c r="P23" s="4396"/>
      <c r="Q23" s="4040" t="s">
        <v>3400</v>
      </c>
      <c r="R23" s="4040">
        <v>15</v>
      </c>
      <c r="S23" s="4040">
        <v>2220</v>
      </c>
      <c r="T23" s="4040">
        <v>45697</v>
      </c>
      <c r="U23" s="4040">
        <v>10144.49</v>
      </c>
      <c r="V23" s="4040" t="s">
        <v>2093</v>
      </c>
      <c r="W23" s="4040" t="s">
        <v>2093</v>
      </c>
      <c r="X23" s="4396"/>
    </row>
    <row r="24" spans="15:24">
      <c r="P24" s="4396"/>
      <c r="Q24" s="4040" t="s">
        <v>3401</v>
      </c>
      <c r="R24" s="4040">
        <v>11</v>
      </c>
      <c r="S24" s="4040">
        <v>1690</v>
      </c>
      <c r="T24" s="4040">
        <v>45846</v>
      </c>
      <c r="U24" s="4040">
        <v>7745.71</v>
      </c>
      <c r="V24" s="4040" t="s">
        <v>2093</v>
      </c>
      <c r="W24" s="4040" t="s">
        <v>2093</v>
      </c>
      <c r="X24" s="4396"/>
    </row>
    <row r="25" spans="15:24">
      <c r="P25" s="4396"/>
      <c r="Q25" s="4040" t="s">
        <v>3402</v>
      </c>
      <c r="R25" s="4040">
        <v>12</v>
      </c>
      <c r="S25" s="4040">
        <v>1886</v>
      </c>
      <c r="T25" s="4040">
        <v>44675</v>
      </c>
      <c r="U25" s="4040">
        <v>8425.01</v>
      </c>
      <c r="V25" s="4040" t="s">
        <v>2093</v>
      </c>
      <c r="W25" s="4040" t="s">
        <v>2093</v>
      </c>
      <c r="X25" s="4396"/>
    </row>
    <row r="26" spans="15:24">
      <c r="P26" s="4396"/>
      <c r="Q26" s="4040" t="s">
        <v>3403</v>
      </c>
      <c r="R26" s="4040">
        <v>20</v>
      </c>
      <c r="S26" s="4040">
        <v>2926</v>
      </c>
      <c r="T26" s="4040">
        <v>45238</v>
      </c>
      <c r="U26" s="4040">
        <v>13236.4</v>
      </c>
      <c r="V26" s="4040" t="s">
        <v>2093</v>
      </c>
      <c r="W26" s="4040" t="s">
        <v>2093</v>
      </c>
      <c r="X26" s="4396"/>
    </row>
    <row r="27" spans="15:24">
      <c r="P27" s="4396"/>
      <c r="Q27" s="4040"/>
      <c r="R27" s="4040"/>
      <c r="S27" s="4040"/>
      <c r="T27" s="4040"/>
      <c r="U27" s="4040"/>
      <c r="V27" s="4040"/>
      <c r="W27" s="4040"/>
      <c r="X27" s="4396"/>
    </row>
    <row r="28" spans="15:24">
      <c r="P28" s="4397" t="s">
        <v>3421</v>
      </c>
      <c r="Q28" s="4040" t="s">
        <v>3384</v>
      </c>
      <c r="R28" s="4040" t="s">
        <v>3385</v>
      </c>
      <c r="S28" s="4040" t="s">
        <v>3386</v>
      </c>
      <c r="T28" s="4040" t="s">
        <v>3387</v>
      </c>
      <c r="U28" s="4040" t="s">
        <v>3388</v>
      </c>
      <c r="V28" s="4040" t="s">
        <v>3389</v>
      </c>
      <c r="W28" s="4040" t="s">
        <v>3390</v>
      </c>
      <c r="X28" s="4400">
        <f>ROUND(AVERAGE(T29:T41),0)</f>
        <v>40189</v>
      </c>
    </row>
    <row r="29" spans="15:24">
      <c r="P29" s="4398"/>
      <c r="Q29" s="4040" t="s">
        <v>3391</v>
      </c>
      <c r="R29" s="4040">
        <v>426</v>
      </c>
      <c r="S29" s="4040">
        <v>46672</v>
      </c>
      <c r="T29" s="4040">
        <v>39965</v>
      </c>
      <c r="U29" s="4040">
        <v>186526.8</v>
      </c>
      <c r="V29" s="4040">
        <v>120</v>
      </c>
      <c r="W29" s="4040">
        <v>16741</v>
      </c>
      <c r="X29" s="4401"/>
    </row>
    <row r="30" spans="15:24">
      <c r="P30" s="4398"/>
      <c r="Q30" s="4040" t="s">
        <v>3392</v>
      </c>
      <c r="R30" s="4040">
        <v>26</v>
      </c>
      <c r="S30" s="4040">
        <v>3164</v>
      </c>
      <c r="T30" s="4040">
        <v>39997</v>
      </c>
      <c r="U30" s="4040">
        <v>12656.41</v>
      </c>
      <c r="V30" s="4040" t="s">
        <v>2093</v>
      </c>
      <c r="W30" s="4040" t="s">
        <v>2093</v>
      </c>
      <c r="X30" s="4401"/>
    </row>
    <row r="31" spans="15:24">
      <c r="P31" s="4398"/>
      <c r="Q31" s="4116" t="s">
        <v>3393</v>
      </c>
      <c r="R31" s="4116">
        <v>74</v>
      </c>
      <c r="S31" s="4116">
        <v>7828</v>
      </c>
      <c r="T31" s="4116">
        <v>38937</v>
      </c>
      <c r="U31" s="4040">
        <v>30480.78</v>
      </c>
      <c r="V31" s="4040" t="s">
        <v>2093</v>
      </c>
      <c r="W31" s="4040" t="s">
        <v>2093</v>
      </c>
      <c r="X31" s="4401"/>
    </row>
    <row r="32" spans="15:24">
      <c r="P32" s="4398"/>
      <c r="Q32" s="4040" t="s">
        <v>3394</v>
      </c>
      <c r="R32" s="4040">
        <v>55</v>
      </c>
      <c r="S32" s="4040">
        <v>5456</v>
      </c>
      <c r="T32" s="4040">
        <v>38547</v>
      </c>
      <c r="U32" s="4040">
        <v>21031.7</v>
      </c>
      <c r="V32" s="4040" t="s">
        <v>2093</v>
      </c>
      <c r="W32" s="4040" t="s">
        <v>2093</v>
      </c>
      <c r="X32" s="4401"/>
    </row>
    <row r="33" spans="15:24">
      <c r="O33" s="4031" t="s">
        <v>3423</v>
      </c>
      <c r="P33" s="4398"/>
      <c r="Q33" s="4040" t="s">
        <v>3397</v>
      </c>
      <c r="R33" s="4040">
        <v>43</v>
      </c>
      <c r="S33" s="4040">
        <v>4748</v>
      </c>
      <c r="T33" s="4040">
        <v>39317</v>
      </c>
      <c r="U33" s="4040">
        <v>18668.939999999999</v>
      </c>
      <c r="V33" s="4040" t="s">
        <v>2093</v>
      </c>
      <c r="W33" s="4040" t="s">
        <v>2093</v>
      </c>
      <c r="X33" s="4401"/>
    </row>
    <row r="34" spans="15:24">
      <c r="P34" s="4398"/>
      <c r="Q34" s="4040" t="s">
        <v>3395</v>
      </c>
      <c r="R34" s="4040">
        <v>19</v>
      </c>
      <c r="S34" s="4040">
        <v>2082</v>
      </c>
      <c r="T34" s="4040">
        <v>39892</v>
      </c>
      <c r="U34" s="4040">
        <v>8307.23</v>
      </c>
      <c r="V34" s="4040" t="s">
        <v>2093</v>
      </c>
      <c r="W34" s="4040" t="s">
        <v>2093</v>
      </c>
      <c r="X34" s="4401"/>
    </row>
    <row r="35" spans="15:24">
      <c r="P35" s="4398"/>
      <c r="Q35" s="4040" t="s">
        <v>3396</v>
      </c>
      <c r="R35" s="4040">
        <v>32</v>
      </c>
      <c r="S35" s="4040">
        <v>3919</v>
      </c>
      <c r="T35" s="4040">
        <v>40922</v>
      </c>
      <c r="U35" s="4040">
        <v>16037.43</v>
      </c>
      <c r="V35" s="4040" t="s">
        <v>2093</v>
      </c>
      <c r="W35" s="4040" t="s">
        <v>2093</v>
      </c>
      <c r="X35" s="4401"/>
    </row>
    <row r="36" spans="15:24">
      <c r="P36" s="4398"/>
      <c r="Q36" s="4040" t="s">
        <v>3398</v>
      </c>
      <c r="R36" s="4040">
        <v>30</v>
      </c>
      <c r="S36" s="4040">
        <v>3249</v>
      </c>
      <c r="T36" s="4040">
        <v>39946</v>
      </c>
      <c r="U36" s="4040">
        <v>12977.66</v>
      </c>
      <c r="V36" s="4040" t="s">
        <v>2093</v>
      </c>
      <c r="W36" s="4040" t="s">
        <v>2093</v>
      </c>
      <c r="X36" s="4401"/>
    </row>
    <row r="37" spans="15:24">
      <c r="P37" s="4398"/>
      <c r="Q37" s="4040" t="s">
        <v>3399</v>
      </c>
      <c r="R37" s="4040">
        <v>23</v>
      </c>
      <c r="S37" s="4040">
        <v>2547</v>
      </c>
      <c r="T37" s="4040">
        <v>40280</v>
      </c>
      <c r="U37" s="4040">
        <v>10260.959999999999</v>
      </c>
      <c r="V37" s="4040" t="s">
        <v>2093</v>
      </c>
      <c r="W37" s="4040" t="s">
        <v>2093</v>
      </c>
      <c r="X37" s="4401"/>
    </row>
    <row r="38" spans="15:24">
      <c r="P38" s="4398"/>
      <c r="Q38" s="4040" t="s">
        <v>3400</v>
      </c>
      <c r="R38" s="4040">
        <v>20</v>
      </c>
      <c r="S38" s="4040">
        <v>2235</v>
      </c>
      <c r="T38" s="4040">
        <v>40980</v>
      </c>
      <c r="U38" s="4040">
        <v>9160.0300000000007</v>
      </c>
      <c r="V38" s="4040" t="s">
        <v>2093</v>
      </c>
      <c r="W38" s="4040" t="s">
        <v>2093</v>
      </c>
      <c r="X38" s="4401"/>
    </row>
    <row r="39" spans="15:24">
      <c r="P39" s="4398"/>
      <c r="Q39" s="4040" t="s">
        <v>3401</v>
      </c>
      <c r="R39" s="4040">
        <v>59</v>
      </c>
      <c r="S39" s="4040">
        <v>6638</v>
      </c>
      <c r="T39" s="4040">
        <v>41090</v>
      </c>
      <c r="U39" s="4040">
        <v>27274.45</v>
      </c>
      <c r="V39" s="4040" t="s">
        <v>2093</v>
      </c>
      <c r="W39" s="4040" t="s">
        <v>2093</v>
      </c>
      <c r="X39" s="4401"/>
    </row>
    <row r="40" spans="15:24">
      <c r="P40" s="4398"/>
      <c r="Q40" s="4040" t="s">
        <v>3402</v>
      </c>
      <c r="R40" s="4040">
        <v>7</v>
      </c>
      <c r="S40" s="4040">
        <v>836</v>
      </c>
      <c r="T40" s="4040">
        <v>41845</v>
      </c>
      <c r="U40" s="4040">
        <v>3497.69</v>
      </c>
      <c r="V40" s="4040" t="s">
        <v>2093</v>
      </c>
      <c r="W40" s="4040" t="s">
        <v>2093</v>
      </c>
      <c r="X40" s="4401"/>
    </row>
    <row r="41" spans="15:24">
      <c r="P41" s="4399"/>
      <c r="Q41" s="4040" t="s">
        <v>3403</v>
      </c>
      <c r="R41" s="4040">
        <v>38</v>
      </c>
      <c r="S41" s="4040">
        <v>3970</v>
      </c>
      <c r="T41" s="4040">
        <v>40744</v>
      </c>
      <c r="U41" s="4040">
        <v>16173.52</v>
      </c>
      <c r="V41" s="4040">
        <v>120</v>
      </c>
      <c r="W41" s="4040">
        <v>16741</v>
      </c>
      <c r="X41" s="4402"/>
    </row>
    <row r="42" spans="15:24">
      <c r="P42" s="4396" t="s">
        <v>3408</v>
      </c>
      <c r="Q42" s="4040" t="s">
        <v>3384</v>
      </c>
      <c r="R42" s="4040" t="s">
        <v>3385</v>
      </c>
      <c r="S42" s="4040" t="s">
        <v>3386</v>
      </c>
      <c r="T42" s="4040" t="s">
        <v>3387</v>
      </c>
      <c r="U42" s="4040" t="s">
        <v>3388</v>
      </c>
      <c r="V42" s="4040" t="s">
        <v>3389</v>
      </c>
      <c r="W42" s="4040" t="s">
        <v>3390</v>
      </c>
      <c r="X42" s="4396">
        <f>ROUND(AVERAGE(T43:T58),0)</f>
        <v>44506</v>
      </c>
    </row>
    <row r="43" spans="15:24">
      <c r="P43" s="4396"/>
      <c r="Q43" s="4040" t="s">
        <v>3391</v>
      </c>
      <c r="R43" s="4040">
        <v>142</v>
      </c>
      <c r="S43" s="4040">
        <v>20352</v>
      </c>
      <c r="T43" s="4040">
        <v>48147</v>
      </c>
      <c r="U43" s="4040">
        <v>97982.92</v>
      </c>
      <c r="V43" s="4040" t="s">
        <v>2093</v>
      </c>
      <c r="W43" s="4040" t="s">
        <v>2093</v>
      </c>
      <c r="X43" s="4396"/>
    </row>
    <row r="44" spans="15:24">
      <c r="P44" s="4396"/>
      <c r="Q44" s="4040" t="s">
        <v>3393</v>
      </c>
      <c r="R44" s="4040">
        <v>3</v>
      </c>
      <c r="S44" s="4040">
        <v>753</v>
      </c>
      <c r="T44" s="4040">
        <v>36608</v>
      </c>
      <c r="U44" s="4040">
        <v>2755.86</v>
      </c>
      <c r="V44" s="4040" t="s">
        <v>2093</v>
      </c>
      <c r="W44" s="4040" t="s">
        <v>2093</v>
      </c>
      <c r="X44" s="4396"/>
    </row>
    <row r="45" spans="15:24">
      <c r="P45" s="4396"/>
      <c r="Q45" s="4040" t="s">
        <v>3394</v>
      </c>
      <c r="R45" s="4040">
        <v>2</v>
      </c>
      <c r="S45" s="4040">
        <v>577</v>
      </c>
      <c r="T45" s="4040">
        <v>38906</v>
      </c>
      <c r="U45" s="4040">
        <v>2244.4299999999998</v>
      </c>
      <c r="V45" s="4040" t="s">
        <v>2093</v>
      </c>
      <c r="W45" s="4040" t="s">
        <v>2093</v>
      </c>
      <c r="X45" s="4396"/>
    </row>
    <row r="46" spans="15:24">
      <c r="P46" s="4396"/>
      <c r="Q46" s="4040" t="s">
        <v>3395</v>
      </c>
      <c r="R46" s="4040">
        <v>4</v>
      </c>
      <c r="S46" s="4040">
        <v>687</v>
      </c>
      <c r="T46" s="4040">
        <v>39869</v>
      </c>
      <c r="U46" s="4040">
        <v>2737.34</v>
      </c>
      <c r="V46" s="4040" t="s">
        <v>2093</v>
      </c>
      <c r="W46" s="4040" t="s">
        <v>2093</v>
      </c>
      <c r="X46" s="4396"/>
    </row>
    <row r="47" spans="15:24">
      <c r="P47" s="4396"/>
      <c r="Q47" s="4040" t="s">
        <v>3398</v>
      </c>
      <c r="R47" s="4040">
        <v>1</v>
      </c>
      <c r="S47" s="4040">
        <v>121</v>
      </c>
      <c r="T47" s="4040">
        <v>55815</v>
      </c>
      <c r="U47" s="4040">
        <v>674.8</v>
      </c>
      <c r="V47" s="4040" t="s">
        <v>2093</v>
      </c>
      <c r="W47" s="4040" t="s">
        <v>2093</v>
      </c>
      <c r="X47" s="4396"/>
    </row>
    <row r="48" spans="15:24">
      <c r="P48" s="4396"/>
      <c r="Q48" s="4040" t="s">
        <v>3399</v>
      </c>
      <c r="R48" s="4040">
        <v>5</v>
      </c>
      <c r="S48" s="4040">
        <v>869</v>
      </c>
      <c r="T48" s="4040">
        <v>39956</v>
      </c>
      <c r="U48" s="4040">
        <v>3471.62</v>
      </c>
      <c r="V48" s="4040" t="s">
        <v>2093</v>
      </c>
      <c r="W48" s="4040" t="s">
        <v>2093</v>
      </c>
      <c r="X48" s="4396"/>
    </row>
    <row r="49" spans="16:24">
      <c r="P49" s="4396"/>
      <c r="Q49" s="4040" t="s">
        <v>3400</v>
      </c>
      <c r="R49" s="4040">
        <v>2</v>
      </c>
      <c r="S49" s="4040">
        <v>337</v>
      </c>
      <c r="T49" s="4040">
        <v>41213</v>
      </c>
      <c r="U49" s="4040">
        <v>1390.82</v>
      </c>
      <c r="V49" s="4040" t="s">
        <v>2093</v>
      </c>
      <c r="W49" s="4040" t="s">
        <v>2093</v>
      </c>
      <c r="X49" s="4396"/>
    </row>
    <row r="50" spans="16:24">
      <c r="P50" s="4396"/>
      <c r="Q50" s="4040" t="s">
        <v>3401</v>
      </c>
      <c r="R50" s="4040">
        <v>2</v>
      </c>
      <c r="S50" s="4040">
        <v>233</v>
      </c>
      <c r="T50" s="4040">
        <v>56509</v>
      </c>
      <c r="U50" s="4040">
        <v>1315.81</v>
      </c>
      <c r="V50" s="4040" t="s">
        <v>2093</v>
      </c>
      <c r="W50" s="4040" t="s">
        <v>2093</v>
      </c>
      <c r="X50" s="4396"/>
    </row>
    <row r="51" spans="16:24">
      <c r="P51" s="4396"/>
      <c r="Q51" s="4040" t="s">
        <v>3402</v>
      </c>
      <c r="R51" s="4040">
        <v>2</v>
      </c>
      <c r="S51" s="4040">
        <v>272</v>
      </c>
      <c r="T51" s="4040">
        <v>45096</v>
      </c>
      <c r="U51" s="4040">
        <v>1224.72</v>
      </c>
      <c r="V51" s="4040" t="s">
        <v>2093</v>
      </c>
      <c r="W51" s="4040" t="s">
        <v>2093</v>
      </c>
      <c r="X51" s="4396"/>
    </row>
    <row r="52" spans="16:24">
      <c r="P52" s="4396"/>
      <c r="Q52" s="4040" t="s">
        <v>3403</v>
      </c>
      <c r="R52" s="4040">
        <v>4</v>
      </c>
      <c r="S52" s="4040">
        <v>876</v>
      </c>
      <c r="T52" s="4040">
        <v>45933</v>
      </c>
      <c r="U52" s="4040">
        <v>4023.22</v>
      </c>
      <c r="V52" s="4040" t="s">
        <v>2093</v>
      </c>
      <c r="W52" s="4040" t="s">
        <v>2093</v>
      </c>
      <c r="X52" s="4396"/>
    </row>
    <row r="53" spans="16:24">
      <c r="P53" s="4396"/>
      <c r="Q53" s="4040" t="s">
        <v>3404</v>
      </c>
      <c r="R53" s="4040">
        <v>3</v>
      </c>
      <c r="S53" s="4040">
        <v>610</v>
      </c>
      <c r="T53" s="4040">
        <v>41518</v>
      </c>
      <c r="U53" s="4040">
        <v>2531.0700000000002</v>
      </c>
      <c r="V53" s="4040" t="s">
        <v>2093</v>
      </c>
      <c r="W53" s="4040" t="s">
        <v>2093</v>
      </c>
      <c r="X53" s="4396"/>
    </row>
    <row r="54" spans="16:24">
      <c r="P54" s="4396"/>
      <c r="Q54" s="4040"/>
      <c r="R54" s="4040"/>
      <c r="S54" s="4040"/>
      <c r="T54" s="4040"/>
      <c r="U54" s="4040"/>
      <c r="V54" s="4040"/>
      <c r="W54" s="4040"/>
      <c r="X54" s="4396"/>
    </row>
    <row r="55" spans="16:24">
      <c r="P55" s="4396"/>
      <c r="Q55" s="4040"/>
      <c r="R55" s="4040"/>
      <c r="S55" s="4040"/>
      <c r="T55" s="4040"/>
      <c r="U55" s="4040"/>
      <c r="V55" s="4040"/>
      <c r="W55" s="4040"/>
      <c r="X55" s="4396"/>
    </row>
    <row r="56" spans="16:24">
      <c r="P56" s="4396"/>
      <c r="Q56" s="4040"/>
      <c r="R56" s="4040"/>
      <c r="S56" s="4040"/>
      <c r="T56" s="4040"/>
      <c r="U56" s="4040"/>
      <c r="V56" s="4040"/>
      <c r="W56" s="4040"/>
      <c r="X56" s="4396"/>
    </row>
    <row r="57" spans="16:24">
      <c r="P57" s="4396"/>
      <c r="Q57" s="4040"/>
      <c r="R57" s="4040"/>
      <c r="S57" s="4040"/>
      <c r="T57" s="4040"/>
      <c r="U57" s="4040"/>
      <c r="V57" s="4040"/>
      <c r="W57" s="4040"/>
      <c r="X57" s="4396"/>
    </row>
    <row r="58" spans="16:24">
      <c r="P58" s="4396"/>
      <c r="Q58" s="4040"/>
      <c r="R58" s="4040"/>
      <c r="S58" s="4040"/>
      <c r="T58" s="4040"/>
      <c r="U58" s="4040"/>
      <c r="V58" s="4040"/>
      <c r="W58" s="4040"/>
      <c r="X58" s="4396"/>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AR123"/>
  <sheetViews>
    <sheetView view="pageBreakPreview" zoomScale="85" zoomScaleNormal="60" zoomScaleSheetLayoutView="85" workbookViewId="0">
      <selection activeCell="H11" sqref="H11"/>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39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20</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6818</v>
      </c>
      <c r="U2" s="2354"/>
      <c r="V2" s="2364">
        <f>ROUND(T2*U2/10000,0)</f>
        <v>0</v>
      </c>
      <c r="W2" s="1877"/>
      <c r="X2" s="1877"/>
      <c r="Y2" s="1877"/>
      <c r="Z2" s="1877"/>
      <c r="AA2" s="1877"/>
      <c r="AB2" s="1877"/>
      <c r="AC2" s="1878"/>
    </row>
    <row r="3" spans="1:39" ht="15.75">
      <c r="A3" s="1240" t="s">
        <v>1220</v>
      </c>
      <c r="B3" s="968">
        <f>ROUND(B2*10000/D1,0)</f>
        <v>5128</v>
      </c>
      <c r="C3" s="1236" t="s">
        <v>855</v>
      </c>
      <c r="D3" s="1237" t="s">
        <v>856</v>
      </c>
      <c r="E3" s="1241" t="s">
        <v>2465</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5255</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4287</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5350</v>
      </c>
      <c r="D5" s="2492">
        <f>ROUND(C6*C17+C20,0)</f>
        <v>5350</v>
      </c>
      <c r="E5" s="3826">
        <f>ROUND(C6+C20,0)</f>
        <v>5350</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3639</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3316</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8" t="s">
        <v>2058</v>
      </c>
      <c r="X8" s="4349"/>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350"/>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50"/>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51" t="s">
        <v>1370</v>
      </c>
      <c r="B20" s="1252" t="s">
        <v>875</v>
      </c>
      <c r="C20" s="975">
        <f>ROUND(IF(F21="与级别开发程度一致",0,(G21-E21)/C21),0)</f>
        <v>30</v>
      </c>
      <c r="D20" s="4353" t="s">
        <v>879</v>
      </c>
      <c r="E20" s="4354"/>
      <c r="F20" s="4353" t="s">
        <v>876</v>
      </c>
      <c r="G20" s="4354"/>
      <c r="H20" s="1265" t="s">
        <v>2760</v>
      </c>
      <c r="I20" s="1265" t="s">
        <v>2761</v>
      </c>
      <c r="J20" s="1265" t="s">
        <v>2763</v>
      </c>
      <c r="K20" s="1265" t="s">
        <v>2764</v>
      </c>
      <c r="L20" s="1265"/>
      <c r="M20" s="1265" t="s">
        <v>2765</v>
      </c>
      <c r="N20" s="1265" t="s">
        <v>2766</v>
      </c>
      <c r="O20" s="2550" t="s">
        <v>2767</v>
      </c>
      <c r="P20" s="1877"/>
      <c r="Q20" s="1880"/>
      <c r="R20" s="1883"/>
      <c r="S20" s="1883"/>
      <c r="T20" s="1883"/>
      <c r="U20" s="1883"/>
      <c r="V20" s="1883"/>
      <c r="W20" s="1883"/>
      <c r="X20" s="1883"/>
      <c r="Y20" s="1269"/>
      <c r="Z20" s="1269"/>
      <c r="AA20" s="1269"/>
      <c r="AB20" s="1269"/>
      <c r="AC20" s="1269"/>
      <c r="AD20" s="1269"/>
    </row>
    <row r="21" spans="1:40" s="1250" customFormat="1" ht="24.75" thickBot="1">
      <c r="A21" s="4352"/>
      <c r="B21" s="4075" t="s">
        <v>878</v>
      </c>
      <c r="C21" s="4076">
        <f>IF(E3="M4科研用地",SUMPRODUCT((修正!A2:A7=E3)*(修正!B1:M1=G2)*(修正!B2:M7)),SUMPRODUCT((修正!A2:A7=E2)*(修正!B1:M1=G2)*(修正!B2:M7)))</f>
        <v>2</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0</v>
      </c>
      <c r="M21" s="974">
        <f>SUMPRODUCT((七通一平=M20)*(修正!B1:M1=G2)*(修正!B8:M16))</f>
        <v>40</v>
      </c>
      <c r="N21" s="974">
        <f>SUMPRODUCT((七通一平=N20)*(修正!B1:M1=G2)*(修正!B8:M16))</f>
        <v>30</v>
      </c>
      <c r="O21" s="2554">
        <f>SUMPRODUCT((七通一平=O20)*(修正!B1:M1=G2)*(修正!B8:M16))</f>
        <v>10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1.1528</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1.1528</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0.99539999999999995</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5098</v>
      </c>
      <c r="D33" s="1300">
        <f>'数据-汇总表'!F20</f>
        <v>39</v>
      </c>
      <c r="E33" s="1601">
        <f>ROUND(C33*D33/10000,0)</f>
        <v>20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1275</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6"/>
      <c r="B37" s="1318" t="s">
        <v>923</v>
      </c>
      <c r="C37" s="982">
        <f>ROUND(D5*C22*C23*C24*C28*F37,0)</f>
        <v>2211</v>
      </c>
      <c r="D37" s="1330"/>
      <c r="E37" s="973">
        <f>ROUND(C37*D37/10000,0)</f>
        <v>0</v>
      </c>
      <c r="F37" s="973">
        <f>SUMIF(修正!A57:A68,G2,修正!B57:B68)</f>
        <v>0.5</v>
      </c>
      <c r="G37" s="973">
        <f>ROUND(IF(E2="工业",C37*$M$42,C37*$M$41),0)</f>
        <v>553</v>
      </c>
      <c r="H37" s="973">
        <f>D37</f>
        <v>0</v>
      </c>
      <c r="I37" s="973">
        <f>ROUND(G37*H37/10000,0)</f>
        <v>0</v>
      </c>
      <c r="J37" s="4346"/>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7"/>
      <c r="B38" s="1262" t="s">
        <v>924</v>
      </c>
      <c r="C38" s="982">
        <f>ROUND(D5*C22*C23*C24*C28*F38,0)</f>
        <v>884</v>
      </c>
      <c r="D38" s="1330"/>
      <c r="E38" s="973">
        <f t="shared" ref="E38:E42" si="4">ROUND(C38*D38/10000,0)</f>
        <v>0</v>
      </c>
      <c r="F38" s="973">
        <f>SUMIF(修正!A57:A68,G2,修正!C57:C68)</f>
        <v>0.2</v>
      </c>
      <c r="G38" s="973">
        <f>ROUND(IF(E2="工业",C38*$M$42,C38*$M$41),0)</f>
        <v>221</v>
      </c>
      <c r="H38" s="973">
        <f t="shared" ref="H38:H42" si="5">D38</f>
        <v>0</v>
      </c>
      <c r="I38" s="973">
        <f t="shared" ref="I38:I42" si="6">ROUND(G38*H38/10000,0)</f>
        <v>0</v>
      </c>
      <c r="J38" s="4347"/>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7"/>
      <c r="B39" s="3504" t="s">
        <v>3210</v>
      </c>
      <c r="C39" s="982">
        <f>ROUND(D5*C22*C23*C24*C28*F39,0)</f>
        <v>884</v>
      </c>
      <c r="D39" s="1330"/>
      <c r="E39" s="973">
        <f t="shared" si="4"/>
        <v>0</v>
      </c>
      <c r="F39" s="973">
        <f>SUMIF(修正!A57:A68,G2,修正!D57:D68)</f>
        <v>0.2</v>
      </c>
      <c r="G39" s="973">
        <f>ROUND(IF(E2="工业",C39*$M$42,C39*$M$41),0)</f>
        <v>221</v>
      </c>
      <c r="H39" s="973">
        <f t="shared" si="5"/>
        <v>0</v>
      </c>
      <c r="I39" s="973">
        <f t="shared" si="6"/>
        <v>0</v>
      </c>
      <c r="J39" s="4347"/>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884</v>
      </c>
      <c r="D40" s="1330"/>
      <c r="E40" s="973">
        <f t="shared" si="4"/>
        <v>0</v>
      </c>
      <c r="F40" s="982">
        <f>SUMIF(修正!A57:A68,G2,修正!E57:E68)</f>
        <v>0.2</v>
      </c>
      <c r="G40" s="973">
        <f>ROUND(IF(E2="工业",C40*$M$42,C40*$M$41),0)</f>
        <v>221</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0.99539999999999995</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3437</v>
      </c>
      <c r="D50" s="3532">
        <f t="shared" ref="D50:D58" si="7">SUMIF($J$49:$N$49,C50,J50:N50)</f>
        <v>-2.2499999999999999E-2</v>
      </c>
      <c r="E50" s="3533">
        <f>ROUND(SUM(D50:D58),4)</f>
        <v>-4.5999999999999999E-3</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72" t="str">
        <f>基准地价住宅!C73</f>
        <v>较差</v>
      </c>
      <c r="D51" s="3532">
        <f t="shared" si="7"/>
        <v>-1.6500000000000001E-2</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3341</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0" t="s">
        <v>1172</v>
      </c>
      <c r="B104" s="4340"/>
      <c r="C104" s="4340"/>
      <c r="D104" s="4340"/>
      <c r="E104" s="4340"/>
      <c r="F104" s="4340"/>
      <c r="G104" s="4340"/>
      <c r="H104" s="4340"/>
      <c r="I104" s="4340"/>
      <c r="J104" s="4340"/>
      <c r="K104" s="3600"/>
      <c r="L104" s="3600"/>
      <c r="M104" s="3600"/>
      <c r="N104" s="3600"/>
    </row>
    <row r="105" spans="1:36">
      <c r="A105" s="4341" t="s">
        <v>833</v>
      </c>
      <c r="B105" s="4341" t="s">
        <v>1173</v>
      </c>
      <c r="C105" s="1018" t="s">
        <v>1174</v>
      </c>
      <c r="D105" s="1019"/>
      <c r="E105" s="1019"/>
      <c r="F105" s="1019"/>
      <c r="G105" s="1019"/>
      <c r="H105" s="1019"/>
      <c r="I105" s="1019"/>
      <c r="J105" s="1020"/>
      <c r="K105" s="1012"/>
      <c r="L105" s="1012"/>
      <c r="M105" s="1012"/>
      <c r="N105" s="1012"/>
    </row>
    <row r="106" spans="1:36">
      <c r="A106" s="4341"/>
      <c r="B106" s="4341"/>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42"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43"/>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43"/>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43"/>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43"/>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43"/>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44"/>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45" t="s">
        <v>1175</v>
      </c>
      <c r="B114" s="4345"/>
      <c r="C114" s="4345"/>
      <c r="D114" s="4345"/>
      <c r="E114" s="4345"/>
      <c r="F114" s="4345"/>
      <c r="G114" s="4345"/>
      <c r="H114" s="4345"/>
      <c r="I114" s="4345"/>
      <c r="J114" s="4345"/>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95" priority="5" stopIfTrue="1" operator="notEqual">
      <formula>"——"</formula>
    </cfRule>
  </conditionalFormatting>
  <conditionalFormatting sqref="F61">
    <cfRule type="cellIs" dxfId="194" priority="4" stopIfTrue="1" operator="notEqual">
      <formula>"——"</formula>
    </cfRule>
  </conditionalFormatting>
  <conditionalFormatting sqref="F72">
    <cfRule type="cellIs" dxfId="193" priority="3" stopIfTrue="1" operator="notEqual">
      <formula>"——"</formula>
    </cfRule>
  </conditionalFormatting>
  <conditionalFormatting sqref="F83">
    <cfRule type="cellIs" dxfId="192" priority="2" stopIfTrue="1" operator="notEqual">
      <formula>"——"</formula>
    </cfRule>
  </conditionalFormatting>
  <conditionalFormatting sqref="H50:H58 H72:H80 H83:H91 H93:H102 H61:H69">
    <cfRule type="cellIs" dxfId="191" priority="1" operator="notEqual">
      <formula>"——"</formula>
    </cfRule>
  </conditionalFormatting>
  <dataValidations count="12">
    <dataValidation type="list" allowBlank="1" showInputMessage="1" showErrorMessage="1" sqref="J23" xr:uid="{00000000-0002-0000-1A00-000000000000}">
      <formula1>"不用分区数据,中心城区,中心城区以外"</formula1>
    </dataValidation>
    <dataValidation type="list" allowBlank="1" showInputMessage="1" showErrorMessage="1" sqref="H20:O20" xr:uid="{00000000-0002-0000-1A00-000001000000}">
      <formula1>七通一平</formula1>
    </dataValidation>
    <dataValidation type="list" allowBlank="1" showInputMessage="1" showErrorMessage="1" sqref="C50:C58 C61:C69 C93:C102 C72:C80 C83:C90" xr:uid="{00000000-0002-0000-1A00-000002000000}">
      <formula1>五等判定</formula1>
    </dataValidation>
    <dataValidation type="list" allowBlank="1" showInputMessage="1" showErrorMessage="1" sqref="E3" xr:uid="{00000000-0002-0000-1A00-000003000000}">
      <formula1>二级分类</formula1>
    </dataValidation>
    <dataValidation type="list" allowBlank="1" showInputMessage="1" showErrorMessage="1" sqref="C8" xr:uid="{00000000-0002-0000-1A00-000004000000}">
      <formula1>商业街名称</formula1>
    </dataValidation>
    <dataValidation type="list" allowBlank="1" showInputMessage="1" showErrorMessage="1" sqref="F3" xr:uid="{00000000-0002-0000-1A00-000005000000}">
      <formula1>"宗地容积率,估价对象容积率,自定义容积率"</formula1>
    </dataValidation>
    <dataValidation type="list" allowBlank="1" showInputMessage="1" showErrorMessage="1" sqref="H23" xr:uid="{00000000-0002-0000-1A00-000006000000}">
      <formula1>"地价指数,季度增幅（自定义）,按公示增长率计算"</formula1>
    </dataValidation>
    <dataValidation type="list" allowBlank="1" showInputMessage="1" showErrorMessage="1" sqref="E15" xr:uid="{00000000-0002-0000-1A00-000007000000}">
      <formula1>"500米范围内,500-1000米,1000米以外"</formula1>
    </dataValidation>
    <dataValidation type="list" allowBlank="1" showInputMessage="1" showErrorMessage="1" sqref="C15:D15" xr:uid="{00000000-0002-0000-1A00-000008000000}">
      <formula1>"有,无"</formula1>
    </dataValidation>
    <dataValidation type="list" allowBlank="1" showInputMessage="1" showErrorMessage="1" sqref="B25" xr:uid="{00000000-0002-0000-1A00-000009000000}">
      <formula1>"容积率修正,楼层修正"</formula1>
    </dataValidation>
    <dataValidation type="list" allowBlank="1" showInputMessage="1" showErrorMessage="1" sqref="F21" xr:uid="{00000000-0002-0000-1A00-00000A000000}">
      <formula1>"与级别开发程度一致,与级别开发程度不一致"</formula1>
    </dataValidation>
    <dataValidation type="list" allowBlank="1" showInputMessage="1" showErrorMessage="1" sqref="E2" xr:uid="{00000000-0002-0000-1A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E490"/>
  <sheetViews>
    <sheetView view="pageBreakPreview" topLeftCell="A16" zoomScale="90" zoomScaleNormal="80" zoomScaleSheetLayoutView="90" workbookViewId="0">
      <selection activeCell="M9" sqref="M9"/>
    </sheetView>
  </sheetViews>
  <sheetFormatPr defaultColWidth="6.625" defaultRowHeight="12.75"/>
  <cols>
    <col min="1" max="1" width="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36.760199999999998</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9426</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11311</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754</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85.878</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22020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39</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85.878</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17.55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0.87749999999999995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1.17</v>
      </c>
      <c r="D16" s="3603">
        <f>C9</f>
        <v>39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0.26329999999999998</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19.860800000000005</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0.156</v>
      </c>
      <c r="D19" s="3846">
        <f>C9</f>
        <v>39</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0.74099999999999999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0.74099999999999999</v>
      </c>
      <c r="D22" s="3845">
        <f>C9</f>
        <v>39</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0.62270000000000003</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3.4350999999999998</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1.4821</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1.4821</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4.4984000000000002</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30.796100000000003</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30.796100000000003</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4.9630999999999998</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4.9630999999999998</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36.760199999999998</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B00-000000000000}">
      <formula1>"已全部缴纳,已部分缴纳"</formula1>
    </dataValidation>
    <dataValidation type="list" allowBlank="1" showInputMessage="1" showErrorMessage="1" sqref="D7:K7" xr:uid="{00000000-0002-0000-1B00-000001000000}">
      <formula1>项目类型</formula1>
    </dataValidation>
    <dataValidation type="list" allowBlank="1" showInputMessage="1" showErrorMessage="1" sqref="D6" xr:uid="{00000000-0002-0000-1B00-000002000000}">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AC794"/>
  <sheetViews>
    <sheetView view="pageBreakPreview" topLeftCell="A24" zoomScale="82" zoomScaleNormal="60" zoomScaleSheetLayoutView="85" workbookViewId="0">
      <selection activeCell="S57" sqref="S57"/>
    </sheetView>
  </sheetViews>
  <sheetFormatPr defaultColWidth="9" defaultRowHeight="14.25"/>
  <cols>
    <col min="1" max="1" width="10.5" style="1175" customWidth="1"/>
    <col min="2" max="2" width="15.625" style="1175" customWidth="1"/>
    <col min="3" max="3" width="33.12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3354</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86</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22020</v>
      </c>
      <c r="C3" s="794" t="s">
        <v>669</v>
      </c>
      <c r="D3" s="793">
        <f>SUMIF('数据-汇总表'!$C19:$C33,D1,'数据-汇总表'!$E19:$E33)</f>
        <v>39</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73" t="s">
        <v>471</v>
      </c>
      <c r="D4" s="4374"/>
      <c r="E4" s="4375" t="s">
        <v>472</v>
      </c>
      <c r="F4" s="4376"/>
      <c r="G4" s="4373" t="s">
        <v>473</v>
      </c>
      <c r="H4" s="4374"/>
      <c r="I4" s="4373" t="s">
        <v>474</v>
      </c>
      <c r="J4" s="4374"/>
      <c r="K4" s="463" t="s">
        <v>475</v>
      </c>
      <c r="L4" s="1822"/>
      <c r="M4" s="1823"/>
      <c r="N4" s="1823"/>
      <c r="O4" s="1823"/>
      <c r="P4" s="4377" t="s">
        <v>476</v>
      </c>
      <c r="Q4" s="4378"/>
      <c r="R4" s="4360" t="s">
        <v>472</v>
      </c>
      <c r="S4" s="4361"/>
      <c r="T4" s="4360" t="s">
        <v>473</v>
      </c>
      <c r="U4" s="4361"/>
      <c r="V4" s="4385" t="s">
        <v>474</v>
      </c>
      <c r="W4" s="4385"/>
      <c r="X4" s="4024"/>
      <c r="Y4" s="4360" t="s">
        <v>476</v>
      </c>
      <c r="Z4" s="4361"/>
      <c r="AA4" s="4355" t="s">
        <v>472</v>
      </c>
      <c r="AB4" s="4385" t="s">
        <v>473</v>
      </c>
      <c r="AC4" s="4355" t="s">
        <v>474</v>
      </c>
    </row>
    <row r="5" spans="1:29" ht="15">
      <c r="A5" s="464"/>
      <c r="B5" s="465"/>
      <c r="C5" s="4366" t="s">
        <v>2186</v>
      </c>
      <c r="D5" s="4367"/>
      <c r="E5" s="4403" t="str">
        <f>商业售价案例!$A$2</f>
        <v>顺义金街华联购物中心</v>
      </c>
      <c r="F5" s="4365"/>
      <c r="G5" s="4403" t="str">
        <f>商业售价案例!$A$3</f>
        <v>中粮祥云小镇</v>
      </c>
      <c r="H5" s="4365"/>
      <c r="I5" s="4403" t="str">
        <f>商业售价案例!A4</f>
        <v>府前西街</v>
      </c>
      <c r="J5" s="4365"/>
      <c r="K5" s="463"/>
      <c r="L5" s="1822"/>
      <c r="M5" s="1823"/>
      <c r="N5" s="1823"/>
      <c r="O5" s="1823"/>
      <c r="P5" s="4379"/>
      <c r="Q5" s="4380"/>
      <c r="R5" s="4362"/>
      <c r="S5" s="4363"/>
      <c r="T5" s="4362"/>
      <c r="U5" s="4363"/>
      <c r="V5" s="4385"/>
      <c r="W5" s="4385"/>
      <c r="X5" s="4024"/>
      <c r="Y5" s="4362"/>
      <c r="Z5" s="4363"/>
      <c r="AA5" s="4356"/>
      <c r="AB5" s="4385"/>
      <c r="AC5" s="4356"/>
    </row>
    <row r="6" spans="1:29" ht="15.75" thickBot="1">
      <c r="A6" s="466"/>
      <c r="B6" s="467"/>
      <c r="C6" s="4368" t="s">
        <v>2190</v>
      </c>
      <c r="D6" s="4369"/>
      <c r="E6" s="4370" t="s">
        <v>2190</v>
      </c>
      <c r="F6" s="4371"/>
      <c r="G6" s="4368" t="s">
        <v>2190</v>
      </c>
      <c r="H6" s="4369"/>
      <c r="I6" s="4368" t="s">
        <v>2190</v>
      </c>
      <c r="J6" s="4369"/>
      <c r="K6" s="463" t="s">
        <v>477</v>
      </c>
      <c r="L6" s="1822"/>
      <c r="M6" s="1823"/>
      <c r="N6" s="1823"/>
      <c r="O6" s="1823"/>
      <c r="P6" s="4381"/>
      <c r="Q6" s="4382"/>
      <c r="R6" s="4362"/>
      <c r="S6" s="4363"/>
      <c r="T6" s="4383"/>
      <c r="U6" s="4384"/>
      <c r="V6" s="4385"/>
      <c r="W6" s="4385"/>
      <c r="X6" s="4024"/>
      <c r="Y6" s="4383"/>
      <c r="Z6" s="4384"/>
      <c r="AA6" s="4357"/>
      <c r="AB6" s="4385"/>
      <c r="AC6" s="4357"/>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358" t="s">
        <v>479</v>
      </c>
      <c r="Q7" s="4386"/>
      <c r="R7" s="1355" t="s">
        <v>5</v>
      </c>
      <c r="S7" s="1356">
        <f t="shared" ref="S7:S15" si="0">F7</f>
        <v>100</v>
      </c>
      <c r="T7" s="1355" t="s">
        <v>5</v>
      </c>
      <c r="U7" s="1356">
        <f t="shared" ref="U7:U15" si="1">H7</f>
        <v>100</v>
      </c>
      <c r="V7" s="1355" t="s">
        <v>5</v>
      </c>
      <c r="W7" s="1356">
        <f t="shared" ref="W7:W15" si="2">J7</f>
        <v>100</v>
      </c>
      <c r="X7" s="1357"/>
      <c r="Y7" s="4358" t="s">
        <v>479</v>
      </c>
      <c r="Z7" s="4359"/>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58" t="s">
        <v>482</v>
      </c>
      <c r="Q8" s="4359"/>
      <c r="R8" s="1355" t="s">
        <v>5</v>
      </c>
      <c r="S8" s="1356">
        <f t="shared" si="0"/>
        <v>100</v>
      </c>
      <c r="T8" s="1355" t="s">
        <v>5</v>
      </c>
      <c r="U8" s="1356">
        <f t="shared" si="1"/>
        <v>100</v>
      </c>
      <c r="V8" s="1355" t="s">
        <v>5</v>
      </c>
      <c r="W8" s="1356">
        <f t="shared" si="2"/>
        <v>100</v>
      </c>
      <c r="X8" s="1357"/>
      <c r="Y8" s="4358" t="s">
        <v>482</v>
      </c>
      <c r="Z8" s="4359"/>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72" t="s">
        <v>484</v>
      </c>
      <c r="Q9" s="4023" t="str">
        <f t="shared" ref="Q9:Q15" si="6">B9</f>
        <v>用途</v>
      </c>
      <c r="R9" s="1355" t="s">
        <v>5</v>
      </c>
      <c r="S9" s="1356">
        <f t="shared" si="0"/>
        <v>100</v>
      </c>
      <c r="T9" s="1355" t="s">
        <v>5</v>
      </c>
      <c r="U9" s="1356">
        <f t="shared" si="1"/>
        <v>100</v>
      </c>
      <c r="V9" s="1355" t="s">
        <v>5</v>
      </c>
      <c r="W9" s="1356">
        <f t="shared" si="2"/>
        <v>100</v>
      </c>
      <c r="X9" s="1357"/>
      <c r="Y9" s="4304"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72"/>
      <c r="Q10" s="4023" t="str">
        <f t="shared" si="6"/>
        <v>土地使用年限（年）</v>
      </c>
      <c r="R10" s="1355" t="s">
        <v>5</v>
      </c>
      <c r="S10" s="1356">
        <f t="shared" si="0"/>
        <v>100</v>
      </c>
      <c r="T10" s="1355" t="s">
        <v>5</v>
      </c>
      <c r="U10" s="1356">
        <f t="shared" si="1"/>
        <v>100</v>
      </c>
      <c r="V10" s="1355" t="s">
        <v>5</v>
      </c>
      <c r="W10" s="1356">
        <f t="shared" si="2"/>
        <v>100</v>
      </c>
      <c r="X10" s="1357"/>
      <c r="Y10" s="4304"/>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72"/>
      <c r="Q11" s="4023" t="str">
        <f t="shared" si="6"/>
        <v>容积率</v>
      </c>
      <c r="R11" s="1355" t="s">
        <v>5</v>
      </c>
      <c r="S11" s="1356">
        <f t="shared" si="0"/>
        <v>100</v>
      </c>
      <c r="T11" s="1355" t="s">
        <v>5</v>
      </c>
      <c r="U11" s="1356">
        <f t="shared" si="1"/>
        <v>100</v>
      </c>
      <c r="V11" s="1355" t="s">
        <v>5</v>
      </c>
      <c r="W11" s="1356">
        <f t="shared" si="2"/>
        <v>100</v>
      </c>
      <c r="X11" s="1357"/>
      <c r="Y11" s="4304"/>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72"/>
      <c r="Q12" s="4023">
        <f t="shared" si="6"/>
        <v>111</v>
      </c>
      <c r="R12" s="1355" t="s">
        <v>5</v>
      </c>
      <c r="S12" s="1356">
        <f t="shared" si="0"/>
        <v>100</v>
      </c>
      <c r="T12" s="1355" t="s">
        <v>5</v>
      </c>
      <c r="U12" s="1356">
        <f t="shared" si="1"/>
        <v>100</v>
      </c>
      <c r="V12" s="1355" t="s">
        <v>5</v>
      </c>
      <c r="W12" s="1356">
        <f t="shared" si="2"/>
        <v>100</v>
      </c>
      <c r="X12" s="1357"/>
      <c r="Y12" s="4304"/>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72"/>
      <c r="Q13" s="4023">
        <f t="shared" si="6"/>
        <v>111</v>
      </c>
      <c r="R13" s="1355" t="s">
        <v>5</v>
      </c>
      <c r="S13" s="1356">
        <f t="shared" si="0"/>
        <v>100</v>
      </c>
      <c r="T13" s="1355" t="s">
        <v>5</v>
      </c>
      <c r="U13" s="1356">
        <f t="shared" si="1"/>
        <v>100</v>
      </c>
      <c r="V13" s="1355" t="s">
        <v>5</v>
      </c>
      <c r="W13" s="1356">
        <f t="shared" si="2"/>
        <v>100</v>
      </c>
      <c r="X13" s="1357"/>
      <c r="Y13" s="4304"/>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72"/>
      <c r="Q14" s="4023">
        <f t="shared" si="6"/>
        <v>111</v>
      </c>
      <c r="R14" s="1355" t="s">
        <v>5</v>
      </c>
      <c r="S14" s="1356">
        <f t="shared" si="0"/>
        <v>100</v>
      </c>
      <c r="T14" s="1355" t="s">
        <v>5</v>
      </c>
      <c r="U14" s="1356">
        <f t="shared" si="1"/>
        <v>100</v>
      </c>
      <c r="V14" s="1355" t="s">
        <v>5</v>
      </c>
      <c r="W14" s="1356">
        <f t="shared" si="2"/>
        <v>100</v>
      </c>
      <c r="X14" s="1357"/>
      <c r="Y14" s="4304"/>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104</v>
      </c>
      <c r="G15" s="501"/>
      <c r="H15" s="498">
        <f>SUMIF(76:76,G16,77:77)-SUMIF(76:76,C16,77:77)+100</f>
        <v>102</v>
      </c>
      <c r="I15" s="499"/>
      <c r="J15" s="498">
        <f>SUMIF(76:76,I16,77:77)-SUMIF(76:76,C16,77:77)+100</f>
        <v>104</v>
      </c>
      <c r="K15" s="838">
        <v>2</v>
      </c>
      <c r="L15" s="1831"/>
      <c r="M15" s="1823"/>
      <c r="N15" s="1823"/>
      <c r="O15" s="1830"/>
      <c r="P15" s="4391" t="s">
        <v>489</v>
      </c>
      <c r="Q15" s="4025" t="str">
        <f t="shared" si="6"/>
        <v>商业繁华度</v>
      </c>
      <c r="R15" s="1360" t="s">
        <v>5</v>
      </c>
      <c r="S15" s="1361">
        <f t="shared" si="0"/>
        <v>104</v>
      </c>
      <c r="T15" s="1360" t="s">
        <v>5</v>
      </c>
      <c r="U15" s="1361">
        <f t="shared" si="1"/>
        <v>102</v>
      </c>
      <c r="V15" s="1360" t="s">
        <v>5</v>
      </c>
      <c r="W15" s="1361">
        <f t="shared" si="2"/>
        <v>104</v>
      </c>
      <c r="X15" s="4024"/>
      <c r="Y15" s="4391" t="s">
        <v>489</v>
      </c>
      <c r="Z15" s="4026" t="str">
        <f t="shared" si="7"/>
        <v>商业繁华度</v>
      </c>
      <c r="AA15" s="4028">
        <f t="shared" si="3"/>
        <v>0.96153846153846156</v>
      </c>
      <c r="AB15" s="4028">
        <f t="shared" si="4"/>
        <v>0.98039215686274506</v>
      </c>
      <c r="AC15" s="4028">
        <f t="shared" si="5"/>
        <v>0.96153846153846156</v>
      </c>
    </row>
    <row r="16" spans="1:29" ht="15">
      <c r="A16" s="481"/>
      <c r="B16" s="809"/>
      <c r="C16" s="525" t="s">
        <v>3437</v>
      </c>
      <c r="D16" s="504"/>
      <c r="E16" s="525" t="s">
        <v>3342</v>
      </c>
      <c r="F16" s="506"/>
      <c r="G16" s="525" t="s">
        <v>3341</v>
      </c>
      <c r="H16" s="508"/>
      <c r="I16" s="525" t="s">
        <v>3342</v>
      </c>
      <c r="J16" s="504"/>
      <c r="K16" s="839"/>
      <c r="L16" s="1831"/>
      <c r="M16" s="1823"/>
      <c r="N16" s="1823"/>
      <c r="O16" s="1830"/>
      <c r="P16" s="4392"/>
      <c r="Q16" s="4025"/>
      <c r="R16" s="1360"/>
      <c r="S16" s="1361"/>
      <c r="T16" s="1360"/>
      <c r="U16" s="1361"/>
      <c r="V16" s="1360"/>
      <c r="W16" s="1361"/>
      <c r="X16" s="4024"/>
      <c r="Y16" s="4392"/>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104</v>
      </c>
      <c r="G17" s="513"/>
      <c r="H17" s="514">
        <f>SUMIF(78:78,G18,79:79)-SUMIF(78:78,C18,79:79)+100</f>
        <v>102</v>
      </c>
      <c r="I17" s="511"/>
      <c r="J17" s="514">
        <f>SUMIF(78:78,I18,79:79)-SUMIF(78:78,C18,79:79)+100</f>
        <v>104</v>
      </c>
      <c r="K17" s="838">
        <v>2</v>
      </c>
      <c r="L17" s="1831"/>
      <c r="M17" s="1823"/>
      <c r="N17" s="1823"/>
      <c r="O17" s="1830"/>
      <c r="P17" s="4392"/>
      <c r="Q17" s="4025" t="str">
        <f>B17</f>
        <v>交通便捷度</v>
      </c>
      <c r="R17" s="1360" t="s">
        <v>5</v>
      </c>
      <c r="S17" s="1361">
        <f>F17</f>
        <v>104</v>
      </c>
      <c r="T17" s="1360" t="s">
        <v>5</v>
      </c>
      <c r="U17" s="1361">
        <f>H17</f>
        <v>102</v>
      </c>
      <c r="V17" s="1360" t="s">
        <v>5</v>
      </c>
      <c r="W17" s="1361">
        <f>J17</f>
        <v>104</v>
      </c>
      <c r="X17" s="4024"/>
      <c r="Y17" s="4392"/>
      <c r="Z17" s="4026" t="str">
        <f>Q17</f>
        <v>交通便捷度</v>
      </c>
      <c r="AA17" s="4028">
        <f t="shared" si="3"/>
        <v>0.96153846153846156</v>
      </c>
      <c r="AB17" s="4028">
        <f t="shared" si="4"/>
        <v>0.98039215686274506</v>
      </c>
      <c r="AC17" s="4028">
        <f t="shared" si="5"/>
        <v>0.96153846153846156</v>
      </c>
    </row>
    <row r="18" spans="1:29" ht="15">
      <c r="A18" s="481"/>
      <c r="B18" s="544"/>
      <c r="C18" s="4068" t="s">
        <v>3437</v>
      </c>
      <c r="D18" s="508"/>
      <c r="E18" s="517" t="s">
        <v>3342</v>
      </c>
      <c r="F18" s="512"/>
      <c r="G18" s="518" t="s">
        <v>3341</v>
      </c>
      <c r="H18" s="504"/>
      <c r="I18" s="525" t="s">
        <v>3342</v>
      </c>
      <c r="J18" s="504"/>
      <c r="K18" s="839"/>
      <c r="L18" s="1831"/>
      <c r="M18" s="1823"/>
      <c r="N18" s="1823"/>
      <c r="O18" s="1830"/>
      <c r="P18" s="4392"/>
      <c r="Q18" s="4025"/>
      <c r="R18" s="1360"/>
      <c r="S18" s="1361"/>
      <c r="T18" s="1360"/>
      <c r="U18" s="1361"/>
      <c r="V18" s="1360"/>
      <c r="W18" s="1361"/>
      <c r="X18" s="4024"/>
      <c r="Y18" s="4392"/>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101</v>
      </c>
      <c r="G19" s="521"/>
      <c r="H19" s="508">
        <f>SUMIF(80:80,G20,81:81)-SUMIF(80:80,C20,81:81)+100</f>
        <v>100</v>
      </c>
      <c r="I19" s="519"/>
      <c r="J19" s="508">
        <f>SUMIF(80:80,I20,81:81)-SUMIF(80:80,C20,81:81)+100</f>
        <v>101</v>
      </c>
      <c r="K19" s="838">
        <v>1</v>
      </c>
      <c r="L19" s="1831"/>
      <c r="M19" s="1823"/>
      <c r="N19" s="1823"/>
      <c r="O19" s="1830"/>
      <c r="P19" s="4392"/>
      <c r="Q19" s="4025" t="str">
        <f>B19</f>
        <v>公共配套设施</v>
      </c>
      <c r="R19" s="1360" t="s">
        <v>5</v>
      </c>
      <c r="S19" s="1361">
        <f>F19</f>
        <v>101</v>
      </c>
      <c r="T19" s="1360" t="s">
        <v>5</v>
      </c>
      <c r="U19" s="1361">
        <f>H19</f>
        <v>100</v>
      </c>
      <c r="V19" s="1360" t="s">
        <v>5</v>
      </c>
      <c r="W19" s="1361">
        <f>J19</f>
        <v>101</v>
      </c>
      <c r="X19" s="4024"/>
      <c r="Y19" s="4392"/>
      <c r="Z19" s="4026" t="str">
        <f>Q19</f>
        <v>公共配套设施</v>
      </c>
      <c r="AA19" s="4028">
        <f t="shared" si="3"/>
        <v>0.99009900990099009</v>
      </c>
      <c r="AB19" s="4028">
        <f t="shared" si="4"/>
        <v>1</v>
      </c>
      <c r="AC19" s="4028">
        <f t="shared" si="5"/>
        <v>0.99009900990099009</v>
      </c>
    </row>
    <row r="20" spans="1:29" ht="15">
      <c r="A20" s="481"/>
      <c r="B20" s="544"/>
      <c r="C20" s="525" t="s">
        <v>3341</v>
      </c>
      <c r="D20" s="504"/>
      <c r="E20" s="525" t="s">
        <v>3342</v>
      </c>
      <c r="F20" s="506"/>
      <c r="G20" s="507" t="s">
        <v>3341</v>
      </c>
      <c r="H20" s="504"/>
      <c r="I20" s="525" t="s">
        <v>3342</v>
      </c>
      <c r="J20" s="504"/>
      <c r="K20" s="839"/>
      <c r="L20" s="1831"/>
      <c r="M20" s="1823"/>
      <c r="N20" s="1823"/>
      <c r="O20" s="1830"/>
      <c r="P20" s="4392"/>
      <c r="Q20" s="4025"/>
      <c r="R20" s="1360"/>
      <c r="S20" s="1361"/>
      <c r="T20" s="1360"/>
      <c r="U20" s="1361"/>
      <c r="V20" s="1360"/>
      <c r="W20" s="1361"/>
      <c r="X20" s="4024"/>
      <c r="Y20" s="4392"/>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92"/>
      <c r="Q21" s="4025" t="str">
        <f>B21</f>
        <v>基础设施水平</v>
      </c>
      <c r="R21" s="1360" t="s">
        <v>5</v>
      </c>
      <c r="S21" s="1361">
        <f>F21</f>
        <v>100</v>
      </c>
      <c r="T21" s="1360" t="s">
        <v>5</v>
      </c>
      <c r="U21" s="1361">
        <f>H21</f>
        <v>100</v>
      </c>
      <c r="V21" s="1360" t="s">
        <v>5</v>
      </c>
      <c r="W21" s="1361">
        <f>J21</f>
        <v>100</v>
      </c>
      <c r="X21" s="4024"/>
      <c r="Y21" s="4392"/>
      <c r="Z21" s="4026" t="str">
        <f>Q21</f>
        <v>基础设施水平</v>
      </c>
      <c r="AA21" s="4028">
        <f>D21/F21</f>
        <v>1</v>
      </c>
      <c r="AB21" s="4028">
        <f>D21/H21</f>
        <v>1</v>
      </c>
      <c r="AC21" s="4028">
        <f>D21/J21</f>
        <v>1</v>
      </c>
    </row>
    <row r="22" spans="1:29" ht="15">
      <c r="A22" s="481"/>
      <c r="B22" s="862"/>
      <c r="C22" s="813" t="s">
        <v>3438</v>
      </c>
      <c r="D22" s="504"/>
      <c r="E22" s="813" t="s">
        <v>3438</v>
      </c>
      <c r="F22" s="506"/>
      <c r="G22" s="813" t="s">
        <v>3438</v>
      </c>
      <c r="H22" s="504"/>
      <c r="I22" s="813" t="s">
        <v>3438</v>
      </c>
      <c r="J22" s="504"/>
      <c r="K22" s="2174"/>
      <c r="L22" s="1831"/>
      <c r="M22" s="1823"/>
      <c r="N22" s="1823"/>
      <c r="O22" s="1830"/>
      <c r="P22" s="4392"/>
      <c r="Q22" s="4025"/>
      <c r="R22" s="1360"/>
      <c r="S22" s="1361"/>
      <c r="T22" s="1360"/>
      <c r="U22" s="1361"/>
      <c r="V22" s="1360"/>
      <c r="W22" s="1361"/>
      <c r="X22" s="4024"/>
      <c r="Y22" s="4392"/>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101</v>
      </c>
      <c r="G23" s="513"/>
      <c r="H23" s="508">
        <f>SUMIF(84:84,G24,85:85)-SUMIF(84:84,C24,85:85)+100</f>
        <v>101</v>
      </c>
      <c r="I23" s="511"/>
      <c r="J23" s="508">
        <f>SUMIF(84:84,I24,85:85)-SUMIF(84:84,C24,85:85)+100</f>
        <v>101</v>
      </c>
      <c r="K23" s="838">
        <v>1</v>
      </c>
      <c r="L23" s="1831"/>
      <c r="M23" s="1823"/>
      <c r="N23" s="1823"/>
      <c r="O23" s="1830"/>
      <c r="P23" s="4392"/>
      <c r="Q23" s="4025" t="str">
        <f>B23</f>
        <v>自然及人文环境</v>
      </c>
      <c r="R23" s="1360" t="s">
        <v>5</v>
      </c>
      <c r="S23" s="1361">
        <f>F23</f>
        <v>101</v>
      </c>
      <c r="T23" s="1360" t="s">
        <v>5</v>
      </c>
      <c r="U23" s="1361">
        <f>H23</f>
        <v>101</v>
      </c>
      <c r="V23" s="1360" t="s">
        <v>5</v>
      </c>
      <c r="W23" s="1361">
        <f>J23</f>
        <v>101</v>
      </c>
      <c r="X23" s="4024"/>
      <c r="Y23" s="4392"/>
      <c r="Z23" s="4026" t="str">
        <f>Q23</f>
        <v>自然及人文环境</v>
      </c>
      <c r="AA23" s="4028">
        <f t="shared" si="3"/>
        <v>0.99009900990099009</v>
      </c>
      <c r="AB23" s="4028">
        <f t="shared" si="4"/>
        <v>0.99009900990099009</v>
      </c>
      <c r="AC23" s="4028">
        <f t="shared" si="5"/>
        <v>0.99009900990099009</v>
      </c>
    </row>
    <row r="24" spans="1:29" ht="15">
      <c r="A24" s="481"/>
      <c r="B24" s="544"/>
      <c r="C24" s="525" t="s">
        <v>3341</v>
      </c>
      <c r="D24" s="504"/>
      <c r="E24" s="507" t="s">
        <v>3342</v>
      </c>
      <c r="F24" s="506"/>
      <c r="G24" s="507" t="s">
        <v>3342</v>
      </c>
      <c r="H24" s="504"/>
      <c r="I24" s="507" t="s">
        <v>3342</v>
      </c>
      <c r="J24" s="504"/>
      <c r="K24" s="839"/>
      <c r="L24" s="1831"/>
      <c r="M24" s="1823"/>
      <c r="N24" s="1823"/>
      <c r="O24" s="1830"/>
      <c r="P24" s="4392"/>
      <c r="Q24" s="4025"/>
      <c r="R24" s="1360"/>
      <c r="S24" s="1361"/>
      <c r="T24" s="1360"/>
      <c r="U24" s="1361"/>
      <c r="V24" s="1360"/>
      <c r="W24" s="1361"/>
      <c r="X24" s="4024"/>
      <c r="Y24" s="4392"/>
      <c r="Z24" s="4026"/>
      <c r="AA24" s="4028">
        <v>1</v>
      </c>
      <c r="AB24" s="4028">
        <v>1</v>
      </c>
      <c r="AC24" s="4028">
        <v>1</v>
      </c>
    </row>
    <row r="25" spans="1:29" ht="15">
      <c r="A25" s="481"/>
      <c r="B25" s="476" t="s">
        <v>496</v>
      </c>
      <c r="C25" s="841" t="s">
        <v>3536</v>
      </c>
      <c r="D25" s="815">
        <v>100</v>
      </c>
      <c r="E25" s="841" t="s">
        <v>3536</v>
      </c>
      <c r="F25" s="816">
        <f>SUMIF(86:86,E25,87:87)-SUMIF(86:86,C25,87:87)+100</f>
        <v>100</v>
      </c>
      <c r="G25" s="841" t="s">
        <v>3536</v>
      </c>
      <c r="H25" s="815">
        <f>SUMIF(86:86,G25,87:87)-SUMIF(86:86,C25,87:87)+100</f>
        <v>100</v>
      </c>
      <c r="I25" s="841" t="s">
        <v>3552</v>
      </c>
      <c r="J25" s="815">
        <f>SUMIF(86:86,I25,87:87)-SUMIF(86:86,C25,87:87)+100</f>
        <v>101</v>
      </c>
      <c r="K25" s="533">
        <v>1</v>
      </c>
      <c r="L25" s="1831"/>
      <c r="M25" s="1823"/>
      <c r="N25" s="1823"/>
      <c r="O25" s="1830"/>
      <c r="P25" s="4392"/>
      <c r="Q25" s="4025" t="str">
        <f t="shared" ref="Q25:Q46" si="8">B25</f>
        <v>临街状况</v>
      </c>
      <c r="R25" s="1360" t="s">
        <v>5</v>
      </c>
      <c r="S25" s="1361">
        <f>F25</f>
        <v>100</v>
      </c>
      <c r="T25" s="1360" t="s">
        <v>5</v>
      </c>
      <c r="U25" s="1361">
        <f>H25</f>
        <v>100</v>
      </c>
      <c r="V25" s="1360" t="s">
        <v>5</v>
      </c>
      <c r="W25" s="1361">
        <f>J25</f>
        <v>101</v>
      </c>
      <c r="X25" s="4024"/>
      <c r="Y25" s="4392"/>
      <c r="Z25" s="4026" t="str">
        <f>Q25</f>
        <v>临街状况</v>
      </c>
      <c r="AA25" s="4028">
        <f t="shared" si="3"/>
        <v>1</v>
      </c>
      <c r="AB25" s="4028">
        <f t="shared" si="4"/>
        <v>1</v>
      </c>
      <c r="AC25" s="4028">
        <f t="shared" si="5"/>
        <v>0.99009900990099009</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92"/>
      <c r="Q26" s="4025" t="str">
        <f t="shared" si="8"/>
        <v>平面位置/可视性</v>
      </c>
      <c r="R26" s="1360" t="s">
        <v>5</v>
      </c>
      <c r="S26" s="1361">
        <f>F26</f>
        <v>100</v>
      </c>
      <c r="T26" s="1360" t="s">
        <v>5</v>
      </c>
      <c r="U26" s="1361">
        <f>H26</f>
        <v>100</v>
      </c>
      <c r="V26" s="1360" t="s">
        <v>5</v>
      </c>
      <c r="W26" s="1361">
        <f>J26</f>
        <v>100</v>
      </c>
      <c r="X26" s="4024"/>
      <c r="Y26" s="4392"/>
      <c r="Z26" s="4026" t="str">
        <f>Q26</f>
        <v>平面位置/可视性</v>
      </c>
      <c r="AA26" s="4028">
        <f t="shared" si="3"/>
        <v>1</v>
      </c>
      <c r="AB26" s="4028">
        <f t="shared" si="4"/>
        <v>1</v>
      </c>
      <c r="AC26" s="4028">
        <f t="shared" si="5"/>
        <v>1</v>
      </c>
    </row>
    <row r="27" spans="1:29" s="1095" customFormat="1" ht="15">
      <c r="A27" s="485"/>
      <c r="B27" s="811" t="s">
        <v>699</v>
      </c>
      <c r="C27" s="841" t="s">
        <v>3437</v>
      </c>
      <c r="D27" s="815">
        <v>100</v>
      </c>
      <c r="E27" s="841" t="s">
        <v>3342</v>
      </c>
      <c r="F27" s="816">
        <f>SUMIF(90:90,E27,91:91)-SUMIF(90:90,C27,91:91)+100</f>
        <v>104</v>
      </c>
      <c r="G27" s="841" t="s">
        <v>3341</v>
      </c>
      <c r="H27" s="815">
        <f>SUMIF(90:90,G27,91:91)-SUMIF(90:90,C27,91:91)+100</f>
        <v>102</v>
      </c>
      <c r="I27" s="841" t="s">
        <v>3342</v>
      </c>
      <c r="J27" s="815">
        <f>SUMIF(90:90,I27,91:91)-SUMIF(90:90,C27,91:91)+100</f>
        <v>104</v>
      </c>
      <c r="K27" s="533">
        <v>2</v>
      </c>
      <c r="L27" s="1824"/>
      <c r="M27" s="1825"/>
      <c r="N27" s="1825"/>
      <c r="O27" s="1826"/>
      <c r="P27" s="4392"/>
      <c r="Q27" s="4023" t="str">
        <f t="shared" si="8"/>
        <v>人流量</v>
      </c>
      <c r="R27" s="1355" t="s">
        <v>5</v>
      </c>
      <c r="S27" s="1356">
        <f>F27</f>
        <v>104</v>
      </c>
      <c r="T27" s="1355" t="s">
        <v>5</v>
      </c>
      <c r="U27" s="1356">
        <f>H27</f>
        <v>102</v>
      </c>
      <c r="V27" s="1355" t="s">
        <v>5</v>
      </c>
      <c r="W27" s="1356">
        <f>J27</f>
        <v>104</v>
      </c>
      <c r="X27" s="1357"/>
      <c r="Y27" s="4392"/>
      <c r="Z27" s="4022" t="str">
        <f>Q27</f>
        <v>人流量</v>
      </c>
      <c r="AA27" s="4028">
        <f>D27/F27</f>
        <v>0.96153846153846156</v>
      </c>
      <c r="AB27" s="4028">
        <f>D27/H27</f>
        <v>0.98039215686274506</v>
      </c>
      <c r="AC27" s="4028">
        <f>D27/J27</f>
        <v>0.96153846153846156</v>
      </c>
    </row>
    <row r="28" spans="1:29" ht="15">
      <c r="A28" s="481"/>
      <c r="B28" s="476" t="s">
        <v>701</v>
      </c>
      <c r="C28" s="532" t="s">
        <v>3369</v>
      </c>
      <c r="D28" s="489">
        <v>100</v>
      </c>
      <c r="E28" s="532" t="s">
        <v>3369</v>
      </c>
      <c r="F28" s="524">
        <f>SUMIF(92:92,E28,93:93)-SUMIF(92:92,C28,93:93)+100</f>
        <v>100</v>
      </c>
      <c r="G28" s="532" t="s">
        <v>3374</v>
      </c>
      <c r="H28" s="489">
        <f>SUMIF(92:92,G28,93:93)-SUMIF(92:92,C28,93:93)+100</f>
        <v>90</v>
      </c>
      <c r="I28" s="532" t="s">
        <v>3369</v>
      </c>
      <c r="J28" s="489">
        <f>SUMIF(92:92,I28,93:93)-SUMIF(92:92,C28,93:93)+100</f>
        <v>100</v>
      </c>
      <c r="K28" s="530"/>
      <c r="L28" s="1831"/>
      <c r="M28" s="1823"/>
      <c r="N28" s="1823"/>
      <c r="O28" s="1830"/>
      <c r="P28" s="4392"/>
      <c r="Q28" s="4025" t="str">
        <f t="shared" si="8"/>
        <v>楼层</v>
      </c>
      <c r="R28" s="1360" t="s">
        <v>5</v>
      </c>
      <c r="S28" s="1361">
        <f t="shared" ref="S28:S46" si="9">F28</f>
        <v>100</v>
      </c>
      <c r="T28" s="1360" t="s">
        <v>5</v>
      </c>
      <c r="U28" s="1361">
        <f t="shared" ref="U28:U46" si="10">H28</f>
        <v>90</v>
      </c>
      <c r="V28" s="1360" t="s">
        <v>5</v>
      </c>
      <c r="W28" s="1361">
        <f t="shared" ref="W28:W46" si="11">J28</f>
        <v>100</v>
      </c>
      <c r="X28" s="4024"/>
      <c r="Y28" s="4392"/>
      <c r="Z28" s="4026" t="str">
        <f t="shared" ref="Z28:Z46" si="12">Q28</f>
        <v>楼层</v>
      </c>
      <c r="AA28" s="4028">
        <f t="shared" si="3"/>
        <v>1</v>
      </c>
      <c r="AB28" s="4028">
        <f t="shared" si="4"/>
        <v>1.1111111111111112</v>
      </c>
      <c r="AC28" s="4028">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92"/>
      <c r="Q29" s="4025">
        <f t="shared" si="8"/>
        <v>111</v>
      </c>
      <c r="R29" s="1360" t="s">
        <v>5</v>
      </c>
      <c r="S29" s="1361">
        <f t="shared" si="9"/>
        <v>100</v>
      </c>
      <c r="T29" s="1360" t="s">
        <v>5</v>
      </c>
      <c r="U29" s="1361">
        <f t="shared" si="10"/>
        <v>100</v>
      </c>
      <c r="V29" s="1360" t="s">
        <v>5</v>
      </c>
      <c r="W29" s="1361">
        <f t="shared" si="11"/>
        <v>100</v>
      </c>
      <c r="X29" s="4024"/>
      <c r="Y29" s="4392"/>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92"/>
      <c r="Q30" s="4025">
        <f t="shared" si="8"/>
        <v>111</v>
      </c>
      <c r="R30" s="1360" t="s">
        <v>5</v>
      </c>
      <c r="S30" s="1361">
        <f t="shared" si="9"/>
        <v>100</v>
      </c>
      <c r="T30" s="1360" t="s">
        <v>5</v>
      </c>
      <c r="U30" s="1361">
        <f t="shared" si="10"/>
        <v>100</v>
      </c>
      <c r="V30" s="1360" t="s">
        <v>5</v>
      </c>
      <c r="W30" s="1361">
        <f t="shared" si="11"/>
        <v>100</v>
      </c>
      <c r="X30" s="4024"/>
      <c r="Y30" s="4392"/>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92"/>
      <c r="Q31" s="4025">
        <f t="shared" si="8"/>
        <v>111</v>
      </c>
      <c r="R31" s="1360" t="s">
        <v>5</v>
      </c>
      <c r="S31" s="1361">
        <f t="shared" si="9"/>
        <v>100</v>
      </c>
      <c r="T31" s="1360" t="s">
        <v>5</v>
      </c>
      <c r="U31" s="1361">
        <f t="shared" si="10"/>
        <v>100</v>
      </c>
      <c r="V31" s="1360" t="s">
        <v>5</v>
      </c>
      <c r="W31" s="1361">
        <f t="shared" si="11"/>
        <v>100</v>
      </c>
      <c r="X31" s="4024"/>
      <c r="Y31" s="4392"/>
      <c r="Z31" s="4026">
        <f t="shared" si="12"/>
        <v>111</v>
      </c>
      <c r="AA31" s="4028">
        <f t="shared" si="3"/>
        <v>1</v>
      </c>
      <c r="AB31" s="4028">
        <f t="shared" si="4"/>
        <v>1</v>
      </c>
      <c r="AC31" s="4028">
        <f t="shared" si="5"/>
        <v>1</v>
      </c>
    </row>
    <row r="32" spans="1:29" ht="15">
      <c r="A32" s="2335" t="s">
        <v>2035</v>
      </c>
      <c r="B32" s="164" t="s">
        <v>702</v>
      </c>
      <c r="C32" s="818" t="s">
        <v>3372</v>
      </c>
      <c r="D32" s="546">
        <v>100</v>
      </c>
      <c r="E32" s="818" t="s">
        <v>3555</v>
      </c>
      <c r="F32" s="524">
        <f>SUMIF(100:100,E32,101:101)-SUMIF(100:100,C32,101:101)+100</f>
        <v>104</v>
      </c>
      <c r="G32" s="818" t="s">
        <v>3557</v>
      </c>
      <c r="H32" s="489">
        <f>SUMIF(100:100,G32,101:101)-SUMIF(100:100,C32,101:101)+100</f>
        <v>102</v>
      </c>
      <c r="I32" s="818" t="s">
        <v>3557</v>
      </c>
      <c r="J32" s="546">
        <f>SUMIF(100:100,I32,101:101)-SUMIF(100:100,C32,101:101)+100</f>
        <v>102</v>
      </c>
      <c r="K32" s="533">
        <v>2</v>
      </c>
      <c r="L32" s="1831"/>
      <c r="M32" s="1823"/>
      <c r="N32" s="1823"/>
      <c r="O32" s="1830"/>
      <c r="P32" s="4393" t="s">
        <v>499</v>
      </c>
      <c r="Q32" s="4025" t="str">
        <f t="shared" si="8"/>
        <v>商业类型</v>
      </c>
      <c r="R32" s="1360" t="s">
        <v>5</v>
      </c>
      <c r="S32" s="1361">
        <f t="shared" si="9"/>
        <v>104</v>
      </c>
      <c r="T32" s="1360" t="s">
        <v>5</v>
      </c>
      <c r="U32" s="1361">
        <f t="shared" si="10"/>
        <v>102</v>
      </c>
      <c r="V32" s="1360" t="s">
        <v>5</v>
      </c>
      <c r="W32" s="1361">
        <f t="shared" si="11"/>
        <v>102</v>
      </c>
      <c r="X32" s="4024"/>
      <c r="Y32" s="4394" t="s">
        <v>499</v>
      </c>
      <c r="Z32" s="4026" t="str">
        <f t="shared" si="12"/>
        <v>商业类型</v>
      </c>
      <c r="AA32" s="4028">
        <f t="shared" si="3"/>
        <v>0.96153846153846156</v>
      </c>
      <c r="AB32" s="4028">
        <f t="shared" si="4"/>
        <v>0.98039215686274506</v>
      </c>
      <c r="AC32" s="4028">
        <f t="shared" si="5"/>
        <v>0.98039215686274506</v>
      </c>
    </row>
    <row r="33" spans="1:29" s="1177" customFormat="1" ht="15">
      <c r="A33" s="552"/>
      <c r="B33" s="476" t="s">
        <v>673</v>
      </c>
      <c r="C33" s="820">
        <f>'数据-汇总表'!F20</f>
        <v>39</v>
      </c>
      <c r="D33" s="238">
        <v>100</v>
      </c>
      <c r="E33" s="483">
        <f>商业售价案例!B2</f>
        <v>150</v>
      </c>
      <c r="F33" s="803">
        <f>LOOKUP(E33,103:103,104:104)-LOOKUP(C33,103:103,104:104)+100</f>
        <v>100</v>
      </c>
      <c r="G33" s="482">
        <f>商业售价案例!B3</f>
        <v>237.1</v>
      </c>
      <c r="H33" s="238">
        <f>LOOKUP(G33,103:103,104:104)-LOOKUP(C33,103:103,104:104)+100</f>
        <v>100</v>
      </c>
      <c r="I33" s="482">
        <v>1000</v>
      </c>
      <c r="J33" s="238">
        <f>LOOKUP(I33,103:103,104:104)-LOOKUP(C33,103:103,104:104)+100</f>
        <v>98</v>
      </c>
      <c r="K33" s="530"/>
      <c r="L33" s="1829"/>
      <c r="M33" s="1859"/>
      <c r="N33" s="1859"/>
      <c r="O33" s="1832"/>
      <c r="P33" s="4394"/>
      <c r="Q33" s="1388" t="str">
        <f t="shared" si="8"/>
        <v>项目建筑规模</v>
      </c>
      <c r="R33" s="1364" t="s">
        <v>5</v>
      </c>
      <c r="S33" s="1365">
        <f t="shared" si="9"/>
        <v>100</v>
      </c>
      <c r="T33" s="1364" t="s">
        <v>5</v>
      </c>
      <c r="U33" s="1365">
        <f t="shared" si="10"/>
        <v>100</v>
      </c>
      <c r="V33" s="1364" t="s">
        <v>5</v>
      </c>
      <c r="W33" s="1365">
        <f t="shared" si="11"/>
        <v>98</v>
      </c>
      <c r="X33" s="1366"/>
      <c r="Y33" s="4394"/>
      <c r="Z33" s="1367" t="str">
        <f t="shared" si="12"/>
        <v>项目建筑规模</v>
      </c>
      <c r="AA33" s="4028">
        <f t="shared" si="3"/>
        <v>1</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94"/>
      <c r="Q34" s="4025" t="str">
        <f t="shared" si="8"/>
        <v>建筑结构</v>
      </c>
      <c r="R34" s="1360" t="s">
        <v>5</v>
      </c>
      <c r="S34" s="1361">
        <f t="shared" si="9"/>
        <v>100</v>
      </c>
      <c r="T34" s="1360" t="s">
        <v>5</v>
      </c>
      <c r="U34" s="1361">
        <f t="shared" si="10"/>
        <v>100</v>
      </c>
      <c r="V34" s="1360" t="s">
        <v>5</v>
      </c>
      <c r="W34" s="1361">
        <f t="shared" si="11"/>
        <v>100</v>
      </c>
      <c r="X34" s="4024"/>
      <c r="Y34" s="4394"/>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94"/>
      <c r="Q35" s="4025" t="str">
        <f t="shared" si="8"/>
        <v>公共部分装修</v>
      </c>
      <c r="R35" s="1360" t="s">
        <v>5</v>
      </c>
      <c r="S35" s="1361">
        <f t="shared" si="9"/>
        <v>100</v>
      </c>
      <c r="T35" s="1360" t="s">
        <v>5</v>
      </c>
      <c r="U35" s="1361">
        <f t="shared" si="10"/>
        <v>100</v>
      </c>
      <c r="V35" s="1360" t="s">
        <v>5</v>
      </c>
      <c r="W35" s="1361">
        <f t="shared" si="11"/>
        <v>100</v>
      </c>
      <c r="X35" s="4024"/>
      <c r="Y35" s="4394"/>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394"/>
      <c r="Q36" s="4025" t="str">
        <f t="shared" si="8"/>
        <v>成新度</v>
      </c>
      <c r="R36" s="1360" t="s">
        <v>5</v>
      </c>
      <c r="S36" s="1361">
        <f t="shared" si="9"/>
        <v>99</v>
      </c>
      <c r="T36" s="1360" t="s">
        <v>5</v>
      </c>
      <c r="U36" s="1361">
        <f t="shared" si="10"/>
        <v>99</v>
      </c>
      <c r="V36" s="1360" t="s">
        <v>5</v>
      </c>
      <c r="W36" s="1361">
        <f t="shared" si="11"/>
        <v>99</v>
      </c>
      <c r="X36" s="4024"/>
      <c r="Y36" s="4394"/>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94"/>
      <c r="Q37" s="4023" t="str">
        <f t="shared" si="8"/>
        <v>市政基础设施</v>
      </c>
      <c r="R37" s="1355" t="s">
        <v>5</v>
      </c>
      <c r="S37" s="1356">
        <f t="shared" si="9"/>
        <v>100</v>
      </c>
      <c r="T37" s="1355" t="s">
        <v>5</v>
      </c>
      <c r="U37" s="1356">
        <f t="shared" si="10"/>
        <v>100</v>
      </c>
      <c r="V37" s="1355" t="s">
        <v>5</v>
      </c>
      <c r="W37" s="1356">
        <f t="shared" si="11"/>
        <v>100</v>
      </c>
      <c r="X37" s="1357"/>
      <c r="Y37" s="4394"/>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94" t="s">
        <v>499</v>
      </c>
      <c r="Q38" s="4025" t="str">
        <f t="shared" si="8"/>
        <v>业态</v>
      </c>
      <c r="R38" s="1360" t="s">
        <v>5</v>
      </c>
      <c r="S38" s="1361">
        <f t="shared" si="9"/>
        <v>100</v>
      </c>
      <c r="T38" s="1360" t="s">
        <v>5</v>
      </c>
      <c r="U38" s="1361">
        <f t="shared" si="10"/>
        <v>100</v>
      </c>
      <c r="V38" s="1360" t="s">
        <v>5</v>
      </c>
      <c r="W38" s="1361">
        <f t="shared" si="11"/>
        <v>100</v>
      </c>
      <c r="X38" s="4024"/>
      <c r="Y38" s="4394"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94"/>
      <c r="Q39" s="4025" t="str">
        <f t="shared" si="8"/>
        <v>层高</v>
      </c>
      <c r="R39" s="1360" t="s">
        <v>5</v>
      </c>
      <c r="S39" s="1361">
        <f t="shared" si="9"/>
        <v>100</v>
      </c>
      <c r="T39" s="1360" t="s">
        <v>5</v>
      </c>
      <c r="U39" s="1361">
        <f t="shared" si="10"/>
        <v>100</v>
      </c>
      <c r="V39" s="1360" t="s">
        <v>5</v>
      </c>
      <c r="W39" s="1361">
        <f t="shared" si="11"/>
        <v>100</v>
      </c>
      <c r="X39" s="4024"/>
      <c r="Y39" s="4394"/>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94"/>
      <c r="Q40" s="4025" t="str">
        <f t="shared" si="8"/>
        <v>单套建筑面积</v>
      </c>
      <c r="R40" s="1360" t="s">
        <v>5</v>
      </c>
      <c r="S40" s="1361">
        <f t="shared" si="9"/>
        <v>100</v>
      </c>
      <c r="T40" s="1360" t="s">
        <v>5</v>
      </c>
      <c r="U40" s="1361">
        <f t="shared" si="10"/>
        <v>100</v>
      </c>
      <c r="V40" s="1360" t="s">
        <v>5</v>
      </c>
      <c r="W40" s="1361">
        <f t="shared" si="11"/>
        <v>100</v>
      </c>
      <c r="X40" s="4024"/>
      <c r="Y40" s="4394"/>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94"/>
      <c r="Q41" s="1388" t="str">
        <f t="shared" si="8"/>
        <v>进深比</v>
      </c>
      <c r="R41" s="1364" t="s">
        <v>5</v>
      </c>
      <c r="S41" s="1365">
        <f t="shared" si="9"/>
        <v>100</v>
      </c>
      <c r="T41" s="1364" t="s">
        <v>5</v>
      </c>
      <c r="U41" s="1365">
        <f t="shared" si="10"/>
        <v>100</v>
      </c>
      <c r="V41" s="1364" t="s">
        <v>5</v>
      </c>
      <c r="W41" s="1365">
        <f t="shared" si="11"/>
        <v>100</v>
      </c>
      <c r="X41" s="1366"/>
      <c r="Y41" s="4394"/>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94"/>
      <c r="Q42" s="4025" t="str">
        <f t="shared" si="8"/>
        <v>内部装修</v>
      </c>
      <c r="R42" s="1360" t="s">
        <v>5</v>
      </c>
      <c r="S42" s="1361">
        <f t="shared" si="9"/>
        <v>100</v>
      </c>
      <c r="T42" s="1360" t="s">
        <v>5</v>
      </c>
      <c r="U42" s="1361">
        <f t="shared" si="10"/>
        <v>100</v>
      </c>
      <c r="V42" s="1360" t="s">
        <v>5</v>
      </c>
      <c r="W42" s="1361">
        <f t="shared" si="11"/>
        <v>100</v>
      </c>
      <c r="X42" s="4024"/>
      <c r="Y42" s="4394"/>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94"/>
      <c r="Q43" s="4025" t="str">
        <f t="shared" si="8"/>
        <v>内部装修维护情况</v>
      </c>
      <c r="R43" s="1360" t="s">
        <v>5</v>
      </c>
      <c r="S43" s="1361">
        <f t="shared" si="9"/>
        <v>100</v>
      </c>
      <c r="T43" s="1360" t="s">
        <v>5</v>
      </c>
      <c r="U43" s="1361">
        <f t="shared" si="10"/>
        <v>100</v>
      </c>
      <c r="V43" s="1360" t="s">
        <v>5</v>
      </c>
      <c r="W43" s="1361">
        <f t="shared" si="11"/>
        <v>100</v>
      </c>
      <c r="X43" s="4024"/>
      <c r="Y43" s="4394"/>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94"/>
      <c r="Q44" s="4023">
        <f t="shared" si="8"/>
        <v>111</v>
      </c>
      <c r="R44" s="1355" t="s">
        <v>5</v>
      </c>
      <c r="S44" s="1356">
        <f t="shared" si="9"/>
        <v>100</v>
      </c>
      <c r="T44" s="1355" t="s">
        <v>5</v>
      </c>
      <c r="U44" s="1356">
        <f t="shared" si="10"/>
        <v>100</v>
      </c>
      <c r="V44" s="1355" t="s">
        <v>5</v>
      </c>
      <c r="W44" s="1356">
        <f t="shared" si="11"/>
        <v>100</v>
      </c>
      <c r="X44" s="1357"/>
      <c r="Y44" s="4394"/>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94"/>
      <c r="Q45" s="4025">
        <f t="shared" si="8"/>
        <v>111</v>
      </c>
      <c r="R45" s="1360" t="s">
        <v>5</v>
      </c>
      <c r="S45" s="1361">
        <f t="shared" si="9"/>
        <v>100</v>
      </c>
      <c r="T45" s="1360" t="s">
        <v>5</v>
      </c>
      <c r="U45" s="1361">
        <f t="shared" si="10"/>
        <v>100</v>
      </c>
      <c r="V45" s="1360" t="s">
        <v>5</v>
      </c>
      <c r="W45" s="1361">
        <f t="shared" si="11"/>
        <v>100</v>
      </c>
      <c r="X45" s="4024"/>
      <c r="Y45" s="4394"/>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95"/>
      <c r="Q46" s="4025">
        <f t="shared" si="8"/>
        <v>111</v>
      </c>
      <c r="R46" s="1360" t="s">
        <v>5</v>
      </c>
      <c r="S46" s="1361">
        <f t="shared" si="9"/>
        <v>100</v>
      </c>
      <c r="T46" s="1360" t="s">
        <v>5</v>
      </c>
      <c r="U46" s="1361">
        <f t="shared" si="10"/>
        <v>100</v>
      </c>
      <c r="V46" s="1360" t="s">
        <v>5</v>
      </c>
      <c r="W46" s="1361">
        <f t="shared" si="11"/>
        <v>100</v>
      </c>
      <c r="X46" s="4024"/>
      <c r="Y46" s="4395"/>
      <c r="Z46" s="4026">
        <f t="shared" si="12"/>
        <v>111</v>
      </c>
      <c r="AA46" s="4028">
        <f t="shared" si="3"/>
        <v>1</v>
      </c>
      <c r="AB46" s="4028">
        <f t="shared" si="4"/>
        <v>1</v>
      </c>
      <c r="AC46" s="4028">
        <f t="shared" si="5"/>
        <v>1</v>
      </c>
    </row>
    <row r="47" spans="1:29" ht="15">
      <c r="A47" s="556" t="s">
        <v>683</v>
      </c>
      <c r="B47" s="827"/>
      <c r="C47" s="2198" t="s">
        <v>0</v>
      </c>
      <c r="D47" s="2199"/>
      <c r="E47" s="4113">
        <f>商业售价案例!$C$2</f>
        <v>26700</v>
      </c>
      <c r="F47" s="2201"/>
      <c r="G47" s="4114">
        <f>商业售价案例!$C$3</f>
        <v>21100</v>
      </c>
      <c r="H47" s="2203"/>
      <c r="I47" s="4113">
        <f>商业售价案例!$C$4</f>
        <v>25000</v>
      </c>
      <c r="J47" s="2203"/>
      <c r="K47" s="1393"/>
      <c r="L47" s="1833"/>
      <c r="M47" s="1834"/>
      <c r="N47" s="1823"/>
      <c r="O47" s="1834"/>
      <c r="P47" s="4372" t="str">
        <f>A47</f>
        <v>成交单价（元/平方米）</v>
      </c>
      <c r="Q47" s="4372"/>
      <c r="R47" s="4390">
        <f>E47</f>
        <v>26700</v>
      </c>
      <c r="S47" s="4390"/>
      <c r="T47" s="4390">
        <f>G47</f>
        <v>21100</v>
      </c>
      <c r="U47" s="4390"/>
      <c r="V47" s="4390">
        <f>I47</f>
        <v>25000</v>
      </c>
      <c r="W47" s="4390"/>
      <c r="X47" s="1349"/>
      <c r="Y47" s="1368"/>
      <c r="Z47" s="1349"/>
      <c r="AA47" s="1349"/>
      <c r="AB47" s="1349"/>
      <c r="AC47" s="1349"/>
    </row>
    <row r="48" spans="1:29" ht="15.75" thickBot="1">
      <c r="A48" s="564" t="s">
        <v>1973</v>
      </c>
      <c r="B48" s="828"/>
      <c r="C48" s="2204">
        <f>R49</f>
        <v>22020</v>
      </c>
      <c r="D48" s="2701" t="s">
        <v>2255</v>
      </c>
      <c r="E48" s="2205">
        <f>R48</f>
        <v>22600</v>
      </c>
      <c r="F48" s="4115"/>
      <c r="G48" s="2204">
        <f>T48</f>
        <v>21661</v>
      </c>
      <c r="H48" s="4115"/>
      <c r="I48" s="2205">
        <f>V48</f>
        <v>21798</v>
      </c>
      <c r="J48" s="4115"/>
      <c r="K48" s="2710">
        <f>F48+H48+J48</f>
        <v>0</v>
      </c>
      <c r="L48" s="1833"/>
      <c r="M48" s="1834"/>
      <c r="N48" s="1823"/>
      <c r="O48" s="1834"/>
      <c r="P48" s="4372" t="str">
        <f>A48</f>
        <v>比较价格（元/平方米）</v>
      </c>
      <c r="Q48" s="4372"/>
      <c r="R48" s="4390">
        <f>IF(F1="售价",ROUND(PRODUCT(R47,AA7:AA46),0),ROUND(PRODUCT(R47,AA7:AA46),1))</f>
        <v>22600</v>
      </c>
      <c r="S48" s="4390"/>
      <c r="T48" s="4390">
        <f>IF(F1="售价",ROUND(PRODUCT(T47,AB7:AB46),0),ROUND(PRODUCT(T47,AB7:AB46),1))</f>
        <v>21661</v>
      </c>
      <c r="U48" s="4390"/>
      <c r="V48" s="4390">
        <f>IF(F1="售价",ROUND(PRODUCT(V47,AC7:AC46),0),ROUND(PRODUCT(V47,AC7:AC46),1))</f>
        <v>21798</v>
      </c>
      <c r="W48" s="4390"/>
      <c r="X48" s="1349"/>
      <c r="Y48" s="1349"/>
      <c r="Z48" s="1349"/>
      <c r="AA48" s="1349"/>
      <c r="AB48" s="1349"/>
      <c r="AC48" s="1349"/>
    </row>
    <row r="49" spans="1:29" ht="15.75" thickBot="1">
      <c r="A49" s="568" t="s">
        <v>2192</v>
      </c>
      <c r="B49" s="569"/>
      <c r="C49" s="2206">
        <f>R49</f>
        <v>22020</v>
      </c>
      <c r="D49" s="2206"/>
      <c r="E49" s="2206"/>
      <c r="F49" s="2206"/>
      <c r="G49" s="2206"/>
      <c r="H49" s="2206"/>
      <c r="I49" s="2206"/>
      <c r="J49" s="2206"/>
      <c r="K49" s="1394"/>
      <c r="L49" s="1833"/>
      <c r="M49" s="1834"/>
      <c r="N49" s="1823"/>
      <c r="O49" s="1834"/>
      <c r="P49" s="4387" t="str">
        <f>A49</f>
        <v>估价对象XX用房的比较价格（楼面单价，元/平方米）</v>
      </c>
      <c r="Q49" s="4388"/>
      <c r="R49" s="4389">
        <f>IF(F1="售价",ROUND(IF(D48="简单平均",AVERAGE(R48:V48),R48*F48+T48*H48+V48*J48),0),ROUND(IF(D48="简单平均",AVERAGE(R48:V48),R48*F48+T48*H48+V48*J48),1))</f>
        <v>22020</v>
      </c>
      <c r="S49" s="4389"/>
      <c r="T49" s="4389"/>
      <c r="U49" s="4389"/>
      <c r="V49" s="4389"/>
      <c r="W49" s="4389"/>
      <c r="X49" s="1349"/>
      <c r="Y49" s="1349"/>
      <c r="Z49" s="1349"/>
      <c r="AA49" s="1349"/>
      <c r="AB49" s="1349"/>
      <c r="AC49" s="1349"/>
    </row>
    <row r="50" spans="1:29">
      <c r="A50" s="2899"/>
      <c r="B50" s="2899"/>
      <c r="C50" s="4050" t="s">
        <v>3444</v>
      </c>
      <c r="D50" s="2899"/>
      <c r="E50" s="4050" t="s">
        <v>3442</v>
      </c>
      <c r="F50" s="2899"/>
      <c r="G50" s="4051" t="s">
        <v>3443</v>
      </c>
      <c r="H50" s="2899"/>
      <c r="I50" s="4050" t="s">
        <v>3443</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f ca="1">土储要求测算表!J17</f>
        <v>8128</v>
      </c>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0.18141592920353977</v>
      </c>
      <c r="F52" s="574" t="str">
        <f>IF(OR(E52&gt;=0.3,E52&lt;=-0.3),"超过30%","")</f>
        <v/>
      </c>
      <c r="G52" s="573">
        <f>IF(G47&lt;G48,G48/G47-1,G47/G48-1)</f>
        <v>2.6587677725118386E-2</v>
      </c>
      <c r="H52" s="574" t="str">
        <f>IF(OR(G52&gt;=0.3,G52&lt;=-0.3),"超过30%","")</f>
        <v/>
      </c>
      <c r="I52" s="573">
        <f>IF(I47&lt;I48,I48/I47-1,I47/I48-1)</f>
        <v>0.14689421047802553</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4.3349799178246551E-2</v>
      </c>
      <c r="F53" s="574" t="str">
        <f>IF(OR(E53&gt;=0.2,E53&lt;=-0.2),"超过20%","")</f>
        <v/>
      </c>
      <c r="G53" s="573">
        <f>IF(G48&lt;I48,I48/G48-1,G48/I48-1)</f>
        <v>6.3247310835141679E-3</v>
      </c>
      <c r="H53" s="574" t="str">
        <f>IF(OR(G53&gt;=0.2,G53&lt;=-0.2),"超过20%","")</f>
        <v/>
      </c>
      <c r="I53" s="573">
        <f>IF(I48&lt;E48,E48/I48-1,I48/E48-1)</f>
        <v>3.6792366272135002E-2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0.26540284360189581</v>
      </c>
      <c r="F54" s="574" t="str">
        <f>IF(OR(E54&gt;=0.3,E54&lt;=-0.3),"超过30%","")</f>
        <v/>
      </c>
      <c r="G54" s="573">
        <f>IF(G47&lt;I47,I47/G47-1,G47/I47-1)</f>
        <v>0.18483412322274884</v>
      </c>
      <c r="H54" s="574" t="str">
        <f>IF(OR(G54&gt;=0.3,G54&lt;=-0.3),"超过30%","")</f>
        <v/>
      </c>
      <c r="I54" s="573">
        <f>IF(I47&lt;E47,E47/I47-1,I47/E47-1)</f>
        <v>6.800000000000006E-2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98</v>
      </c>
      <c r="E77" s="626">
        <f>D77-$K15</f>
        <v>96</v>
      </c>
      <c r="F77" s="626">
        <f>E77-$K15</f>
        <v>94</v>
      </c>
      <c r="G77" s="626">
        <f>F77-$K15</f>
        <v>92</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98</v>
      </c>
      <c r="E79" s="626">
        <f>D79-$K17</f>
        <v>96</v>
      </c>
      <c r="F79" s="626">
        <f>E79-$K17</f>
        <v>94</v>
      </c>
      <c r="G79" s="626">
        <f>F79-$K17</f>
        <v>92</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99</v>
      </c>
      <c r="E81" s="626">
        <f>D81-$K19</f>
        <v>98</v>
      </c>
      <c r="F81" s="626">
        <f>E81-$K19</f>
        <v>97</v>
      </c>
      <c r="G81" s="626">
        <f>F81-$K19</f>
        <v>96</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99</v>
      </c>
      <c r="E85" s="626">
        <f>D85-$K23</f>
        <v>98</v>
      </c>
      <c r="F85" s="626">
        <f>E85-$K23</f>
        <v>97</v>
      </c>
      <c r="G85" s="626">
        <f>F85-$K23</f>
        <v>96</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3553</v>
      </c>
      <c r="D86" s="4009" t="s">
        <v>3537</v>
      </c>
      <c r="E86" s="4009"/>
      <c r="F86" s="4009"/>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99</v>
      </c>
      <c r="E87" s="626">
        <f t="shared" si="16"/>
        <v>98</v>
      </c>
      <c r="F87" s="626">
        <f t="shared" si="16"/>
        <v>97</v>
      </c>
      <c r="G87" s="626">
        <f t="shared" si="16"/>
        <v>96</v>
      </c>
      <c r="H87" s="626">
        <f t="shared" si="16"/>
        <v>95</v>
      </c>
      <c r="I87" s="626">
        <f t="shared" si="16"/>
        <v>94</v>
      </c>
      <c r="J87" s="626">
        <f t="shared" si="16"/>
        <v>93</v>
      </c>
      <c r="K87" s="626">
        <f t="shared" si="16"/>
        <v>92</v>
      </c>
      <c r="L87" s="626">
        <f t="shared" si="16"/>
        <v>91</v>
      </c>
      <c r="M87" s="626">
        <f t="shared" si="16"/>
        <v>90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3370</v>
      </c>
      <c r="D90" s="4009" t="s">
        <v>3371</v>
      </c>
      <c r="E90" s="4009" t="s">
        <v>3554</v>
      </c>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3368</v>
      </c>
      <c r="D92" s="635" t="s">
        <v>3373</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90</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3556</v>
      </c>
      <c r="D100" s="4008" t="s">
        <v>3558</v>
      </c>
      <c r="E100" s="4008" t="s">
        <v>3559</v>
      </c>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0(含)-500</v>
      </c>
      <c r="D102" s="655" t="str">
        <f t="shared" ref="D102:L102" si="19">D103&amp;"(含)"&amp;"-"&amp;E103</f>
        <v>500(含)-1000</v>
      </c>
      <c r="E102" s="655" t="str">
        <f t="shared" si="19"/>
        <v>1000(含)-1500</v>
      </c>
      <c r="F102" s="655" t="str">
        <f t="shared" si="19"/>
        <v>1500(含)-2000</v>
      </c>
      <c r="G102" s="655" t="str">
        <f t="shared" si="19"/>
        <v>2000(含)-2500</v>
      </c>
      <c r="H102" s="655" t="str">
        <f t="shared" si="19"/>
        <v>2500(含)-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C103+500</f>
        <v>500</v>
      </c>
      <c r="E103" s="677">
        <f t="shared" ref="E103:H103" si="20">D103+500</f>
        <v>1000</v>
      </c>
      <c r="F103" s="677">
        <f t="shared" si="20"/>
        <v>1500</v>
      </c>
      <c r="G103" s="677">
        <f t="shared" si="20"/>
        <v>2000</v>
      </c>
      <c r="H103" s="677">
        <f t="shared" si="20"/>
        <v>2500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H104" si="21">D104-1</f>
        <v>98</v>
      </c>
      <c r="F104" s="618">
        <f t="shared" si="21"/>
        <v>97</v>
      </c>
      <c r="G104" s="618">
        <f t="shared" si="21"/>
        <v>96</v>
      </c>
      <c r="H104" s="618">
        <f t="shared" si="21"/>
        <v>95</v>
      </c>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7">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7">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4">D111+$K36</f>
        <v>102</v>
      </c>
      <c r="F111" s="626">
        <f t="shared" si="24"/>
        <v>103</v>
      </c>
      <c r="G111" s="626">
        <f t="shared" si="24"/>
        <v>104</v>
      </c>
      <c r="H111" s="626">
        <f t="shared" si="24"/>
        <v>105</v>
      </c>
      <c r="I111" s="626">
        <f t="shared" si="24"/>
        <v>106</v>
      </c>
      <c r="J111" s="626">
        <f t="shared" si="24"/>
        <v>107</v>
      </c>
      <c r="K111" s="626">
        <f t="shared" si="24"/>
        <v>108</v>
      </c>
      <c r="L111" s="626">
        <f t="shared" si="24"/>
        <v>109</v>
      </c>
      <c r="M111" s="626">
        <f t="shared" si="24"/>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5">D113-$K37</f>
        <v>100</v>
      </c>
      <c r="F113" s="626">
        <f t="shared" si="25"/>
        <v>100</v>
      </c>
      <c r="G113" s="626">
        <f t="shared" si="25"/>
        <v>100</v>
      </c>
      <c r="H113" s="626">
        <f t="shared" si="25"/>
        <v>100</v>
      </c>
      <c r="I113" s="626">
        <f t="shared" si="25"/>
        <v>100</v>
      </c>
      <c r="J113" s="626">
        <f t="shared" si="25"/>
        <v>100</v>
      </c>
      <c r="K113" s="626">
        <f t="shared" si="25"/>
        <v>100</v>
      </c>
      <c r="L113" s="626">
        <f t="shared" si="25"/>
        <v>100</v>
      </c>
      <c r="M113" s="626">
        <f t="shared" si="25"/>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6">C115-$K38</f>
        <v>100</v>
      </c>
      <c r="E115" s="626">
        <f t="shared" si="26"/>
        <v>100</v>
      </c>
      <c r="F115" s="626">
        <f t="shared" si="26"/>
        <v>100</v>
      </c>
      <c r="G115" s="626">
        <f t="shared" si="26"/>
        <v>100</v>
      </c>
      <c r="H115" s="626">
        <f t="shared" si="26"/>
        <v>100</v>
      </c>
      <c r="I115" s="626">
        <f t="shared" si="26"/>
        <v>100</v>
      </c>
      <c r="J115" s="626">
        <f t="shared" si="26"/>
        <v>100</v>
      </c>
      <c r="K115" s="626">
        <f t="shared" si="26"/>
        <v>100</v>
      </c>
      <c r="L115" s="626">
        <f t="shared" si="26"/>
        <v>100</v>
      </c>
      <c r="M115" s="627">
        <f t="shared" si="26"/>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7">D121-$K41</f>
        <v>100</v>
      </c>
      <c r="F121" s="626">
        <f t="shared" si="27"/>
        <v>100</v>
      </c>
      <c r="G121" s="626">
        <f t="shared" si="27"/>
        <v>100</v>
      </c>
      <c r="H121" s="626">
        <f t="shared" si="27"/>
        <v>100</v>
      </c>
      <c r="I121" s="626">
        <f t="shared" si="27"/>
        <v>100</v>
      </c>
      <c r="J121" s="626">
        <f t="shared" si="27"/>
        <v>100</v>
      </c>
      <c r="K121" s="626">
        <f t="shared" si="27"/>
        <v>100</v>
      </c>
      <c r="L121" s="626">
        <f t="shared" si="27"/>
        <v>100</v>
      </c>
      <c r="M121" s="627">
        <f t="shared" si="27"/>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20" stopIfTrue="1" operator="containsText" text="超过">
      <formula>NOT(ISERROR(SEARCH("超过",H54)))</formula>
    </cfRule>
  </conditionalFormatting>
  <conditionalFormatting sqref="F54">
    <cfRule type="containsText" dxfId="188" priority="19" stopIfTrue="1" operator="containsText" text="超过">
      <formula>NOT(ISERROR(SEARCH("超过",F54)))</formula>
    </cfRule>
  </conditionalFormatting>
  <conditionalFormatting sqref="F53 H53">
    <cfRule type="containsText" dxfId="187" priority="18" stopIfTrue="1" operator="containsText" text="超过">
      <formula>NOT(ISERROR(SEARCH("超过",F53)))</formula>
    </cfRule>
  </conditionalFormatting>
  <conditionalFormatting sqref="E52">
    <cfRule type="expression" dxfId="186" priority="17" stopIfTrue="1">
      <formula>$F$52="超过30%"</formula>
    </cfRule>
  </conditionalFormatting>
  <conditionalFormatting sqref="E53">
    <cfRule type="expression" dxfId="185" priority="16" stopIfTrue="1">
      <formula>$F$53="超过20%"</formula>
    </cfRule>
  </conditionalFormatting>
  <conditionalFormatting sqref="E54">
    <cfRule type="expression" dxfId="184" priority="15" stopIfTrue="1">
      <formula>$F$54="超过30%"</formula>
    </cfRule>
  </conditionalFormatting>
  <conditionalFormatting sqref="G54">
    <cfRule type="expression" dxfId="183" priority="14" stopIfTrue="1">
      <formula>$H$54="超过30%"</formula>
    </cfRule>
  </conditionalFormatting>
  <conditionalFormatting sqref="G52">
    <cfRule type="expression" dxfId="182" priority="13" stopIfTrue="1">
      <formula>$H$52="超过30%"</formula>
    </cfRule>
  </conditionalFormatting>
  <conditionalFormatting sqref="G53">
    <cfRule type="expression" dxfId="181" priority="12" stopIfTrue="1">
      <formula>$H$53="超过20%"</formula>
    </cfRule>
  </conditionalFormatting>
  <conditionalFormatting sqref="J52">
    <cfRule type="containsText" dxfId="180" priority="11" stopIfTrue="1" operator="containsText" text="超过">
      <formula>NOT(ISERROR(SEARCH("超过",J52)))</formula>
    </cfRule>
  </conditionalFormatting>
  <conditionalFormatting sqref="J54">
    <cfRule type="containsText" dxfId="179" priority="10" stopIfTrue="1" operator="containsText" text="超过">
      <formula>NOT(ISERROR(SEARCH("超过",J54)))</formula>
    </cfRule>
  </conditionalFormatting>
  <conditionalFormatting sqref="J53">
    <cfRule type="containsText" dxfId="178" priority="9" stopIfTrue="1" operator="containsText" text="超过">
      <formula>NOT(ISERROR(SEARCH("超过",J53)))</formula>
    </cfRule>
  </conditionalFormatting>
  <conditionalFormatting sqref="I52">
    <cfRule type="expression" dxfId="177" priority="8" stopIfTrue="1">
      <formula>$J$52="超过30%"</formula>
    </cfRule>
  </conditionalFormatting>
  <conditionalFormatting sqref="I53">
    <cfRule type="expression" dxfId="176" priority="7" stopIfTrue="1">
      <formula>$J$53="超过20%"</formula>
    </cfRule>
  </conditionalFormatting>
  <conditionalFormatting sqref="I54">
    <cfRule type="expression" dxfId="175" priority="6" stopIfTrue="1">
      <formula>$J$54="超过30%"</formula>
    </cfRule>
  </conditionalFormatting>
  <conditionalFormatting sqref="F48">
    <cfRule type="expression" dxfId="174" priority="5">
      <formula>$D$48="简单平均"</formula>
    </cfRule>
  </conditionalFormatting>
  <conditionalFormatting sqref="H48">
    <cfRule type="expression" dxfId="173" priority="4">
      <formula>$D$48="简单平均"</formula>
    </cfRule>
  </conditionalFormatting>
  <conditionalFormatting sqref="J48">
    <cfRule type="expression" dxfId="172" priority="3">
      <formula>$D$48="简单平均"</formula>
    </cfRule>
  </conditionalFormatting>
  <conditionalFormatting sqref="F7:F24 H7:H24 J7:J24 J26:J46 H26:H46 F26:F46">
    <cfRule type="cellIs" dxfId="171" priority="2" operator="notEqual">
      <formula>100</formula>
    </cfRule>
  </conditionalFormatting>
  <conditionalFormatting sqref="J25 H25 F25">
    <cfRule type="cellIs" dxfId="170" priority="1" operator="notEqual">
      <formula>100</formula>
    </cfRule>
  </conditionalFormatting>
  <dataValidations count="23">
    <dataValidation type="list" allowBlank="1" showInputMessage="1" showErrorMessage="1" sqref="D48" xr:uid="{00000000-0002-0000-1C00-000000000000}">
      <formula1>"简单平均,加权平均"</formula1>
    </dataValidation>
    <dataValidation type="list" allowBlank="1" showInputMessage="1" showErrorMessage="1" sqref="F1" xr:uid="{00000000-0002-0000-1C00-000001000000}">
      <formula1>"售价,租金"</formula1>
    </dataValidation>
    <dataValidation type="list" allowBlank="1" showInputMessage="1" showErrorMessage="1" sqref="C22 E22 G22 I22" xr:uid="{00000000-0002-0000-1C00-000002000000}">
      <formula1>基础设施水平</formula1>
    </dataValidation>
    <dataValidation type="list" allowBlank="1" showInputMessage="1" showErrorMessage="1" sqref="C16 E16 G16 I16" xr:uid="{00000000-0002-0000-1C00-000003000000}">
      <formula1>商业繁华度</formula1>
    </dataValidation>
    <dataValidation type="list" allowBlank="1" showInputMessage="1" showErrorMessage="1" sqref="C8 E8 G8 I8" xr:uid="{00000000-0002-0000-1C00-000004000000}">
      <formula1>商业交易情况</formula1>
    </dataValidation>
    <dataValidation type="list" allowBlank="1" showInputMessage="1" showErrorMessage="1" sqref="C39 E39 G39 I39" xr:uid="{00000000-0002-0000-1C00-000005000000}">
      <formula1>商业层高</formula1>
    </dataValidation>
    <dataValidation type="list" allowBlank="1" showInputMessage="1" showErrorMessage="1" sqref="C38 E38 G38 I38" xr:uid="{00000000-0002-0000-1C00-000006000000}">
      <formula1>商业业态</formula1>
    </dataValidation>
    <dataValidation type="list" allowBlank="1" showInputMessage="1" showErrorMessage="1" sqref="E9 G9 I9" xr:uid="{00000000-0002-0000-1C00-000007000000}">
      <formula1>商业用途</formula1>
    </dataValidation>
    <dataValidation type="list" allowBlank="1" showInputMessage="1" showErrorMessage="1" sqref="C42 E42 G42 I42" xr:uid="{00000000-0002-0000-1C00-000008000000}">
      <formula1>商业内部装修</formula1>
    </dataValidation>
    <dataValidation type="list" allowBlank="1" showInputMessage="1" showErrorMessage="1" sqref="C41 E41 G41 I41" xr:uid="{00000000-0002-0000-1C00-000009000000}">
      <formula1>商业进深比</formula1>
    </dataValidation>
    <dataValidation type="list" allowBlank="1" showInputMessage="1" showErrorMessage="1" sqref="C37 E37 G37 I37" xr:uid="{00000000-0002-0000-1C00-00000A000000}">
      <formula1>商业基础设施水平</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4" xr:uid="{00000000-0002-0000-1C00-00000C000000}">
      <formula1>商业建筑结构</formula1>
    </dataValidation>
    <dataValidation type="list" allowBlank="1" showInputMessage="1" showErrorMessage="1" sqref="C32 E32 G32 I32" xr:uid="{00000000-0002-0000-1C00-00000D000000}">
      <formula1>商业类型</formula1>
    </dataValidation>
    <dataValidation type="list" allowBlank="1" showInputMessage="1" showErrorMessage="1" sqref="C28 E28 G28 I28" xr:uid="{00000000-0002-0000-1C00-00000E000000}">
      <formula1>商业楼层</formula1>
    </dataValidation>
    <dataValidation type="list" allowBlank="1" showInputMessage="1" showErrorMessage="1" sqref="C27 E27 G27 I27" xr:uid="{00000000-0002-0000-1C00-00000F000000}">
      <formula1>商业人流量</formula1>
    </dataValidation>
    <dataValidation type="list" allowBlank="1" showInputMessage="1" showErrorMessage="1" sqref="C25 E25 G25 I25" xr:uid="{00000000-0002-0000-1C00-000010000000}">
      <formula1>商业临街状况</formula1>
    </dataValidation>
    <dataValidation type="list" allowBlank="1" showInputMessage="1" showErrorMessage="1" sqref="E24 G24 I24 C24" xr:uid="{00000000-0002-0000-1C00-000011000000}">
      <formula1>环境</formula1>
    </dataValidation>
    <dataValidation type="list" allowBlank="1" showInputMessage="1" showErrorMessage="1" sqref="E18 G18 I18 C18" xr:uid="{00000000-0002-0000-1C00-000012000000}">
      <formula1>交通便捷度</formula1>
    </dataValidation>
    <dataValidation type="list" allowBlank="1" showInputMessage="1" showErrorMessage="1" sqref="C20 G20 I20 E20" xr:uid="{00000000-0002-0000-1C00-000013000000}">
      <formula1>公共配套设施</formula1>
    </dataValidation>
    <dataValidation type="list" allowBlank="1" showInputMessage="1" showErrorMessage="1" sqref="E34 G34 I34" xr:uid="{00000000-0002-0000-1C00-000014000000}">
      <formula1>住宅建筑结构</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D1" xr:uid="{00000000-0002-0000-1C00-000016000000}">
      <formula1>项目类型</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S26"/>
  <sheetViews>
    <sheetView topLeftCell="A2" zoomScale="85" workbookViewId="0">
      <selection activeCell="P31" sqref="P31"/>
    </sheetView>
  </sheetViews>
  <sheetFormatPr defaultColWidth="11" defaultRowHeight="13.5"/>
  <cols>
    <col min="3" max="3" width="24.375" customWidth="1"/>
    <col min="4" max="4" width="5.625" bestFit="1" customWidth="1"/>
    <col min="5" max="5" width="28.875" customWidth="1"/>
    <col min="6" max="6" width="5.625" bestFit="1" customWidth="1"/>
    <col min="7" max="7" width="23.125" customWidth="1"/>
    <col min="8" max="8" width="5.625" bestFit="1" customWidth="1"/>
    <col min="9" max="9" width="18.875" customWidth="1"/>
    <col min="10" max="10" width="5.625" bestFit="1" customWidth="1"/>
    <col min="12" max="14" width="13.125" bestFit="1" customWidth="1"/>
    <col min="16" max="16" width="3.375" bestFit="1" customWidth="1"/>
  </cols>
  <sheetData>
    <row r="1" spans="1:19">
      <c r="A1" s="4418" t="s">
        <v>3575</v>
      </c>
      <c r="B1" s="4419"/>
      <c r="C1" s="4406" t="s">
        <v>3578</v>
      </c>
      <c r="D1" s="4407"/>
      <c r="E1" s="4412" t="s">
        <v>3579</v>
      </c>
      <c r="F1" s="4413"/>
      <c r="G1" s="4412" t="s">
        <v>3580</v>
      </c>
      <c r="H1" s="4413"/>
      <c r="I1" s="4412" t="s">
        <v>3581</v>
      </c>
      <c r="J1" s="4413"/>
    </row>
    <row r="2" spans="1:19">
      <c r="A2" s="4420" t="s">
        <v>3576</v>
      </c>
      <c r="B2" s="4421"/>
      <c r="C2" s="4408"/>
      <c r="D2" s="4409"/>
      <c r="E2" s="4414"/>
      <c r="F2" s="4415"/>
      <c r="G2" s="4414"/>
      <c r="H2" s="4415"/>
      <c r="I2" s="4414"/>
      <c r="J2" s="4415"/>
    </row>
    <row r="3" spans="1:19">
      <c r="A3" s="4422"/>
      <c r="B3" s="4423"/>
      <c r="C3" s="4408"/>
      <c r="D3" s="4409"/>
      <c r="E3" s="4414"/>
      <c r="F3" s="4415"/>
      <c r="G3" s="4414"/>
      <c r="H3" s="4415"/>
      <c r="I3" s="4414"/>
      <c r="J3" s="4415"/>
    </row>
    <row r="4" spans="1:19">
      <c r="A4" s="4422"/>
      <c r="B4" s="4423"/>
      <c r="C4" s="4408"/>
      <c r="D4" s="4409"/>
      <c r="E4" s="4414"/>
      <c r="F4" s="4415"/>
      <c r="G4" s="4414"/>
      <c r="H4" s="4415"/>
      <c r="I4" s="4414"/>
      <c r="J4" s="4415"/>
    </row>
    <row r="5" spans="1:19" ht="14.25" thickBot="1">
      <c r="A5" s="4424" t="s">
        <v>3577</v>
      </c>
      <c r="B5" s="4425"/>
      <c r="C5" s="4410"/>
      <c r="D5" s="4411"/>
      <c r="E5" s="4416"/>
      <c r="F5" s="4417"/>
      <c r="G5" s="4416"/>
      <c r="H5" s="4417"/>
      <c r="I5" s="4416"/>
      <c r="J5" s="4417"/>
    </row>
    <row r="6" spans="1:19" ht="27" thickBot="1">
      <c r="A6" s="4426"/>
      <c r="B6" s="4427"/>
      <c r="C6" s="4127" t="s">
        <v>3582</v>
      </c>
      <c r="D6" s="4127" t="s">
        <v>3583</v>
      </c>
      <c r="E6" s="4127" t="s">
        <v>3604</v>
      </c>
      <c r="F6" s="4127" t="s">
        <v>3583</v>
      </c>
      <c r="G6" s="4127" t="s">
        <v>3584</v>
      </c>
      <c r="H6" s="4127" t="s">
        <v>3583</v>
      </c>
      <c r="I6" s="4127" t="s">
        <v>3585</v>
      </c>
      <c r="J6" s="4127" t="s">
        <v>3583</v>
      </c>
    </row>
    <row r="7" spans="1:19" ht="14.25" thickBot="1">
      <c r="A7" s="4404" t="s">
        <v>3586</v>
      </c>
      <c r="B7" s="4405"/>
      <c r="C7" s="4128">
        <v>45052</v>
      </c>
      <c r="D7" s="4129">
        <v>100</v>
      </c>
      <c r="E7" s="4130">
        <v>45047</v>
      </c>
      <c r="F7" s="4129">
        <v>100</v>
      </c>
      <c r="G7" s="4130">
        <v>45047</v>
      </c>
      <c r="H7" s="4129">
        <v>100</v>
      </c>
      <c r="I7" s="4130">
        <v>45047</v>
      </c>
      <c r="J7" s="4129">
        <v>100</v>
      </c>
      <c r="L7">
        <f>D7/F7</f>
        <v>1</v>
      </c>
      <c r="M7">
        <f>D7/H7</f>
        <v>1</v>
      </c>
      <c r="N7">
        <f>D7/J7</f>
        <v>1</v>
      </c>
      <c r="P7" s="2932" t="s">
        <v>3624</v>
      </c>
      <c r="Q7" t="str">
        <f>D7&amp;P7&amp;F7</f>
        <v>100/100</v>
      </c>
      <c r="R7" t="str">
        <f>D7&amp;P7&amp;H7</f>
        <v>100/100</v>
      </c>
      <c r="S7" t="str">
        <f>D7&amp;P7&amp;J7</f>
        <v>100/100</v>
      </c>
    </row>
    <row r="8" spans="1:19" ht="14.25" thickBot="1">
      <c r="A8" s="4404" t="s">
        <v>3587</v>
      </c>
      <c r="B8" s="4405"/>
      <c r="C8" s="4127" t="s">
        <v>3344</v>
      </c>
      <c r="D8" s="4129">
        <v>100</v>
      </c>
      <c r="E8" s="4127" t="s">
        <v>3344</v>
      </c>
      <c r="F8" s="4129">
        <v>100</v>
      </c>
      <c r="G8" s="4127" t="s">
        <v>3344</v>
      </c>
      <c r="H8" s="4129">
        <v>100</v>
      </c>
      <c r="I8" s="4127" t="s">
        <v>3344</v>
      </c>
      <c r="J8" s="4129">
        <v>100</v>
      </c>
      <c r="L8">
        <f t="shared" ref="L8:L22" si="0">D8/F8</f>
        <v>1</v>
      </c>
      <c r="M8">
        <f t="shared" ref="M8:M22" si="1">D8/H8</f>
        <v>1</v>
      </c>
      <c r="N8">
        <f t="shared" ref="N8:N22" si="2">D8/J8</f>
        <v>1</v>
      </c>
      <c r="P8" s="2932" t="s">
        <v>3624</v>
      </c>
      <c r="Q8" t="str">
        <f t="shared" ref="Q8:Q22" si="3">D8&amp;P8&amp;F8</f>
        <v>100/100</v>
      </c>
      <c r="R8" t="str">
        <f t="shared" ref="R8:R22" si="4">D8&amp;P8&amp;H8</f>
        <v>100/100</v>
      </c>
      <c r="S8" t="str">
        <f t="shared" ref="S8:S22" si="5">D8&amp;P8&amp;J8</f>
        <v>100/100</v>
      </c>
    </row>
    <row r="9" spans="1:19" ht="14.25" thickBot="1">
      <c r="A9" s="4404" t="s">
        <v>3181</v>
      </c>
      <c r="B9" s="4405"/>
      <c r="C9" s="4127" t="s">
        <v>2733</v>
      </c>
      <c r="D9" s="4129">
        <v>100</v>
      </c>
      <c r="E9" s="4127" t="s">
        <v>2733</v>
      </c>
      <c r="F9" s="4129">
        <v>100</v>
      </c>
      <c r="G9" s="4127" t="s">
        <v>2733</v>
      </c>
      <c r="H9" s="4129">
        <v>100</v>
      </c>
      <c r="I9" s="4127" t="s">
        <v>2733</v>
      </c>
      <c r="J9" s="4129">
        <v>100</v>
      </c>
      <c r="L9">
        <f t="shared" si="0"/>
        <v>1</v>
      </c>
      <c r="M9">
        <f t="shared" si="1"/>
        <v>1</v>
      </c>
      <c r="N9">
        <f t="shared" si="2"/>
        <v>1</v>
      </c>
      <c r="P9" s="2932" t="s">
        <v>3624</v>
      </c>
      <c r="Q9" t="str">
        <f t="shared" si="3"/>
        <v>100/100</v>
      </c>
      <c r="R9" t="str">
        <f t="shared" si="4"/>
        <v>100/100</v>
      </c>
      <c r="S9" t="str">
        <f t="shared" si="5"/>
        <v>100/100</v>
      </c>
    </row>
    <row r="10" spans="1:19" ht="90" thickBot="1">
      <c r="A10" s="4131" t="s">
        <v>3588</v>
      </c>
      <c r="B10" s="4127" t="s">
        <v>3590</v>
      </c>
      <c r="C10" s="4127" t="s">
        <v>3608</v>
      </c>
      <c r="D10" s="4129">
        <v>100</v>
      </c>
      <c r="E10" s="4127" t="s">
        <v>3610</v>
      </c>
      <c r="F10" s="4129">
        <v>104</v>
      </c>
      <c r="G10" s="4127" t="s">
        <v>3621</v>
      </c>
      <c r="H10" s="4129">
        <v>102</v>
      </c>
      <c r="I10" s="4127" t="s">
        <v>3615</v>
      </c>
      <c r="J10" s="4129">
        <v>104</v>
      </c>
      <c r="L10">
        <f t="shared" si="0"/>
        <v>0.96153846153846156</v>
      </c>
      <c r="M10">
        <f t="shared" si="1"/>
        <v>0.98039215686274506</v>
      </c>
      <c r="N10">
        <f t="shared" si="2"/>
        <v>0.96153846153846156</v>
      </c>
      <c r="P10" s="2932" t="s">
        <v>3624</v>
      </c>
      <c r="Q10" t="str">
        <f t="shared" si="3"/>
        <v>100/104</v>
      </c>
      <c r="R10" t="str">
        <f t="shared" si="4"/>
        <v>100/102</v>
      </c>
      <c r="S10" t="str">
        <f t="shared" si="5"/>
        <v>100/104</v>
      </c>
    </row>
    <row r="11" spans="1:19" ht="104.25" thickBot="1">
      <c r="A11" s="4131" t="s">
        <v>3589</v>
      </c>
      <c r="B11" s="4127" t="s">
        <v>1190</v>
      </c>
      <c r="C11" s="4127" t="s">
        <v>3609</v>
      </c>
      <c r="D11" s="4129">
        <v>100</v>
      </c>
      <c r="E11" s="4135" t="s">
        <v>3618</v>
      </c>
      <c r="F11" s="4129">
        <v>104</v>
      </c>
      <c r="G11" s="4127" t="s">
        <v>3620</v>
      </c>
      <c r="H11" s="4129">
        <v>102</v>
      </c>
      <c r="I11" s="4135" t="s">
        <v>3619</v>
      </c>
      <c r="J11" s="4129">
        <v>104</v>
      </c>
      <c r="L11">
        <f t="shared" si="0"/>
        <v>0.96153846153846156</v>
      </c>
      <c r="M11">
        <f t="shared" si="1"/>
        <v>0.98039215686274506</v>
      </c>
      <c r="N11">
        <f t="shared" si="2"/>
        <v>0.96153846153846156</v>
      </c>
      <c r="P11" s="2932" t="s">
        <v>3624</v>
      </c>
      <c r="Q11" t="str">
        <f t="shared" si="3"/>
        <v>100/104</v>
      </c>
      <c r="R11" t="str">
        <f t="shared" si="4"/>
        <v>100/102</v>
      </c>
      <c r="S11" t="str">
        <f t="shared" si="5"/>
        <v>100/104</v>
      </c>
    </row>
    <row r="12" spans="1:19" ht="203.25" thickBot="1">
      <c r="A12" s="4132"/>
      <c r="B12" s="4127" t="s">
        <v>3591</v>
      </c>
      <c r="C12" s="4127" t="s">
        <v>3592</v>
      </c>
      <c r="D12" s="4129">
        <v>100</v>
      </c>
      <c r="E12" s="4135" t="s">
        <v>3616</v>
      </c>
      <c r="F12" s="4129">
        <v>101</v>
      </c>
      <c r="G12" s="4127" t="s">
        <v>3622</v>
      </c>
      <c r="H12" s="4129">
        <v>100</v>
      </c>
      <c r="I12" s="4135" t="s">
        <v>3617</v>
      </c>
      <c r="J12" s="4129">
        <v>101</v>
      </c>
      <c r="L12">
        <f t="shared" si="0"/>
        <v>0.99009900990099009</v>
      </c>
      <c r="M12">
        <f t="shared" si="1"/>
        <v>1</v>
      </c>
      <c r="N12">
        <f t="shared" si="2"/>
        <v>0.99009900990099009</v>
      </c>
      <c r="P12" s="2932" t="s">
        <v>3624</v>
      </c>
      <c r="Q12" t="str">
        <f t="shared" si="3"/>
        <v>100/101</v>
      </c>
      <c r="R12" t="str">
        <f t="shared" si="4"/>
        <v>100/100</v>
      </c>
      <c r="S12" t="str">
        <f t="shared" si="5"/>
        <v>100/101</v>
      </c>
    </row>
    <row r="13" spans="1:19" ht="26.25" thickBot="1">
      <c r="A13" s="4133"/>
      <c r="B13" s="4127" t="s">
        <v>3593</v>
      </c>
      <c r="C13" s="4127" t="s">
        <v>3594</v>
      </c>
      <c r="D13" s="4129">
        <v>100</v>
      </c>
      <c r="E13" s="4127" t="s">
        <v>3595</v>
      </c>
      <c r="F13" s="4129">
        <v>100</v>
      </c>
      <c r="G13" s="4127" t="s">
        <v>3595</v>
      </c>
      <c r="H13" s="4129">
        <v>100</v>
      </c>
      <c r="I13" s="4127" t="s">
        <v>3595</v>
      </c>
      <c r="J13" s="4129">
        <v>100</v>
      </c>
      <c r="L13">
        <f t="shared" si="0"/>
        <v>1</v>
      </c>
      <c r="M13">
        <f t="shared" si="1"/>
        <v>1</v>
      </c>
      <c r="N13">
        <f t="shared" si="2"/>
        <v>1</v>
      </c>
      <c r="P13" s="2932" t="s">
        <v>3624</v>
      </c>
      <c r="Q13" t="str">
        <f t="shared" si="3"/>
        <v>100/100</v>
      </c>
      <c r="R13" t="str">
        <f t="shared" si="4"/>
        <v>100/100</v>
      </c>
      <c r="S13" t="str">
        <f t="shared" si="5"/>
        <v>100/100</v>
      </c>
    </row>
    <row r="14" spans="1:19" ht="77.25" thickBot="1">
      <c r="A14" s="4133"/>
      <c r="B14" s="4127" t="s">
        <v>1191</v>
      </c>
      <c r="C14" s="4127" t="s">
        <v>3611</v>
      </c>
      <c r="D14" s="4129">
        <v>100</v>
      </c>
      <c r="E14" s="4135" t="s">
        <v>3612</v>
      </c>
      <c r="F14" s="4129">
        <v>101</v>
      </c>
      <c r="G14" s="4136" t="s">
        <v>3623</v>
      </c>
      <c r="H14" s="4129">
        <v>101</v>
      </c>
      <c r="I14" s="4135" t="s">
        <v>3612</v>
      </c>
      <c r="J14" s="4129">
        <v>101</v>
      </c>
      <c r="L14">
        <f t="shared" si="0"/>
        <v>0.99009900990099009</v>
      </c>
      <c r="M14">
        <f t="shared" si="1"/>
        <v>0.99009900990099009</v>
      </c>
      <c r="N14">
        <f t="shared" si="2"/>
        <v>0.99009900990099009</v>
      </c>
      <c r="P14" s="2932" t="s">
        <v>3624</v>
      </c>
      <c r="Q14" t="str">
        <f t="shared" si="3"/>
        <v>100/101</v>
      </c>
      <c r="R14" t="str">
        <f t="shared" si="4"/>
        <v>100/101</v>
      </c>
      <c r="S14" t="str">
        <f t="shared" si="5"/>
        <v>100/101</v>
      </c>
    </row>
    <row r="15" spans="1:19" ht="14.25" thickBot="1">
      <c r="A15" s="4133"/>
      <c r="B15" s="4127" t="s">
        <v>1196</v>
      </c>
      <c r="C15" s="4127" t="s">
        <v>3536</v>
      </c>
      <c r="D15" s="4129">
        <v>100</v>
      </c>
      <c r="E15" s="4127" t="s">
        <v>3537</v>
      </c>
      <c r="F15" s="4129">
        <v>100</v>
      </c>
      <c r="G15" s="4127" t="s">
        <v>3537</v>
      </c>
      <c r="H15" s="4129">
        <v>100</v>
      </c>
      <c r="I15" s="4127" t="s">
        <v>3553</v>
      </c>
      <c r="J15" s="4129">
        <v>101</v>
      </c>
      <c r="L15">
        <f t="shared" si="0"/>
        <v>1</v>
      </c>
      <c r="M15">
        <f t="shared" si="1"/>
        <v>1</v>
      </c>
      <c r="N15">
        <f t="shared" si="2"/>
        <v>0.99009900990099009</v>
      </c>
      <c r="P15" s="2932" t="s">
        <v>3624</v>
      </c>
      <c r="Q15" t="str">
        <f t="shared" si="3"/>
        <v>100/100</v>
      </c>
      <c r="R15" t="str">
        <f t="shared" si="4"/>
        <v>100/100</v>
      </c>
      <c r="S15" t="str">
        <f t="shared" si="5"/>
        <v>100/101</v>
      </c>
    </row>
    <row r="16" spans="1:19" ht="14.25" thickBot="1">
      <c r="A16" s="4133"/>
      <c r="B16" s="4127" t="s">
        <v>3596</v>
      </c>
      <c r="C16" s="4127" t="s">
        <v>3554</v>
      </c>
      <c r="D16" s="4129">
        <v>100</v>
      </c>
      <c r="E16" s="4127" t="s">
        <v>3370</v>
      </c>
      <c r="F16" s="4129">
        <v>104</v>
      </c>
      <c r="G16" s="4127" t="s">
        <v>3371</v>
      </c>
      <c r="H16" s="4129">
        <v>102</v>
      </c>
      <c r="I16" s="4127" t="s">
        <v>3370</v>
      </c>
      <c r="J16" s="4129">
        <v>104</v>
      </c>
      <c r="L16">
        <f t="shared" si="0"/>
        <v>0.96153846153846156</v>
      </c>
      <c r="M16">
        <f t="shared" si="1"/>
        <v>0.98039215686274506</v>
      </c>
      <c r="N16">
        <f t="shared" si="2"/>
        <v>0.96153846153846156</v>
      </c>
      <c r="P16" s="2932" t="s">
        <v>3624</v>
      </c>
      <c r="Q16" t="str">
        <f t="shared" si="3"/>
        <v>100/104</v>
      </c>
      <c r="R16" t="str">
        <f t="shared" si="4"/>
        <v>100/102</v>
      </c>
      <c r="S16" t="str">
        <f t="shared" si="5"/>
        <v>100/104</v>
      </c>
    </row>
    <row r="17" spans="1:19" ht="14.25" thickBot="1">
      <c r="A17" s="4134"/>
      <c r="B17" s="4127" t="s">
        <v>3597</v>
      </c>
      <c r="C17" s="4129" t="s">
        <v>3598</v>
      </c>
      <c r="D17" s="4129">
        <v>100</v>
      </c>
      <c r="E17" s="4129" t="s">
        <v>3547</v>
      </c>
      <c r="F17" s="4129">
        <v>100</v>
      </c>
      <c r="G17" s="4129" t="s">
        <v>3605</v>
      </c>
      <c r="H17" s="4129">
        <v>90</v>
      </c>
      <c r="I17" s="4129" t="s">
        <v>3547</v>
      </c>
      <c r="J17" s="4129">
        <v>100</v>
      </c>
      <c r="L17">
        <f t="shared" si="0"/>
        <v>1</v>
      </c>
      <c r="M17">
        <f t="shared" si="1"/>
        <v>1.1111111111111112</v>
      </c>
      <c r="N17">
        <f t="shared" si="2"/>
        <v>1</v>
      </c>
      <c r="P17" s="2932" t="s">
        <v>3624</v>
      </c>
      <c r="Q17" t="str">
        <f t="shared" si="3"/>
        <v>100/100</v>
      </c>
      <c r="R17" t="str">
        <f t="shared" si="4"/>
        <v>100/90</v>
      </c>
      <c r="S17" t="str">
        <f t="shared" si="5"/>
        <v>100/100</v>
      </c>
    </row>
    <row r="18" spans="1:19" ht="14.25" thickBot="1">
      <c r="A18" s="4131" t="s">
        <v>3599</v>
      </c>
      <c r="B18" s="4127" t="s">
        <v>3600</v>
      </c>
      <c r="C18" s="4127" t="s">
        <v>3601</v>
      </c>
      <c r="D18" s="4129">
        <v>100</v>
      </c>
      <c r="E18" s="4127" t="s">
        <v>3556</v>
      </c>
      <c r="F18" s="4129">
        <v>104</v>
      </c>
      <c r="G18" s="4127" t="s">
        <v>3558</v>
      </c>
      <c r="H18" s="4129">
        <v>102</v>
      </c>
      <c r="I18" s="4129" t="s">
        <v>3558</v>
      </c>
      <c r="J18" s="4129">
        <v>102</v>
      </c>
      <c r="L18">
        <f t="shared" si="0"/>
        <v>0.96153846153846156</v>
      </c>
      <c r="M18">
        <f t="shared" si="1"/>
        <v>0.98039215686274506</v>
      </c>
      <c r="N18">
        <f t="shared" si="2"/>
        <v>0.98039215686274506</v>
      </c>
      <c r="P18" s="2932" t="s">
        <v>3624</v>
      </c>
      <c r="Q18" t="str">
        <f t="shared" si="3"/>
        <v>100/104</v>
      </c>
      <c r="R18" t="str">
        <f t="shared" si="4"/>
        <v>100/102</v>
      </c>
      <c r="S18" t="str">
        <f t="shared" si="5"/>
        <v>100/102</v>
      </c>
    </row>
    <row r="19" spans="1:19" ht="26.25" thickBot="1">
      <c r="A19" s="4131" t="s">
        <v>3589</v>
      </c>
      <c r="B19" s="4137" t="s">
        <v>3607</v>
      </c>
      <c r="C19" s="4138">
        <v>39</v>
      </c>
      <c r="D19" s="4138">
        <v>100</v>
      </c>
      <c r="E19" s="4138">
        <v>150</v>
      </c>
      <c r="F19" s="4138">
        <v>100</v>
      </c>
      <c r="G19" s="4138">
        <v>237.1</v>
      </c>
      <c r="H19" s="4138">
        <v>100</v>
      </c>
      <c r="I19" s="4138">
        <v>1000</v>
      </c>
      <c r="J19" s="4138">
        <v>98</v>
      </c>
      <c r="L19">
        <f t="shared" si="0"/>
        <v>1</v>
      </c>
      <c r="M19">
        <f t="shared" si="1"/>
        <v>1</v>
      </c>
      <c r="N19">
        <f t="shared" si="2"/>
        <v>1.0204081632653061</v>
      </c>
      <c r="P19" s="2932" t="s">
        <v>3624</v>
      </c>
      <c r="Q19" t="str">
        <f t="shared" si="3"/>
        <v>100/100</v>
      </c>
      <c r="R19" t="str">
        <f t="shared" si="4"/>
        <v>100/100</v>
      </c>
      <c r="S19" t="str">
        <f t="shared" si="5"/>
        <v>100/98</v>
      </c>
    </row>
    <row r="20" spans="1:19">
      <c r="A20" s="4131"/>
      <c r="B20" s="4137" t="s">
        <v>3613</v>
      </c>
      <c r="C20" s="4138" t="s">
        <v>3334</v>
      </c>
      <c r="D20" s="4138">
        <v>100</v>
      </c>
      <c r="E20" s="4138" t="s">
        <v>3334</v>
      </c>
      <c r="F20" s="4138">
        <v>100</v>
      </c>
      <c r="G20" s="4138" t="s">
        <v>3334</v>
      </c>
      <c r="H20" s="4138">
        <v>100</v>
      </c>
      <c r="I20" s="4138" t="s">
        <v>3334</v>
      </c>
      <c r="J20" s="4138">
        <v>100</v>
      </c>
      <c r="L20">
        <f t="shared" si="0"/>
        <v>1</v>
      </c>
      <c r="M20">
        <f t="shared" si="1"/>
        <v>1</v>
      </c>
      <c r="N20">
        <f t="shared" si="2"/>
        <v>1</v>
      </c>
      <c r="P20" s="2932" t="s">
        <v>3624</v>
      </c>
      <c r="Q20" t="str">
        <f t="shared" si="3"/>
        <v>100/100</v>
      </c>
      <c r="R20" t="str">
        <f t="shared" si="4"/>
        <v>100/100</v>
      </c>
      <c r="S20" t="str">
        <f t="shared" si="5"/>
        <v>100/100</v>
      </c>
    </row>
    <row r="21" spans="1:19" ht="26.25" thickBot="1">
      <c r="A21" s="4133"/>
      <c r="B21" s="4127" t="s">
        <v>3614</v>
      </c>
      <c r="C21" s="4127" t="s">
        <v>3412</v>
      </c>
      <c r="D21" s="4129">
        <v>100</v>
      </c>
      <c r="E21" s="4127" t="s">
        <v>3412</v>
      </c>
      <c r="F21" s="4129">
        <v>100</v>
      </c>
      <c r="G21" s="4127" t="s">
        <v>3412</v>
      </c>
      <c r="H21" s="4129">
        <v>100</v>
      </c>
      <c r="I21" s="4127" t="s">
        <v>3412</v>
      </c>
      <c r="J21" s="4129">
        <v>100</v>
      </c>
      <c r="L21">
        <f t="shared" si="0"/>
        <v>1</v>
      </c>
      <c r="M21">
        <f t="shared" si="1"/>
        <v>1</v>
      </c>
      <c r="N21">
        <f t="shared" si="2"/>
        <v>1</v>
      </c>
      <c r="P21" s="2932" t="s">
        <v>3624</v>
      </c>
      <c r="Q21" t="str">
        <f t="shared" si="3"/>
        <v>100/100</v>
      </c>
      <c r="R21" t="str">
        <f t="shared" si="4"/>
        <v>100/100</v>
      </c>
      <c r="S21" t="str">
        <f t="shared" si="5"/>
        <v>100/100</v>
      </c>
    </row>
    <row r="22" spans="1:19" ht="14.25" thickBot="1">
      <c r="A22" s="4134"/>
      <c r="B22" s="4127" t="s">
        <v>3602</v>
      </c>
      <c r="C22" s="4129" t="s">
        <v>3603</v>
      </c>
      <c r="D22" s="4129">
        <v>100</v>
      </c>
      <c r="E22" s="4129" t="s">
        <v>3606</v>
      </c>
      <c r="F22" s="4129">
        <v>99</v>
      </c>
      <c r="G22" s="4129" t="s">
        <v>3606</v>
      </c>
      <c r="H22" s="4129">
        <v>99</v>
      </c>
      <c r="I22" s="4129" t="s">
        <v>3606</v>
      </c>
      <c r="J22" s="4129">
        <v>99</v>
      </c>
      <c r="L22">
        <f t="shared" si="0"/>
        <v>1.0101010101010102</v>
      </c>
      <c r="M22">
        <f t="shared" si="1"/>
        <v>1.0101010101010102</v>
      </c>
      <c r="N22">
        <f t="shared" si="2"/>
        <v>1.0101010101010102</v>
      </c>
      <c r="P22" s="2932" t="s">
        <v>3624</v>
      </c>
      <c r="Q22" t="str">
        <f t="shared" si="3"/>
        <v>100/99</v>
      </c>
      <c r="R22" t="str">
        <f t="shared" si="4"/>
        <v>100/99</v>
      </c>
      <c r="S22" t="str">
        <f t="shared" si="5"/>
        <v>100/99</v>
      </c>
    </row>
    <row r="23" spans="1:19">
      <c r="L23">
        <f>PRODUCT(L7:L22)</f>
        <v>0.84642542574032253</v>
      </c>
      <c r="M23">
        <f t="shared" ref="M23:N23" si="6">PRODUCT(M7:M22)</f>
        <v>1.0265975775649947</v>
      </c>
      <c r="N23">
        <f t="shared" si="6"/>
        <v>0.87191554123623238</v>
      </c>
    </row>
    <row r="24" spans="1:19">
      <c r="L24">
        <v>26700</v>
      </c>
      <c r="M24">
        <v>21100</v>
      </c>
      <c r="N24">
        <v>25000</v>
      </c>
    </row>
    <row r="25" spans="1:19">
      <c r="L25">
        <f>ROUND(L23*L24,0)</f>
        <v>22600</v>
      </c>
      <c r="M25">
        <f t="shared" ref="M25:N25" si="7">ROUND(M23*M24,0)</f>
        <v>21661</v>
      </c>
      <c r="N25">
        <f t="shared" si="7"/>
        <v>21798</v>
      </c>
    </row>
    <row r="26" spans="1:19">
      <c r="M26">
        <f>ROUND(AVERAGE(L25:N25),0)</f>
        <v>22020</v>
      </c>
    </row>
  </sheetData>
  <mergeCells count="13">
    <mergeCell ref="A9:B9"/>
    <mergeCell ref="C1:D5"/>
    <mergeCell ref="E1:F5"/>
    <mergeCell ref="G1:H5"/>
    <mergeCell ref="I1:J5"/>
    <mergeCell ref="A7:B7"/>
    <mergeCell ref="A8:B8"/>
    <mergeCell ref="A1:B1"/>
    <mergeCell ref="A2:B2"/>
    <mergeCell ref="A3:B3"/>
    <mergeCell ref="A4:B4"/>
    <mergeCell ref="A5:B5"/>
    <mergeCell ref="A6:B6"/>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G7"/>
  <sheetViews>
    <sheetView topLeftCell="A49" zoomScaleNormal="100" workbookViewId="0">
      <selection activeCell="G2" sqref="G2"/>
    </sheetView>
  </sheetViews>
  <sheetFormatPr defaultColWidth="9" defaultRowHeight="13.5"/>
  <cols>
    <col min="1" max="1" width="27.625" style="4047" bestFit="1" customWidth="1"/>
    <col min="2" max="3" width="9" style="4047"/>
    <col min="4" max="4" width="9.5" style="4047" bestFit="1" customWidth="1"/>
    <col min="5" max="16384" width="9" style="4047"/>
  </cols>
  <sheetData>
    <row r="1" spans="1:7">
      <c r="A1" s="4119" t="s">
        <v>3430</v>
      </c>
      <c r="B1" s="4119" t="s">
        <v>3432</v>
      </c>
      <c r="C1" s="4119" t="s">
        <v>3434</v>
      </c>
      <c r="D1" s="4119" t="s">
        <v>3545</v>
      </c>
      <c r="E1" s="4119" t="s">
        <v>3546</v>
      </c>
    </row>
    <row r="2" spans="1:7">
      <c r="A2" s="4120" t="s">
        <v>3543</v>
      </c>
      <c r="B2" s="4120">
        <v>150</v>
      </c>
      <c r="C2" s="4120">
        <v>26700</v>
      </c>
      <c r="D2" s="4120" t="s">
        <v>3547</v>
      </c>
      <c r="E2" s="4120" t="s">
        <v>3548</v>
      </c>
      <c r="F2" s="4118"/>
      <c r="G2" s="4030" t="s">
        <v>3538</v>
      </c>
    </row>
    <row r="3" spans="1:7">
      <c r="A3" s="4120" t="s">
        <v>3544</v>
      </c>
      <c r="B3" s="4120">
        <v>237.1</v>
      </c>
      <c r="C3" s="4120">
        <v>21100</v>
      </c>
      <c r="D3" s="4121" t="s">
        <v>3549</v>
      </c>
      <c r="E3" s="4120" t="s">
        <v>3548</v>
      </c>
      <c r="F3" s="4118"/>
      <c r="G3" s="4030" t="s">
        <v>3539</v>
      </c>
    </row>
    <row r="4" spans="1:7">
      <c r="A4" s="4120" t="s">
        <v>3551</v>
      </c>
      <c r="B4" s="4120">
        <v>178.1</v>
      </c>
      <c r="C4" s="4120">
        <v>25000</v>
      </c>
      <c r="D4" s="4120" t="s">
        <v>3547</v>
      </c>
      <c r="E4" s="4120" t="s">
        <v>3550</v>
      </c>
      <c r="F4" s="4118"/>
      <c r="G4" s="4030" t="s">
        <v>3540</v>
      </c>
    </row>
    <row r="5" spans="1:7">
      <c r="A5" s="4122" t="s">
        <v>3436</v>
      </c>
      <c r="B5" s="4122">
        <v>108.5</v>
      </c>
      <c r="C5" s="4122">
        <v>21000</v>
      </c>
      <c r="D5" s="4122" t="s">
        <v>3547</v>
      </c>
      <c r="E5" s="4122" t="s">
        <v>3550</v>
      </c>
      <c r="F5" s="4118"/>
      <c r="G5" s="4030" t="s">
        <v>3541</v>
      </c>
    </row>
    <row r="6" spans="1:7">
      <c r="A6" s="4122" t="s">
        <v>3544</v>
      </c>
      <c r="B6" s="4122">
        <v>300</v>
      </c>
      <c r="C6" s="4122">
        <v>20000</v>
      </c>
      <c r="D6" s="4122" t="s">
        <v>3547</v>
      </c>
      <c r="E6" s="4122" t="s">
        <v>3550</v>
      </c>
      <c r="F6" s="4118"/>
      <c r="G6" s="4030" t="s">
        <v>3542</v>
      </c>
    </row>
    <row r="7" spans="1:7">
      <c r="A7" s="4119"/>
      <c r="B7" s="4119"/>
      <c r="C7" s="4119"/>
      <c r="D7" s="4123"/>
      <c r="E7" s="4123"/>
    </row>
  </sheetData>
  <phoneticPr fontId="224" type="noConversion"/>
  <hyperlinks>
    <hyperlink ref="G2" r:id="rId1" xr:uid="{00000000-0004-0000-1E00-000000000000}"/>
    <hyperlink ref="G3" r:id="rId2" xr:uid="{00000000-0004-0000-1E00-000001000000}"/>
    <hyperlink ref="G4" r:id="rId3" xr:uid="{00000000-0004-0000-1E00-000002000000}"/>
    <hyperlink ref="G5" r:id="rId4" xr:uid="{00000000-0004-0000-1E00-000003000000}"/>
    <hyperlink ref="G6" r:id="rId5" xr:uid="{00000000-0004-0000-1E00-000004000000}"/>
  </hyperlinks>
  <pageMargins left="0.7" right="0.7" top="0.75" bottom="0.75" header="0.3" footer="0.3"/>
  <pageSetup paperSize="9" orientation="portrait" verticalDpi="0" r:id="rId6"/>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AR123"/>
  <sheetViews>
    <sheetView view="pageBreakPreview" topLeftCell="A19" zoomScale="90" zoomScaleNormal="60" zoomScaleSheetLayoutView="90" workbookViewId="0">
      <selection activeCell="E21" sqref="E21"/>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264</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5064</v>
      </c>
      <c r="U2" s="2354"/>
      <c r="V2" s="2364">
        <f>ROUND(T2*U2/10000,0)</f>
        <v>0</v>
      </c>
      <c r="W2" s="1877"/>
      <c r="X2" s="1877"/>
      <c r="Y2" s="1877"/>
      <c r="Z2" s="1877"/>
      <c r="AA2" s="1877"/>
      <c r="AB2" s="1877"/>
      <c r="AC2" s="1878"/>
    </row>
    <row r="3" spans="1:39" ht="15.75">
      <c r="A3" s="1240" t="s">
        <v>1220</v>
      </c>
      <c r="B3" s="968">
        <f>ROUND(B2*10000/D1,0)</f>
        <v>3501</v>
      </c>
      <c r="C3" s="1236" t="s">
        <v>855</v>
      </c>
      <c r="D3" s="1237" t="s">
        <v>856</v>
      </c>
      <c r="E3" s="1241" t="s">
        <v>2469</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3904</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3184</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3210</v>
      </c>
      <c r="D5" s="2492">
        <f>ROUND(C6*C17+C20,0)</f>
        <v>3210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2703</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2463</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8" t="s">
        <v>2058</v>
      </c>
      <c r="X8" s="4349"/>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350"/>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50"/>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51" t="s">
        <v>1370</v>
      </c>
      <c r="B20" s="1252" t="s">
        <v>875</v>
      </c>
      <c r="C20" s="975">
        <f>ROUND(IF(F21="与级别开发程度一致",0,(G21-E21)/C21),0)</f>
        <v>40</v>
      </c>
      <c r="D20" s="4353" t="s">
        <v>879</v>
      </c>
      <c r="E20" s="4354"/>
      <c r="F20" s="4353" t="s">
        <v>876</v>
      </c>
      <c r="G20" s="4354"/>
      <c r="H20" s="1265" t="s">
        <v>2760</v>
      </c>
      <c r="I20" s="1265" t="s">
        <v>2761</v>
      </c>
      <c r="J20" s="1265" t="s">
        <v>2763</v>
      </c>
      <c r="K20" s="1265" t="s">
        <v>2764</v>
      </c>
      <c r="L20" s="1265" t="s">
        <v>2767</v>
      </c>
      <c r="M20" s="1265" t="s">
        <v>2765</v>
      </c>
      <c r="N20" s="1265" t="s">
        <v>2766</v>
      </c>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352"/>
      <c r="B21" s="4075" t="s">
        <v>878</v>
      </c>
      <c r="C21" s="4076">
        <f>IF(E3="M4科研用地",SUMPRODUCT((修正!A2:A7=E3)*(修正!B1:M1=G2)*(修正!B2:M7)),SUMPRODUCT((修正!A2:A7=E2)*(修正!B1:M1=G2)*(修正!B2:M7)))</f>
        <v>1.5</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40</v>
      </c>
      <c r="N21" s="974">
        <f>SUMPRODUCT((七通一平=N20)*(修正!B1:M1=G2)*(修正!B8:M16))</f>
        <v>30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1.0678000000000001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1.0678000000000001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0.99609999999999999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264</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3507</v>
      </c>
      <c r="D33" s="1300">
        <f>'数据-汇总表'!F21</f>
        <v>754</v>
      </c>
      <c r="E33" s="1601">
        <f>ROUND(C33*D33/10000,0)</f>
        <v>264</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877</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6"/>
      <c r="B37" s="1318" t="s">
        <v>923</v>
      </c>
      <c r="C37" s="982">
        <f>ROUND(D5*C22*C23*C24*C28*F37,0)</f>
        <v>1642</v>
      </c>
      <c r="D37" s="1330"/>
      <c r="E37" s="973">
        <f>ROUND(C37*D37/10000,0)</f>
        <v>0</v>
      </c>
      <c r="F37" s="973">
        <f>SUMIF(修正!A57:A68,G2,修正!B57:B68)</f>
        <v>0.5</v>
      </c>
      <c r="G37" s="973">
        <f>ROUND(IF(E2="工业",C37*$M$42,C37*$M$41),0)</f>
        <v>411</v>
      </c>
      <c r="H37" s="973">
        <f>D37</f>
        <v>0</v>
      </c>
      <c r="I37" s="973">
        <f>ROUND(G37*H37/10000,0)</f>
        <v>0</v>
      </c>
      <c r="J37" s="4346"/>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7"/>
      <c r="B38" s="1262" t="s">
        <v>924</v>
      </c>
      <c r="C38" s="982">
        <f>ROUND(D5*C22*C23*C24*C28*F38,0)</f>
        <v>657</v>
      </c>
      <c r="D38" s="1330"/>
      <c r="E38" s="973">
        <f t="shared" ref="E38:E42" si="4">ROUND(C38*D38/10000,0)</f>
        <v>0</v>
      </c>
      <c r="F38" s="973">
        <f>SUMIF(修正!A57:A68,G2,修正!C57:C68)</f>
        <v>0.2</v>
      </c>
      <c r="G38" s="973">
        <f>ROUND(IF(E2="工业",C38*$M$42,C38*$M$41),0)</f>
        <v>164</v>
      </c>
      <c r="H38" s="973">
        <f t="shared" ref="H38:H42" si="5">D38</f>
        <v>0</v>
      </c>
      <c r="I38" s="973">
        <f t="shared" ref="I38:I42" si="6">ROUND(G38*H38/10000,0)</f>
        <v>0</v>
      </c>
      <c r="J38" s="4347"/>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7"/>
      <c r="B39" s="3504" t="s">
        <v>3210</v>
      </c>
      <c r="C39" s="982">
        <f>ROUND(D5*C22*C23*C24*C28*F39,0)</f>
        <v>657</v>
      </c>
      <c r="D39" s="1330"/>
      <c r="E39" s="973">
        <f t="shared" si="4"/>
        <v>0</v>
      </c>
      <c r="F39" s="973">
        <f>SUMIF(修正!A57:A68,G2,修正!D57:D68)</f>
        <v>0.2</v>
      </c>
      <c r="G39" s="973">
        <f>ROUND(IF(E2="工业",C39*$M$42,C39*$M$41),0)</f>
        <v>164</v>
      </c>
      <c r="H39" s="973">
        <f t="shared" si="5"/>
        <v>0</v>
      </c>
      <c r="I39" s="973">
        <f t="shared" si="6"/>
        <v>0</v>
      </c>
      <c r="J39" s="4347"/>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657</v>
      </c>
      <c r="D40" s="1330"/>
      <c r="E40" s="973">
        <f t="shared" si="4"/>
        <v>0</v>
      </c>
      <c r="F40" s="982">
        <f>SUMIF(修正!A57:A68,G2,修正!E57:E68)</f>
        <v>0.2</v>
      </c>
      <c r="G40" s="973">
        <f>ROUND(IF(E2="工业",C40*$M$42,C40*$M$41),0)</f>
        <v>164</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0.99609999999999999</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3437</v>
      </c>
      <c r="D93" s="3532">
        <f>SUMIF($J$92:$N$92,C93,J93:N93)</f>
        <v>-1.8700000000000001E-2</v>
      </c>
      <c r="E93" s="3565">
        <f>ROUND(SUM(D93:D101),4)</f>
        <v>-3.8999999999999998E-3</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072" t="str">
        <f>基准地价商业!C51</f>
        <v>较差</v>
      </c>
      <c r="D94" s="3532">
        <f t="shared" ref="D94:D101" si="29">SUMIF($J$92:$N$92,C94,J94:N94)</f>
        <v>-1.95E-2</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0" t="s">
        <v>1172</v>
      </c>
      <c r="B104" s="4340"/>
      <c r="C104" s="4340"/>
      <c r="D104" s="4340"/>
      <c r="E104" s="4340"/>
      <c r="F104" s="4340"/>
      <c r="G104" s="4340"/>
      <c r="H104" s="4340"/>
      <c r="I104" s="4340"/>
      <c r="J104" s="4340"/>
      <c r="K104" s="3600"/>
      <c r="L104" s="3600"/>
      <c r="M104" s="3600"/>
      <c r="N104" s="3600"/>
    </row>
    <row r="105" spans="1:36">
      <c r="A105" s="4341" t="s">
        <v>833</v>
      </c>
      <c r="B105" s="4341" t="s">
        <v>1173</v>
      </c>
      <c r="C105" s="1018" t="s">
        <v>1174</v>
      </c>
      <c r="D105" s="1019"/>
      <c r="E105" s="1019"/>
      <c r="F105" s="1019"/>
      <c r="G105" s="1019"/>
      <c r="H105" s="1019"/>
      <c r="I105" s="1019"/>
      <c r="J105" s="1020"/>
      <c r="K105" s="1012"/>
      <c r="L105" s="1012"/>
      <c r="M105" s="1012"/>
      <c r="N105" s="1012"/>
    </row>
    <row r="106" spans="1:36">
      <c r="A106" s="4341"/>
      <c r="B106" s="4341"/>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42"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43"/>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43"/>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43"/>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43"/>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43"/>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44"/>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45" t="s">
        <v>1175</v>
      </c>
      <c r="B114" s="4345"/>
      <c r="C114" s="4345"/>
      <c r="D114" s="4345"/>
      <c r="E114" s="4345"/>
      <c r="F114" s="4345"/>
      <c r="G114" s="4345"/>
      <c r="H114" s="4345"/>
      <c r="I114" s="4345"/>
      <c r="J114" s="4345"/>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xr:uid="{00000000-0002-0000-1F00-000000000000}">
      <formula1>"不用分区数据,中心城区,中心城区以外"</formula1>
    </dataValidation>
    <dataValidation type="list" allowBlank="1" showInputMessage="1" showErrorMessage="1" sqref="H20:O20" xr:uid="{00000000-0002-0000-1F00-000001000000}">
      <formula1>七通一平</formula1>
    </dataValidation>
    <dataValidation type="list" allowBlank="1" showInputMessage="1" showErrorMessage="1" sqref="C50:C58 C61:C69 C93:C102 C72:C80 C83:C90" xr:uid="{00000000-0002-0000-1F00-000002000000}">
      <formula1>五等判定</formula1>
    </dataValidation>
    <dataValidation type="list" allowBlank="1" showInputMessage="1" showErrorMessage="1" sqref="E3" xr:uid="{00000000-0002-0000-1F00-000003000000}">
      <formula1>二级分类</formula1>
    </dataValidation>
    <dataValidation type="list" allowBlank="1" showInputMessage="1" showErrorMessage="1" sqref="C8" xr:uid="{00000000-0002-0000-1F00-000004000000}">
      <formula1>商业街名称</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H23" xr:uid="{00000000-0002-0000-1F00-000006000000}">
      <formula1>"地价指数,季度增幅（自定义）,按公示增长率计算"</formula1>
    </dataValidation>
    <dataValidation type="list" allowBlank="1" showInputMessage="1" showErrorMessage="1" sqref="E15" xr:uid="{00000000-0002-0000-1F00-000007000000}">
      <formula1>"500米范围内,500-1000米,1000米以外"</formula1>
    </dataValidation>
    <dataValidation type="list" allowBlank="1" showInputMessage="1" showErrorMessage="1" sqref="C15:D15" xr:uid="{00000000-0002-0000-1F00-000008000000}">
      <formula1>"有,无"</formula1>
    </dataValidation>
    <dataValidation type="list" allowBlank="1" showInputMessage="1" showErrorMessage="1" sqref="B25" xr:uid="{00000000-0002-0000-1F00-000009000000}">
      <formula1>"容积率修正,楼层修正"</formula1>
    </dataValidation>
    <dataValidation type="list" allowBlank="1" showInputMessage="1" showErrorMessage="1" sqref="F21" xr:uid="{00000000-0002-0000-1F00-00000A000000}">
      <formula1>"与级别开发程度一致,与级别开发程度不一致"</formula1>
    </dataValidation>
    <dataValidation type="list" allowBlank="1" showInputMessage="1" showErrorMessage="1" sqref="E2" xr:uid="{00000000-0002-0000-1F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62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33170.372000000003</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1658.5186000000001</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2211.3580999999999</v>
      </c>
      <c r="D16" s="428">
        <f ca="1">IF(B1="",'数据-汇总表'!E3,INDIRECT("'数据-取费表'!K"&amp;$K$1)+INDIRECT("'数据-取费表'!S"&amp;$K$1))</f>
        <v>73711.9378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497.55560000000003</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37537.804300000003</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1126.1341</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2309.1433000000002</v>
      </c>
      <c r="D20" s="438">
        <f ca="1">ROUND(((1+F20)^'数据-取费表'!B20)-1,4)</f>
        <v>0.123</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11599.181500000001</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428" t="s">
        <v>1394</v>
      </c>
      <c r="B24" s="4429"/>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430" t="s">
        <v>2289</v>
      </c>
      <c r="B25" s="4431"/>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430" t="s">
        <v>2290</v>
      </c>
      <c r="B26" s="4431"/>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432" t="s">
        <v>2288</v>
      </c>
      <c r="B27" s="4433"/>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2000-000000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2" width="15.625" style="1175" customWidth="1"/>
    <col min="3" max="3" width="15.125" style="1175" customWidth="1"/>
    <col min="4" max="4" width="12.125" style="1175" customWidth="1"/>
    <col min="5" max="5" width="16.125" style="1175" customWidth="1"/>
    <col min="6" max="6" width="12.125" style="1175" customWidth="1"/>
    <col min="7" max="7" width="15.625" style="1175" customWidth="1"/>
    <col min="8" max="8" width="12.125" style="1175" customWidth="1"/>
    <col min="9" max="9" width="15.62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373" t="s">
        <v>471</v>
      </c>
      <c r="D6" s="4374"/>
      <c r="E6" s="4373" t="s">
        <v>472</v>
      </c>
      <c r="F6" s="4374"/>
      <c r="G6" s="4373" t="s">
        <v>473</v>
      </c>
      <c r="H6" s="4374"/>
      <c r="I6" s="4373" t="s">
        <v>474</v>
      </c>
      <c r="J6" s="4374"/>
      <c r="K6" s="463" t="s">
        <v>475</v>
      </c>
      <c r="L6" s="1822"/>
      <c r="M6" s="1821"/>
      <c r="N6" s="1821"/>
      <c r="O6" s="1823"/>
      <c r="P6" s="4377" t="s">
        <v>476</v>
      </c>
      <c r="Q6" s="4378"/>
      <c r="R6" s="4360" t="s">
        <v>472</v>
      </c>
      <c r="S6" s="4361"/>
      <c r="T6" s="4360" t="s">
        <v>473</v>
      </c>
      <c r="U6" s="4361"/>
      <c r="V6" s="4385" t="s">
        <v>474</v>
      </c>
      <c r="W6" s="4385"/>
      <c r="X6" s="1354"/>
      <c r="Y6" s="4360" t="s">
        <v>476</v>
      </c>
      <c r="Z6" s="4361"/>
      <c r="AA6" s="4355" t="s">
        <v>472</v>
      </c>
      <c r="AB6" s="4356" t="s">
        <v>473</v>
      </c>
      <c r="AC6" s="4355" t="s">
        <v>474</v>
      </c>
    </row>
    <row r="7" spans="1:30" ht="20.25">
      <c r="A7" s="464"/>
      <c r="B7" s="465"/>
      <c r="C7" s="4366" t="s">
        <v>2186</v>
      </c>
      <c r="D7" s="4367"/>
      <c r="E7" s="4366" t="s">
        <v>2187</v>
      </c>
      <c r="F7" s="4367"/>
      <c r="G7" s="4366" t="s">
        <v>2188</v>
      </c>
      <c r="H7" s="4367"/>
      <c r="I7" s="4366" t="s">
        <v>2189</v>
      </c>
      <c r="J7" s="4367"/>
      <c r="K7" s="463"/>
      <c r="L7" s="1822"/>
      <c r="M7" s="1821"/>
      <c r="N7" s="1821"/>
      <c r="O7" s="1823"/>
      <c r="P7" s="4379"/>
      <c r="Q7" s="4380"/>
      <c r="R7" s="4362"/>
      <c r="S7" s="4363"/>
      <c r="T7" s="4362"/>
      <c r="U7" s="4363"/>
      <c r="V7" s="4385"/>
      <c r="W7" s="4385"/>
      <c r="X7" s="1354"/>
      <c r="Y7" s="4362"/>
      <c r="Z7" s="4363"/>
      <c r="AA7" s="4356"/>
      <c r="AB7" s="4356"/>
      <c r="AC7" s="4356"/>
    </row>
    <row r="8" spans="1:30" ht="21" thickBot="1">
      <c r="A8" s="464"/>
      <c r="B8" s="465"/>
      <c r="C8" s="4438" t="s">
        <v>2190</v>
      </c>
      <c r="D8" s="4439"/>
      <c r="E8" s="4438" t="s">
        <v>2190</v>
      </c>
      <c r="F8" s="4439"/>
      <c r="G8" s="4368" t="s">
        <v>2190</v>
      </c>
      <c r="H8" s="4369"/>
      <c r="I8" s="4368" t="s">
        <v>2190</v>
      </c>
      <c r="J8" s="4369"/>
      <c r="K8" s="463" t="s">
        <v>477</v>
      </c>
      <c r="L8" s="1822"/>
      <c r="M8" s="1821"/>
      <c r="N8" s="1821"/>
      <c r="O8" s="1823"/>
      <c r="P8" s="4381"/>
      <c r="Q8" s="4382"/>
      <c r="R8" s="4362"/>
      <c r="S8" s="4363"/>
      <c r="T8" s="4383"/>
      <c r="U8" s="4384"/>
      <c r="V8" s="4385"/>
      <c r="W8" s="4385"/>
      <c r="X8" s="1354"/>
      <c r="Y8" s="4383"/>
      <c r="Z8" s="4384"/>
      <c r="AA8" s="4357"/>
      <c r="AB8" s="4357"/>
      <c r="AC8" s="4357"/>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58" t="s">
        <v>479</v>
      </c>
      <c r="Q9" s="4386"/>
      <c r="R9" s="1355" t="s">
        <v>5</v>
      </c>
      <c r="S9" s="1356">
        <f t="shared" ref="S9:S17" si="0">F9</f>
        <v>0</v>
      </c>
      <c r="T9" s="1355" t="s">
        <v>5</v>
      </c>
      <c r="U9" s="1356">
        <f t="shared" ref="U9:U17" si="1">H9</f>
        <v>0</v>
      </c>
      <c r="V9" s="1355" t="s">
        <v>5</v>
      </c>
      <c r="W9" s="1356">
        <f t="shared" ref="W9:W17" si="2">J9</f>
        <v>0</v>
      </c>
      <c r="X9" s="1357"/>
      <c r="Y9" s="4358" t="s">
        <v>479</v>
      </c>
      <c r="Z9" s="4359"/>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58" t="s">
        <v>482</v>
      </c>
      <c r="Q10" s="4359"/>
      <c r="R10" s="1355" t="s">
        <v>5</v>
      </c>
      <c r="S10" s="1356">
        <f t="shared" si="0"/>
        <v>0</v>
      </c>
      <c r="T10" s="1355" t="s">
        <v>5</v>
      </c>
      <c r="U10" s="1356">
        <f t="shared" si="1"/>
        <v>0</v>
      </c>
      <c r="V10" s="1355" t="s">
        <v>5</v>
      </c>
      <c r="W10" s="1356">
        <f t="shared" si="2"/>
        <v>0</v>
      </c>
      <c r="X10" s="1357"/>
      <c r="Y10" s="4358" t="s">
        <v>482</v>
      </c>
      <c r="Z10" s="4359"/>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372" t="s">
        <v>484</v>
      </c>
      <c r="Q11" s="1027" t="str">
        <f t="shared" ref="Q11:Q17" si="6">B11</f>
        <v>用途</v>
      </c>
      <c r="R11" s="1355" t="s">
        <v>5</v>
      </c>
      <c r="S11" s="1356">
        <f t="shared" si="0"/>
        <v>100</v>
      </c>
      <c r="T11" s="1355" t="s">
        <v>5</v>
      </c>
      <c r="U11" s="1356">
        <f t="shared" si="1"/>
        <v>100</v>
      </c>
      <c r="V11" s="1355" t="s">
        <v>5</v>
      </c>
      <c r="W11" s="1356">
        <f t="shared" si="2"/>
        <v>100</v>
      </c>
      <c r="X11" s="1357"/>
      <c r="Y11" s="4304"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372"/>
      <c r="Q12" s="1027" t="str">
        <f t="shared" si="6"/>
        <v>土地使用年限（年）</v>
      </c>
      <c r="R12" s="1355" t="s">
        <v>5</v>
      </c>
      <c r="S12" s="1356">
        <f t="shared" si="0"/>
        <v>100</v>
      </c>
      <c r="T12" s="1355" t="s">
        <v>5</v>
      </c>
      <c r="U12" s="1356">
        <f t="shared" si="1"/>
        <v>100</v>
      </c>
      <c r="V12" s="1355" t="s">
        <v>5</v>
      </c>
      <c r="W12" s="1356">
        <f t="shared" si="2"/>
        <v>100</v>
      </c>
      <c r="X12" s="1357"/>
      <c r="Y12" s="4304"/>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372"/>
      <c r="Q13" s="1027" t="str">
        <f t="shared" si="6"/>
        <v>容积率</v>
      </c>
      <c r="R13" s="1355" t="s">
        <v>5</v>
      </c>
      <c r="S13" s="1356" t="e">
        <f t="shared" si="0"/>
        <v>#N/A</v>
      </c>
      <c r="T13" s="1355" t="s">
        <v>5</v>
      </c>
      <c r="U13" s="1356" t="e">
        <f t="shared" si="1"/>
        <v>#N/A</v>
      </c>
      <c r="V13" s="1355" t="s">
        <v>5</v>
      </c>
      <c r="W13" s="1356" t="e">
        <f t="shared" si="2"/>
        <v>#N/A</v>
      </c>
      <c r="X13" s="1357"/>
      <c r="Y13" s="4304"/>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372"/>
      <c r="Q14" s="1027" t="str">
        <f t="shared" si="6"/>
        <v>配建</v>
      </c>
      <c r="R14" s="1355" t="s">
        <v>5</v>
      </c>
      <c r="S14" s="1356">
        <f t="shared" si="0"/>
        <v>100</v>
      </c>
      <c r="T14" s="1355" t="s">
        <v>5</v>
      </c>
      <c r="U14" s="1356">
        <f t="shared" si="1"/>
        <v>100</v>
      </c>
      <c r="V14" s="1355" t="s">
        <v>5</v>
      </c>
      <c r="W14" s="1356">
        <f t="shared" si="2"/>
        <v>100</v>
      </c>
      <c r="X14" s="1357"/>
      <c r="Y14" s="4304"/>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372"/>
      <c r="Q15" s="1027">
        <f t="shared" si="6"/>
        <v>111</v>
      </c>
      <c r="R15" s="1355" t="s">
        <v>5</v>
      </c>
      <c r="S15" s="1356">
        <f t="shared" si="0"/>
        <v>100</v>
      </c>
      <c r="T15" s="1355" t="s">
        <v>5</v>
      </c>
      <c r="U15" s="1356">
        <f t="shared" si="1"/>
        <v>100</v>
      </c>
      <c r="V15" s="1355" t="s">
        <v>5</v>
      </c>
      <c r="W15" s="1356">
        <f t="shared" si="2"/>
        <v>100</v>
      </c>
      <c r="X15" s="1357"/>
      <c r="Y15" s="4304"/>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372"/>
      <c r="Q16" s="1027">
        <f t="shared" si="6"/>
        <v>111</v>
      </c>
      <c r="R16" s="1355" t="s">
        <v>5</v>
      </c>
      <c r="S16" s="1356">
        <f t="shared" si="0"/>
        <v>100</v>
      </c>
      <c r="T16" s="1355" t="s">
        <v>5</v>
      </c>
      <c r="U16" s="1356">
        <f t="shared" si="1"/>
        <v>100</v>
      </c>
      <c r="V16" s="1355" t="s">
        <v>5</v>
      </c>
      <c r="W16" s="1356">
        <f t="shared" si="2"/>
        <v>100</v>
      </c>
      <c r="X16" s="1357"/>
      <c r="Y16" s="4304"/>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91" t="s">
        <v>489</v>
      </c>
      <c r="Q17" s="1359" t="str">
        <f t="shared" si="6"/>
        <v>居住社区成熟度</v>
      </c>
      <c r="R17" s="1360" t="s">
        <v>5</v>
      </c>
      <c r="S17" s="1361">
        <f t="shared" si="0"/>
        <v>100</v>
      </c>
      <c r="T17" s="1360" t="s">
        <v>5</v>
      </c>
      <c r="U17" s="1361">
        <f t="shared" si="1"/>
        <v>100</v>
      </c>
      <c r="V17" s="1360" t="s">
        <v>5</v>
      </c>
      <c r="W17" s="1361">
        <f t="shared" si="2"/>
        <v>100</v>
      </c>
      <c r="X17" s="1354"/>
      <c r="Y17" s="4391"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392"/>
      <c r="Q18" s="1359"/>
      <c r="R18" s="1360"/>
      <c r="S18" s="1361"/>
      <c r="T18" s="1360"/>
      <c r="U18" s="1361"/>
      <c r="V18" s="1360"/>
      <c r="W18" s="1361"/>
      <c r="X18" s="1354"/>
      <c r="Y18" s="4392"/>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92"/>
      <c r="Q19" s="1359" t="str">
        <f>B19</f>
        <v>商业繁华度</v>
      </c>
      <c r="R19" s="1360" t="s">
        <v>5</v>
      </c>
      <c r="S19" s="1361">
        <f>F19</f>
        <v>100</v>
      </c>
      <c r="T19" s="1360" t="s">
        <v>5</v>
      </c>
      <c r="U19" s="1361">
        <f>H19</f>
        <v>100</v>
      </c>
      <c r="V19" s="1360" t="s">
        <v>5</v>
      </c>
      <c r="W19" s="1361">
        <f>J19</f>
        <v>100</v>
      </c>
      <c r="X19" s="1354"/>
      <c r="Y19" s="4392"/>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392"/>
      <c r="Q20" s="1359"/>
      <c r="R20" s="1360"/>
      <c r="S20" s="1361"/>
      <c r="T20" s="1360"/>
      <c r="U20" s="1361"/>
      <c r="V20" s="1360"/>
      <c r="W20" s="1361"/>
      <c r="X20" s="1354"/>
      <c r="Y20" s="4392"/>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92"/>
      <c r="Q21" s="1359" t="str">
        <f>B21</f>
        <v>办公集聚程度</v>
      </c>
      <c r="R21" s="1360" t="s">
        <v>5</v>
      </c>
      <c r="S21" s="1361">
        <f>F21</f>
        <v>100</v>
      </c>
      <c r="T21" s="1360" t="s">
        <v>5</v>
      </c>
      <c r="U21" s="1361">
        <f>H21</f>
        <v>100</v>
      </c>
      <c r="V21" s="1360" t="s">
        <v>5</v>
      </c>
      <c r="W21" s="1361">
        <f>J21</f>
        <v>100</v>
      </c>
      <c r="X21" s="1354"/>
      <c r="Y21" s="4392"/>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392"/>
      <c r="Q22" s="1359"/>
      <c r="R22" s="1360"/>
      <c r="S22" s="1361"/>
      <c r="T22" s="1360"/>
      <c r="U22" s="1361"/>
      <c r="V22" s="1360"/>
      <c r="W22" s="1361"/>
      <c r="X22" s="1354"/>
      <c r="Y22" s="4392"/>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92"/>
      <c r="Q23" s="1359" t="str">
        <f>B23</f>
        <v>交通便捷度</v>
      </c>
      <c r="R23" s="1360" t="s">
        <v>5</v>
      </c>
      <c r="S23" s="1361">
        <f>F23</f>
        <v>100</v>
      </c>
      <c r="T23" s="1360" t="s">
        <v>5</v>
      </c>
      <c r="U23" s="1361">
        <f>H23</f>
        <v>100</v>
      </c>
      <c r="V23" s="1360" t="s">
        <v>5</v>
      </c>
      <c r="W23" s="1361">
        <f>J23</f>
        <v>100</v>
      </c>
      <c r="X23" s="1354"/>
      <c r="Y23" s="4392"/>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392"/>
      <c r="Q24" s="1359"/>
      <c r="R24" s="1360"/>
      <c r="S24" s="1361"/>
      <c r="T24" s="1360"/>
      <c r="U24" s="1361"/>
      <c r="V24" s="1360"/>
      <c r="W24" s="1361"/>
      <c r="X24" s="1354"/>
      <c r="Y24" s="4392"/>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92"/>
      <c r="Q25" s="1359" t="str">
        <f t="shared" ref="Q25:Q39" si="8">B25</f>
        <v>区域土地利用方向</v>
      </c>
      <c r="R25" s="1360" t="s">
        <v>5</v>
      </c>
      <c r="S25" s="1361">
        <f>F25</f>
        <v>100</v>
      </c>
      <c r="T25" s="1360" t="s">
        <v>5</v>
      </c>
      <c r="U25" s="1361">
        <f>H25</f>
        <v>100</v>
      </c>
      <c r="V25" s="1360" t="s">
        <v>5</v>
      </c>
      <c r="W25" s="1361">
        <f>J25</f>
        <v>100</v>
      </c>
      <c r="X25" s="1354"/>
      <c r="Y25" s="4392"/>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392"/>
      <c r="Q26" s="1359"/>
      <c r="R26" s="1360"/>
      <c r="S26" s="1361"/>
      <c r="T26" s="1360"/>
      <c r="U26" s="1361"/>
      <c r="V26" s="1360"/>
      <c r="W26" s="1361"/>
      <c r="X26" s="1354"/>
      <c r="Y26" s="4392"/>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92"/>
      <c r="Q27" s="1359" t="str">
        <f t="shared" si="8"/>
        <v>自然及人文环境状况</v>
      </c>
      <c r="R27" s="1360" t="s">
        <v>5</v>
      </c>
      <c r="S27" s="1361">
        <f>F27</f>
        <v>100</v>
      </c>
      <c r="T27" s="1360" t="s">
        <v>5</v>
      </c>
      <c r="U27" s="1361">
        <f>H27</f>
        <v>100</v>
      </c>
      <c r="V27" s="1360" t="s">
        <v>5</v>
      </c>
      <c r="W27" s="1361">
        <f>J27</f>
        <v>100</v>
      </c>
      <c r="X27" s="1354"/>
      <c r="Y27" s="4392"/>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392"/>
      <c r="Q28" s="1359"/>
      <c r="R28" s="1360"/>
      <c r="S28" s="1361"/>
      <c r="T28" s="1360"/>
      <c r="U28" s="1361"/>
      <c r="V28" s="1360"/>
      <c r="W28" s="1361"/>
      <c r="X28" s="1354"/>
      <c r="Y28" s="4392"/>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92"/>
      <c r="Q29" s="1027" t="str">
        <f t="shared" si="8"/>
        <v>公共配套设施</v>
      </c>
      <c r="R29" s="1355" t="s">
        <v>5</v>
      </c>
      <c r="S29" s="1356">
        <f>F29</f>
        <v>100</v>
      </c>
      <c r="T29" s="1355" t="s">
        <v>5</v>
      </c>
      <c r="U29" s="1356">
        <f>H29</f>
        <v>100</v>
      </c>
      <c r="V29" s="1355" t="s">
        <v>5</v>
      </c>
      <c r="W29" s="1356">
        <f>J29</f>
        <v>100</v>
      </c>
      <c r="X29" s="1357"/>
      <c r="Y29" s="4392"/>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392"/>
      <c r="Q30" s="1027"/>
      <c r="R30" s="1355"/>
      <c r="S30" s="1356"/>
      <c r="T30" s="1355"/>
      <c r="U30" s="1356"/>
      <c r="V30" s="1355"/>
      <c r="W30" s="1356"/>
      <c r="X30" s="1357"/>
      <c r="Y30" s="4392"/>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92"/>
      <c r="Q31" s="2156" t="str">
        <f>B31</f>
        <v>基础设施水平</v>
      </c>
      <c r="R31" s="1355" t="s">
        <v>5</v>
      </c>
      <c r="S31" s="1356">
        <f>F31</f>
        <v>100</v>
      </c>
      <c r="T31" s="1355" t="s">
        <v>5</v>
      </c>
      <c r="U31" s="1356">
        <f>H31</f>
        <v>100</v>
      </c>
      <c r="V31" s="1355" t="s">
        <v>5</v>
      </c>
      <c r="W31" s="1356">
        <f>J31</f>
        <v>100</v>
      </c>
      <c r="X31" s="1357"/>
      <c r="Y31" s="4392"/>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392"/>
      <c r="Q32" s="2156"/>
      <c r="R32" s="1355"/>
      <c r="S32" s="1356"/>
      <c r="T32" s="1355"/>
      <c r="U32" s="1356"/>
      <c r="V32" s="1355"/>
      <c r="W32" s="1356"/>
      <c r="X32" s="1357"/>
      <c r="Y32" s="4392"/>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92"/>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92"/>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92"/>
      <c r="Q34" s="1359" t="str">
        <f t="shared" si="8"/>
        <v>毗邻道路的类型与等级</v>
      </c>
      <c r="R34" s="1360" t="s">
        <v>5</v>
      </c>
      <c r="S34" s="1361">
        <f t="shared" si="9"/>
        <v>100</v>
      </c>
      <c r="T34" s="1360" t="s">
        <v>5</v>
      </c>
      <c r="U34" s="1361">
        <f t="shared" si="10"/>
        <v>100</v>
      </c>
      <c r="V34" s="1360" t="s">
        <v>5</v>
      </c>
      <c r="W34" s="1361">
        <f t="shared" si="11"/>
        <v>100</v>
      </c>
      <c r="X34" s="1354"/>
      <c r="Y34" s="4392"/>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392"/>
      <c r="Q35" s="1359"/>
      <c r="R35" s="1360"/>
      <c r="S35" s="1361"/>
      <c r="T35" s="1360"/>
      <c r="U35" s="1361"/>
      <c r="V35" s="1360"/>
      <c r="W35" s="1361"/>
      <c r="X35" s="1354"/>
      <c r="Y35" s="4392"/>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92"/>
      <c r="Q36" s="1359" t="str">
        <f t="shared" si="8"/>
        <v>土地级别</v>
      </c>
      <c r="R36" s="1360" t="s">
        <v>5</v>
      </c>
      <c r="S36" s="1361">
        <f t="shared" si="9"/>
        <v>100</v>
      </c>
      <c r="T36" s="1360" t="s">
        <v>5</v>
      </c>
      <c r="U36" s="1361">
        <f t="shared" si="10"/>
        <v>100</v>
      </c>
      <c r="V36" s="1360" t="s">
        <v>5</v>
      </c>
      <c r="W36" s="1361">
        <f t="shared" si="11"/>
        <v>100</v>
      </c>
      <c r="X36" s="1354"/>
      <c r="Y36" s="4392"/>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92"/>
      <c r="Q37" s="1359">
        <f t="shared" si="8"/>
        <v>111</v>
      </c>
      <c r="R37" s="1360" t="s">
        <v>5</v>
      </c>
      <c r="S37" s="1361">
        <f t="shared" si="9"/>
        <v>100</v>
      </c>
      <c r="T37" s="1360" t="s">
        <v>5</v>
      </c>
      <c r="U37" s="1361">
        <f t="shared" si="10"/>
        <v>100</v>
      </c>
      <c r="V37" s="1360" t="s">
        <v>5</v>
      </c>
      <c r="W37" s="1361">
        <f t="shared" si="11"/>
        <v>100</v>
      </c>
      <c r="X37" s="1354"/>
      <c r="Y37" s="4392"/>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93" t="s">
        <v>499</v>
      </c>
      <c r="Q38" s="1359">
        <f t="shared" si="8"/>
        <v>111</v>
      </c>
      <c r="R38" s="1360" t="s">
        <v>5</v>
      </c>
      <c r="S38" s="1361">
        <f t="shared" si="9"/>
        <v>100</v>
      </c>
      <c r="T38" s="1360" t="s">
        <v>5</v>
      </c>
      <c r="U38" s="1361">
        <f t="shared" si="10"/>
        <v>100</v>
      </c>
      <c r="V38" s="1360" t="s">
        <v>5</v>
      </c>
      <c r="W38" s="1361">
        <f t="shared" si="11"/>
        <v>100</v>
      </c>
      <c r="X38" s="1354"/>
      <c r="Y38" s="4394"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94"/>
      <c r="Q39" s="1359">
        <f t="shared" si="8"/>
        <v>111</v>
      </c>
      <c r="R39" s="1364" t="s">
        <v>5</v>
      </c>
      <c r="S39" s="1365">
        <f t="shared" si="9"/>
        <v>100</v>
      </c>
      <c r="T39" s="1364" t="s">
        <v>5</v>
      </c>
      <c r="U39" s="1365">
        <f t="shared" si="10"/>
        <v>100</v>
      </c>
      <c r="V39" s="1364" t="s">
        <v>5</v>
      </c>
      <c r="W39" s="1365">
        <f t="shared" si="11"/>
        <v>100</v>
      </c>
      <c r="X39" s="1366"/>
      <c r="Y39" s="4394"/>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94"/>
      <c r="Q40" s="1359" t="str">
        <f>B40</f>
        <v>宗地面积</v>
      </c>
      <c r="R40" s="1360" t="s">
        <v>5</v>
      </c>
      <c r="S40" s="1361" t="e">
        <f t="shared" si="9"/>
        <v>#N/A</v>
      </c>
      <c r="T40" s="1360" t="s">
        <v>5</v>
      </c>
      <c r="U40" s="1361" t="e">
        <f t="shared" si="10"/>
        <v>#N/A</v>
      </c>
      <c r="V40" s="1360" t="s">
        <v>5</v>
      </c>
      <c r="W40" s="1361" t="e">
        <f t="shared" si="11"/>
        <v>#N/A</v>
      </c>
      <c r="X40" s="1354"/>
      <c r="Y40" s="4394"/>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94"/>
      <c r="Q41" s="1359" t="str">
        <f t="shared" ref="Q41:Q47" si="13">B41</f>
        <v>宗地形状</v>
      </c>
      <c r="R41" s="1360" t="s">
        <v>5</v>
      </c>
      <c r="S41" s="1361">
        <f t="shared" si="9"/>
        <v>100</v>
      </c>
      <c r="T41" s="1360" t="s">
        <v>5</v>
      </c>
      <c r="U41" s="1361">
        <f t="shared" si="10"/>
        <v>100</v>
      </c>
      <c r="V41" s="1360" t="s">
        <v>5</v>
      </c>
      <c r="W41" s="1361">
        <f t="shared" si="11"/>
        <v>100</v>
      </c>
      <c r="X41" s="1354"/>
      <c r="Y41" s="4394"/>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94"/>
      <c r="Q42" s="1359" t="str">
        <f t="shared" si="13"/>
        <v>临街宽度及深度</v>
      </c>
      <c r="R42" s="1360" t="s">
        <v>5</v>
      </c>
      <c r="S42" s="1361">
        <f t="shared" si="9"/>
        <v>100</v>
      </c>
      <c r="T42" s="1360" t="s">
        <v>5</v>
      </c>
      <c r="U42" s="1361">
        <f t="shared" si="10"/>
        <v>100</v>
      </c>
      <c r="V42" s="1360" t="s">
        <v>5</v>
      </c>
      <c r="W42" s="1361">
        <f t="shared" si="11"/>
        <v>100</v>
      </c>
      <c r="X42" s="1354"/>
      <c r="Y42" s="4394"/>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94"/>
      <c r="Q43" s="1359" t="str">
        <f t="shared" si="13"/>
        <v>宗地开发程度</v>
      </c>
      <c r="R43" s="1355" t="s">
        <v>5</v>
      </c>
      <c r="S43" s="1356">
        <f t="shared" si="9"/>
        <v>100</v>
      </c>
      <c r="T43" s="1355" t="s">
        <v>5</v>
      </c>
      <c r="U43" s="1356">
        <f t="shared" si="10"/>
        <v>100</v>
      </c>
      <c r="V43" s="1355" t="s">
        <v>5</v>
      </c>
      <c r="W43" s="1356">
        <f t="shared" si="11"/>
        <v>100</v>
      </c>
      <c r="X43" s="1357"/>
      <c r="Y43" s="4394"/>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94" t="s">
        <v>499</v>
      </c>
      <c r="Q44" s="1359" t="str">
        <f t="shared" si="13"/>
        <v>工程地质条件</v>
      </c>
      <c r="R44" s="1360" t="s">
        <v>5</v>
      </c>
      <c r="S44" s="1361">
        <f t="shared" si="9"/>
        <v>100</v>
      </c>
      <c r="T44" s="1360" t="s">
        <v>5</v>
      </c>
      <c r="U44" s="1361">
        <f t="shared" si="10"/>
        <v>100</v>
      </c>
      <c r="V44" s="1360" t="s">
        <v>5</v>
      </c>
      <c r="W44" s="1361">
        <f t="shared" si="11"/>
        <v>100</v>
      </c>
      <c r="X44" s="1354"/>
      <c r="Y44" s="4394"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94"/>
      <c r="Q45" s="1359">
        <f t="shared" si="13"/>
        <v>111</v>
      </c>
      <c r="R45" s="1360" t="s">
        <v>5</v>
      </c>
      <c r="S45" s="1361">
        <f t="shared" si="9"/>
        <v>100</v>
      </c>
      <c r="T45" s="1360" t="s">
        <v>5</v>
      </c>
      <c r="U45" s="1361">
        <f t="shared" si="10"/>
        <v>100</v>
      </c>
      <c r="V45" s="1360" t="s">
        <v>5</v>
      </c>
      <c r="W45" s="1361">
        <f t="shared" si="11"/>
        <v>100</v>
      </c>
      <c r="X45" s="1354"/>
      <c r="Y45" s="4394"/>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94"/>
      <c r="Q46" s="1359">
        <f t="shared" si="13"/>
        <v>111</v>
      </c>
      <c r="R46" s="1360" t="s">
        <v>5</v>
      </c>
      <c r="S46" s="1361">
        <f t="shared" si="9"/>
        <v>100</v>
      </c>
      <c r="T46" s="1360" t="s">
        <v>5</v>
      </c>
      <c r="U46" s="1361">
        <f t="shared" si="10"/>
        <v>100</v>
      </c>
      <c r="V46" s="1360" t="s">
        <v>5</v>
      </c>
      <c r="W46" s="1361">
        <f t="shared" si="11"/>
        <v>100</v>
      </c>
      <c r="X46" s="1354"/>
      <c r="Y46" s="4394"/>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94"/>
      <c r="Q47" s="1359">
        <f t="shared" si="13"/>
        <v>111</v>
      </c>
      <c r="R47" s="1364" t="s">
        <v>5</v>
      </c>
      <c r="S47" s="1365">
        <f t="shared" si="9"/>
        <v>100</v>
      </c>
      <c r="T47" s="1364" t="s">
        <v>5</v>
      </c>
      <c r="U47" s="1365">
        <f t="shared" si="10"/>
        <v>100</v>
      </c>
      <c r="V47" s="1364" t="s">
        <v>5</v>
      </c>
      <c r="W47" s="1365">
        <f t="shared" si="11"/>
        <v>100</v>
      </c>
      <c r="X47" s="1366"/>
      <c r="Y47" s="4394"/>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372" t="str">
        <f>A48</f>
        <v>成交单价</v>
      </c>
      <c r="Q48" s="4372"/>
      <c r="R48" s="4385">
        <f>E48</f>
        <v>0</v>
      </c>
      <c r="S48" s="4385"/>
      <c r="T48" s="4385">
        <f>G48</f>
        <v>0</v>
      </c>
      <c r="U48" s="4385"/>
      <c r="V48" s="4385">
        <f>I48</f>
        <v>0</v>
      </c>
      <c r="W48" s="4385"/>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372" t="str">
        <f>A49</f>
        <v>比较价格（元/平方米）</v>
      </c>
      <c r="Q49" s="4372"/>
      <c r="R49" s="4441" t="e">
        <f>ROUND(PRODUCT(R48,AA9:AA47),0)</f>
        <v>#DIV/0!</v>
      </c>
      <c r="S49" s="4441"/>
      <c r="T49" s="4441" t="e">
        <f>ROUND(PRODUCT(T48,AB9:AB47),0)</f>
        <v>#DIV/0!</v>
      </c>
      <c r="U49" s="4441"/>
      <c r="V49" s="4441" t="e">
        <f>ROUND(PRODUCT(V48,AC9:AC47),0)</f>
        <v>#DIV/0!</v>
      </c>
      <c r="W49" s="4441"/>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387" t="str">
        <f>A50</f>
        <v>估价对象XX用房的比较价格（楼面单价，元/平方米）</v>
      </c>
      <c r="Q50" s="4388"/>
      <c r="R50" s="4440" t="e">
        <f>ROUND(IF(D49="简单平均",AVERAGE(R49:W49),R49*F49+T49*H49+V49*J49),0)</f>
        <v>#DIV/0!</v>
      </c>
      <c r="S50" s="4440"/>
      <c r="T50" s="4440"/>
      <c r="U50" s="4440"/>
      <c r="V50" s="4440"/>
      <c r="W50" s="4440"/>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434" t="s">
        <v>1639</v>
      </c>
      <c r="H57" s="4435"/>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68941.539999999994</v>
      </c>
      <c r="F58" s="583" t="e">
        <f t="shared" ref="F58:F66" si="14">ROUND(B58*E58/10000,0)</f>
        <v>#DIV/0!</v>
      </c>
      <c r="G58" s="4436"/>
      <c r="H58" s="4437"/>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I30 G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4" xr:uid="{00000000-0002-0000-2100-000013000000}">
      <formula1>"住宅,工业"</formula1>
    </dataValidation>
    <dataValidation type="list" allowBlank="1" showInputMessage="1" showErrorMessage="1" sqref="G63" xr:uid="{00000000-0002-0000-2100-000014000000}">
      <formula1>"商业,办公,住宅,工业"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373" t="s">
        <v>471</v>
      </c>
      <c r="D6" s="4374"/>
      <c r="E6" s="4375" t="s">
        <v>472</v>
      </c>
      <c r="F6" s="4376"/>
      <c r="G6" s="4373" t="s">
        <v>473</v>
      </c>
      <c r="H6" s="4374"/>
      <c r="I6" s="4373" t="s">
        <v>474</v>
      </c>
      <c r="J6" s="4374"/>
      <c r="K6" s="463" t="s">
        <v>475</v>
      </c>
      <c r="L6" s="1822"/>
      <c r="M6" s="1823"/>
      <c r="N6" s="1823"/>
      <c r="O6" s="1823"/>
      <c r="P6" s="4377" t="s">
        <v>476</v>
      </c>
      <c r="Q6" s="4378"/>
      <c r="R6" s="4360" t="s">
        <v>472</v>
      </c>
      <c r="S6" s="4361"/>
      <c r="T6" s="4360" t="s">
        <v>473</v>
      </c>
      <c r="U6" s="4361"/>
      <c r="V6" s="4385" t="s">
        <v>474</v>
      </c>
      <c r="W6" s="4385"/>
      <c r="X6" s="1354"/>
      <c r="Y6" s="4360" t="s">
        <v>476</v>
      </c>
      <c r="Z6" s="4361"/>
      <c r="AA6" s="4355" t="s">
        <v>472</v>
      </c>
      <c r="AB6" s="4356" t="s">
        <v>473</v>
      </c>
      <c r="AC6" s="4355" t="s">
        <v>474</v>
      </c>
    </row>
    <row r="7" spans="1:29" ht="15">
      <c r="A7" s="464"/>
      <c r="B7" s="465"/>
      <c r="C7" s="4366" t="s">
        <v>2186</v>
      </c>
      <c r="D7" s="4367"/>
      <c r="E7" s="4364" t="s">
        <v>2187</v>
      </c>
      <c r="F7" s="4365"/>
      <c r="G7" s="4366" t="s">
        <v>2188</v>
      </c>
      <c r="H7" s="4367"/>
      <c r="I7" s="4366" t="s">
        <v>2189</v>
      </c>
      <c r="J7" s="4367"/>
      <c r="K7" s="463"/>
      <c r="L7" s="1822"/>
      <c r="M7" s="1823"/>
      <c r="N7" s="1823"/>
      <c r="O7" s="1823"/>
      <c r="P7" s="4379"/>
      <c r="Q7" s="4380"/>
      <c r="R7" s="4362"/>
      <c r="S7" s="4363"/>
      <c r="T7" s="4362"/>
      <c r="U7" s="4363"/>
      <c r="V7" s="4385"/>
      <c r="W7" s="4385"/>
      <c r="X7" s="1354"/>
      <c r="Y7" s="4362"/>
      <c r="Z7" s="4363"/>
      <c r="AA7" s="4356"/>
      <c r="AB7" s="4356"/>
      <c r="AC7" s="4356"/>
    </row>
    <row r="8" spans="1:29" ht="15.75" thickBot="1">
      <c r="A8" s="466"/>
      <c r="B8" s="467"/>
      <c r="C8" s="4368" t="s">
        <v>2190</v>
      </c>
      <c r="D8" s="4369"/>
      <c r="E8" s="4370" t="s">
        <v>2190</v>
      </c>
      <c r="F8" s="4371"/>
      <c r="G8" s="4368" t="s">
        <v>2190</v>
      </c>
      <c r="H8" s="4369"/>
      <c r="I8" s="4368" t="s">
        <v>2190</v>
      </c>
      <c r="J8" s="4369"/>
      <c r="K8" s="463" t="s">
        <v>477</v>
      </c>
      <c r="L8" s="1822"/>
      <c r="M8" s="1823"/>
      <c r="N8" s="1823"/>
      <c r="O8" s="1823"/>
      <c r="P8" s="4381"/>
      <c r="Q8" s="4382"/>
      <c r="R8" s="4362"/>
      <c r="S8" s="4363"/>
      <c r="T8" s="4383"/>
      <c r="U8" s="4384"/>
      <c r="V8" s="4385"/>
      <c r="W8" s="4385"/>
      <c r="X8" s="1354"/>
      <c r="Y8" s="4383"/>
      <c r="Z8" s="4384"/>
      <c r="AA8" s="4357"/>
      <c r="AB8" s="4357"/>
      <c r="AC8" s="4357"/>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58" t="s">
        <v>479</v>
      </c>
      <c r="Q9" s="4386"/>
      <c r="R9" s="1355" t="s">
        <v>5</v>
      </c>
      <c r="S9" s="1356">
        <f t="shared" ref="S9:S17" si="0">F9</f>
        <v>0</v>
      </c>
      <c r="T9" s="1355" t="s">
        <v>5</v>
      </c>
      <c r="U9" s="1356">
        <f t="shared" ref="U9:U17" si="1">H9</f>
        <v>0</v>
      </c>
      <c r="V9" s="1355" t="s">
        <v>5</v>
      </c>
      <c r="W9" s="1356">
        <f t="shared" ref="W9:W17" si="2">J9</f>
        <v>0</v>
      </c>
      <c r="X9" s="1357"/>
      <c r="Y9" s="4358" t="s">
        <v>479</v>
      </c>
      <c r="Z9" s="4359"/>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58" t="s">
        <v>482</v>
      </c>
      <c r="Q10" s="4359"/>
      <c r="R10" s="1355" t="s">
        <v>5</v>
      </c>
      <c r="S10" s="1356">
        <f t="shared" si="0"/>
        <v>0</v>
      </c>
      <c r="T10" s="1355" t="s">
        <v>5</v>
      </c>
      <c r="U10" s="1356">
        <f t="shared" si="1"/>
        <v>0</v>
      </c>
      <c r="V10" s="1355" t="s">
        <v>5</v>
      </c>
      <c r="W10" s="1356">
        <f t="shared" si="2"/>
        <v>0</v>
      </c>
      <c r="X10" s="1357"/>
      <c r="Y10" s="4358" t="s">
        <v>482</v>
      </c>
      <c r="Z10" s="4359"/>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372" t="s">
        <v>484</v>
      </c>
      <c r="Q11" s="1027" t="str">
        <f t="shared" ref="Q11:Q17" si="6">B11</f>
        <v>用途</v>
      </c>
      <c r="R11" s="1355" t="s">
        <v>5</v>
      </c>
      <c r="S11" s="1356">
        <f t="shared" si="0"/>
        <v>100</v>
      </c>
      <c r="T11" s="1355" t="s">
        <v>5</v>
      </c>
      <c r="U11" s="1356">
        <f t="shared" si="1"/>
        <v>100</v>
      </c>
      <c r="V11" s="1355" t="s">
        <v>5</v>
      </c>
      <c r="W11" s="1356">
        <f t="shared" si="2"/>
        <v>100</v>
      </c>
      <c r="X11" s="1357"/>
      <c r="Y11" s="4304"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372"/>
      <c r="Q12" s="1027" t="str">
        <f t="shared" si="6"/>
        <v>土地使用年限（年）</v>
      </c>
      <c r="R12" s="1355" t="s">
        <v>5</v>
      </c>
      <c r="S12" s="1356">
        <f t="shared" si="0"/>
        <v>100</v>
      </c>
      <c r="T12" s="1355" t="s">
        <v>5</v>
      </c>
      <c r="U12" s="1356">
        <f t="shared" si="1"/>
        <v>100</v>
      </c>
      <c r="V12" s="1355" t="s">
        <v>5</v>
      </c>
      <c r="W12" s="1356">
        <f t="shared" si="2"/>
        <v>100</v>
      </c>
      <c r="X12" s="1357"/>
      <c r="Y12" s="4304"/>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372"/>
      <c r="Q13" s="1027" t="str">
        <f t="shared" si="6"/>
        <v>容积率</v>
      </c>
      <c r="R13" s="1355" t="s">
        <v>5</v>
      </c>
      <c r="S13" s="1356" t="e">
        <f t="shared" si="0"/>
        <v>#N/A</v>
      </c>
      <c r="T13" s="1355" t="s">
        <v>5</v>
      </c>
      <c r="U13" s="1356" t="e">
        <f t="shared" si="1"/>
        <v>#N/A</v>
      </c>
      <c r="V13" s="1355" t="s">
        <v>5</v>
      </c>
      <c r="W13" s="1356" t="e">
        <f t="shared" si="2"/>
        <v>#N/A</v>
      </c>
      <c r="X13" s="1357"/>
      <c r="Y13" s="4304"/>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372"/>
      <c r="Q14" s="1027">
        <f t="shared" si="6"/>
        <v>111</v>
      </c>
      <c r="R14" s="1355" t="s">
        <v>5</v>
      </c>
      <c r="S14" s="1356">
        <f t="shared" si="0"/>
        <v>100</v>
      </c>
      <c r="T14" s="1355" t="s">
        <v>5</v>
      </c>
      <c r="U14" s="1356">
        <f t="shared" si="1"/>
        <v>100</v>
      </c>
      <c r="V14" s="1355" t="s">
        <v>5</v>
      </c>
      <c r="W14" s="1356">
        <f t="shared" si="2"/>
        <v>100</v>
      </c>
      <c r="X14" s="1357"/>
      <c r="Y14" s="4304"/>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372"/>
      <c r="Q15" s="1027">
        <f t="shared" si="6"/>
        <v>111</v>
      </c>
      <c r="R15" s="1355" t="s">
        <v>5</v>
      </c>
      <c r="S15" s="1356">
        <f t="shared" si="0"/>
        <v>100</v>
      </c>
      <c r="T15" s="1355" t="s">
        <v>5</v>
      </c>
      <c r="U15" s="1356">
        <f t="shared" si="1"/>
        <v>100</v>
      </c>
      <c r="V15" s="1355" t="s">
        <v>5</v>
      </c>
      <c r="W15" s="1356">
        <f t="shared" si="2"/>
        <v>100</v>
      </c>
      <c r="X15" s="1357"/>
      <c r="Y15" s="4304"/>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372"/>
      <c r="Q16" s="1027">
        <f t="shared" si="6"/>
        <v>111</v>
      </c>
      <c r="R16" s="1355" t="s">
        <v>5</v>
      </c>
      <c r="S16" s="1356">
        <f t="shared" si="0"/>
        <v>100</v>
      </c>
      <c r="T16" s="1355" t="s">
        <v>5</v>
      </c>
      <c r="U16" s="1356">
        <f t="shared" si="1"/>
        <v>100</v>
      </c>
      <c r="V16" s="1355" t="s">
        <v>5</v>
      </c>
      <c r="W16" s="1356">
        <f t="shared" si="2"/>
        <v>100</v>
      </c>
      <c r="X16" s="1357"/>
      <c r="Y16" s="4304"/>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91" t="s">
        <v>489</v>
      </c>
      <c r="Q17" s="1359" t="str">
        <f t="shared" si="6"/>
        <v>产业集聚程度</v>
      </c>
      <c r="R17" s="1360" t="s">
        <v>5</v>
      </c>
      <c r="S17" s="1361">
        <f t="shared" si="0"/>
        <v>100</v>
      </c>
      <c r="T17" s="1360" t="s">
        <v>5</v>
      </c>
      <c r="U17" s="1361">
        <f t="shared" si="1"/>
        <v>100</v>
      </c>
      <c r="V17" s="1360" t="s">
        <v>5</v>
      </c>
      <c r="W17" s="1361">
        <f t="shared" si="2"/>
        <v>100</v>
      </c>
      <c r="X17" s="1354"/>
      <c r="Y17" s="4391"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392"/>
      <c r="Q18" s="1359"/>
      <c r="R18" s="1360"/>
      <c r="S18" s="1361"/>
      <c r="T18" s="1360"/>
      <c r="U18" s="1361"/>
      <c r="V18" s="1360"/>
      <c r="W18" s="1361"/>
      <c r="X18" s="1354"/>
      <c r="Y18" s="4392"/>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92"/>
      <c r="Q19" s="1359" t="str">
        <f>B19</f>
        <v>交通便捷度</v>
      </c>
      <c r="R19" s="1360" t="s">
        <v>5</v>
      </c>
      <c r="S19" s="1361">
        <f>F19</f>
        <v>100</v>
      </c>
      <c r="T19" s="1360" t="s">
        <v>5</v>
      </c>
      <c r="U19" s="1361">
        <f>H19</f>
        <v>100</v>
      </c>
      <c r="V19" s="1360" t="s">
        <v>5</v>
      </c>
      <c r="W19" s="1361">
        <f>J19</f>
        <v>100</v>
      </c>
      <c r="X19" s="1354"/>
      <c r="Y19" s="4392"/>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392"/>
      <c r="Q20" s="1359"/>
      <c r="R20" s="1360"/>
      <c r="S20" s="1361"/>
      <c r="T20" s="1360"/>
      <c r="U20" s="1361"/>
      <c r="V20" s="1360"/>
      <c r="W20" s="1361"/>
      <c r="X20" s="1354"/>
      <c r="Y20" s="4392"/>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92"/>
      <c r="Q21" s="1359" t="str">
        <f t="shared" ref="Q21:Q35" si="8">B21</f>
        <v>区域土地利用方向</v>
      </c>
      <c r="R21" s="1360" t="s">
        <v>5</v>
      </c>
      <c r="S21" s="1361">
        <f>F21</f>
        <v>100</v>
      </c>
      <c r="T21" s="1360" t="s">
        <v>5</v>
      </c>
      <c r="U21" s="1361">
        <f>H21</f>
        <v>100</v>
      </c>
      <c r="V21" s="1360" t="s">
        <v>5</v>
      </c>
      <c r="W21" s="1361">
        <f>J21</f>
        <v>100</v>
      </c>
      <c r="X21" s="1354"/>
      <c r="Y21" s="4392"/>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392"/>
      <c r="Q22" s="1359"/>
      <c r="R22" s="1360"/>
      <c r="S22" s="1361"/>
      <c r="T22" s="1360"/>
      <c r="U22" s="1361"/>
      <c r="V22" s="1360"/>
      <c r="W22" s="1361"/>
      <c r="X22" s="1354"/>
      <c r="Y22" s="4392"/>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92"/>
      <c r="Q23" s="1359" t="str">
        <f t="shared" si="8"/>
        <v>环境状况</v>
      </c>
      <c r="R23" s="1360" t="s">
        <v>5</v>
      </c>
      <c r="S23" s="1361">
        <f>F23</f>
        <v>100</v>
      </c>
      <c r="T23" s="1360" t="s">
        <v>5</v>
      </c>
      <c r="U23" s="1361">
        <f>H23</f>
        <v>100</v>
      </c>
      <c r="V23" s="1360" t="s">
        <v>5</v>
      </c>
      <c r="W23" s="1361">
        <f>J23</f>
        <v>100</v>
      </c>
      <c r="X23" s="1354"/>
      <c r="Y23" s="4392"/>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392"/>
      <c r="Q24" s="1359"/>
      <c r="R24" s="1360"/>
      <c r="S24" s="1361"/>
      <c r="T24" s="1360"/>
      <c r="U24" s="1361"/>
      <c r="V24" s="1360"/>
      <c r="W24" s="1361"/>
      <c r="X24" s="1354"/>
      <c r="Y24" s="4392"/>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92"/>
      <c r="Q25" s="1027" t="str">
        <f t="shared" si="8"/>
        <v>公共配套设施</v>
      </c>
      <c r="R25" s="1355" t="s">
        <v>5</v>
      </c>
      <c r="S25" s="1356">
        <f>F25</f>
        <v>100</v>
      </c>
      <c r="T25" s="1355" t="s">
        <v>5</v>
      </c>
      <c r="U25" s="1356">
        <f>H25</f>
        <v>100</v>
      </c>
      <c r="V25" s="1355" t="s">
        <v>5</v>
      </c>
      <c r="W25" s="1356">
        <f>J25</f>
        <v>100</v>
      </c>
      <c r="X25" s="1357"/>
      <c r="Y25" s="4392"/>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392"/>
      <c r="Q26" s="1027"/>
      <c r="R26" s="1355"/>
      <c r="S26" s="1356"/>
      <c r="T26" s="1355"/>
      <c r="U26" s="1356"/>
      <c r="V26" s="1355"/>
      <c r="W26" s="1356"/>
      <c r="X26" s="1357"/>
      <c r="Y26" s="4392"/>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92"/>
      <c r="Q27" s="2156" t="str">
        <f>B27</f>
        <v>基础设施水平</v>
      </c>
      <c r="R27" s="1355" t="s">
        <v>5</v>
      </c>
      <c r="S27" s="1356">
        <f>F27</f>
        <v>100</v>
      </c>
      <c r="T27" s="1355" t="s">
        <v>5</v>
      </c>
      <c r="U27" s="1356">
        <f>H27</f>
        <v>100</v>
      </c>
      <c r="V27" s="1355" t="s">
        <v>5</v>
      </c>
      <c r="W27" s="1356">
        <f>J27</f>
        <v>100</v>
      </c>
      <c r="X27" s="1357"/>
      <c r="Y27" s="4392"/>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392"/>
      <c r="Q28" s="2156"/>
      <c r="R28" s="1355"/>
      <c r="S28" s="1356"/>
      <c r="T28" s="1355"/>
      <c r="U28" s="1356"/>
      <c r="V28" s="1355"/>
      <c r="W28" s="1356"/>
      <c r="X28" s="1357"/>
      <c r="Y28" s="4392"/>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92"/>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92"/>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92"/>
      <c r="Q30" s="1359" t="str">
        <f t="shared" si="8"/>
        <v>毗邻道路的类型与等级</v>
      </c>
      <c r="R30" s="1360" t="s">
        <v>5</v>
      </c>
      <c r="S30" s="1361">
        <f t="shared" si="9"/>
        <v>100</v>
      </c>
      <c r="T30" s="1360" t="s">
        <v>5</v>
      </c>
      <c r="U30" s="1361">
        <f t="shared" si="10"/>
        <v>100</v>
      </c>
      <c r="V30" s="1360" t="s">
        <v>5</v>
      </c>
      <c r="W30" s="1361">
        <f t="shared" si="11"/>
        <v>100</v>
      </c>
      <c r="X30" s="1354"/>
      <c r="Y30" s="4392"/>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392"/>
      <c r="Q31" s="1359"/>
      <c r="R31" s="1360"/>
      <c r="S31" s="1361"/>
      <c r="T31" s="1360"/>
      <c r="U31" s="1361"/>
      <c r="V31" s="1360"/>
      <c r="W31" s="1361"/>
      <c r="X31" s="1354"/>
      <c r="Y31" s="4392"/>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92"/>
      <c r="Q32" s="1359" t="str">
        <f t="shared" si="8"/>
        <v>土地级别</v>
      </c>
      <c r="R32" s="1360" t="s">
        <v>5</v>
      </c>
      <c r="S32" s="1361">
        <f t="shared" si="9"/>
        <v>100</v>
      </c>
      <c r="T32" s="1360" t="s">
        <v>5</v>
      </c>
      <c r="U32" s="1361">
        <f t="shared" si="10"/>
        <v>100</v>
      </c>
      <c r="V32" s="1360" t="s">
        <v>5</v>
      </c>
      <c r="W32" s="1361">
        <f t="shared" si="11"/>
        <v>100</v>
      </c>
      <c r="X32" s="1354"/>
      <c r="Y32" s="4392"/>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92"/>
      <c r="Q33" s="1359">
        <f t="shared" si="8"/>
        <v>111</v>
      </c>
      <c r="R33" s="1360" t="s">
        <v>5</v>
      </c>
      <c r="S33" s="1361">
        <f t="shared" si="9"/>
        <v>100</v>
      </c>
      <c r="T33" s="1360" t="s">
        <v>5</v>
      </c>
      <c r="U33" s="1361">
        <f t="shared" si="10"/>
        <v>100</v>
      </c>
      <c r="V33" s="1360" t="s">
        <v>5</v>
      </c>
      <c r="W33" s="1361">
        <f t="shared" si="11"/>
        <v>100</v>
      </c>
      <c r="X33" s="1354"/>
      <c r="Y33" s="4392"/>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93" t="s">
        <v>499</v>
      </c>
      <c r="Q34" s="1359">
        <f t="shared" si="8"/>
        <v>111</v>
      </c>
      <c r="R34" s="1360" t="s">
        <v>5</v>
      </c>
      <c r="S34" s="1361">
        <f t="shared" si="9"/>
        <v>100</v>
      </c>
      <c r="T34" s="1360" t="s">
        <v>5</v>
      </c>
      <c r="U34" s="1361">
        <f t="shared" si="10"/>
        <v>100</v>
      </c>
      <c r="V34" s="1360" t="s">
        <v>5</v>
      </c>
      <c r="W34" s="1361">
        <f t="shared" si="11"/>
        <v>100</v>
      </c>
      <c r="X34" s="1354"/>
      <c r="Y34" s="4394"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94"/>
      <c r="Q35" s="1359">
        <f t="shared" si="8"/>
        <v>111</v>
      </c>
      <c r="R35" s="1364" t="s">
        <v>5</v>
      </c>
      <c r="S35" s="1365">
        <f t="shared" si="9"/>
        <v>100</v>
      </c>
      <c r="T35" s="1364" t="s">
        <v>5</v>
      </c>
      <c r="U35" s="1365">
        <f t="shared" si="10"/>
        <v>100</v>
      </c>
      <c r="V35" s="1364" t="s">
        <v>5</v>
      </c>
      <c r="W35" s="1365">
        <f t="shared" si="11"/>
        <v>100</v>
      </c>
      <c r="X35" s="1366"/>
      <c r="Y35" s="4394"/>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94"/>
      <c r="Q36" s="1359" t="str">
        <f>B36</f>
        <v>宗地面积</v>
      </c>
      <c r="R36" s="1360" t="s">
        <v>5</v>
      </c>
      <c r="S36" s="1361" t="e">
        <f t="shared" si="9"/>
        <v>#N/A</v>
      </c>
      <c r="T36" s="1360" t="s">
        <v>5</v>
      </c>
      <c r="U36" s="1361" t="e">
        <f t="shared" si="10"/>
        <v>#N/A</v>
      </c>
      <c r="V36" s="1360" t="s">
        <v>5</v>
      </c>
      <c r="W36" s="1361" t="e">
        <f t="shared" si="11"/>
        <v>#N/A</v>
      </c>
      <c r="X36" s="1354"/>
      <c r="Y36" s="4394"/>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94"/>
      <c r="Q37" s="1359" t="str">
        <f t="shared" ref="Q37:Q42" si="13">B37</f>
        <v>宗地形状</v>
      </c>
      <c r="R37" s="1360" t="s">
        <v>5</v>
      </c>
      <c r="S37" s="1361">
        <f t="shared" si="9"/>
        <v>100</v>
      </c>
      <c r="T37" s="1360" t="s">
        <v>5</v>
      </c>
      <c r="U37" s="1361">
        <f t="shared" si="10"/>
        <v>100</v>
      </c>
      <c r="V37" s="1360" t="s">
        <v>5</v>
      </c>
      <c r="W37" s="1361">
        <f t="shared" si="11"/>
        <v>100</v>
      </c>
      <c r="X37" s="1354"/>
      <c r="Y37" s="4394"/>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94"/>
      <c r="Q38" s="1359" t="str">
        <f t="shared" si="13"/>
        <v>宗地开发程度</v>
      </c>
      <c r="R38" s="1355" t="s">
        <v>5</v>
      </c>
      <c r="S38" s="1356">
        <f t="shared" si="9"/>
        <v>100</v>
      </c>
      <c r="T38" s="1355" t="s">
        <v>5</v>
      </c>
      <c r="U38" s="1356">
        <f t="shared" si="10"/>
        <v>100</v>
      </c>
      <c r="V38" s="1355" t="s">
        <v>5</v>
      </c>
      <c r="W38" s="1356">
        <f t="shared" si="11"/>
        <v>100</v>
      </c>
      <c r="X38" s="1357"/>
      <c r="Y38" s="4394"/>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94" t="s">
        <v>549</v>
      </c>
      <c r="Q39" s="1359" t="str">
        <f t="shared" si="13"/>
        <v>工程地质条件</v>
      </c>
      <c r="R39" s="1360" t="s">
        <v>5</v>
      </c>
      <c r="S39" s="1361">
        <f t="shared" si="9"/>
        <v>100</v>
      </c>
      <c r="T39" s="1360" t="s">
        <v>5</v>
      </c>
      <c r="U39" s="1361">
        <f t="shared" si="10"/>
        <v>100</v>
      </c>
      <c r="V39" s="1360" t="s">
        <v>5</v>
      </c>
      <c r="W39" s="1361">
        <f t="shared" si="11"/>
        <v>100</v>
      </c>
      <c r="X39" s="1354"/>
      <c r="Y39" s="4394"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94"/>
      <c r="Q40" s="1359">
        <f t="shared" si="13"/>
        <v>111</v>
      </c>
      <c r="R40" s="1360" t="s">
        <v>5</v>
      </c>
      <c r="S40" s="1361">
        <f t="shared" si="9"/>
        <v>100</v>
      </c>
      <c r="T40" s="1360" t="s">
        <v>5</v>
      </c>
      <c r="U40" s="1361">
        <f t="shared" si="10"/>
        <v>100</v>
      </c>
      <c r="V40" s="1360" t="s">
        <v>5</v>
      </c>
      <c r="W40" s="1361">
        <f t="shared" si="11"/>
        <v>100</v>
      </c>
      <c r="X40" s="1354"/>
      <c r="Y40" s="4394"/>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94"/>
      <c r="Q41" s="1359">
        <f t="shared" si="13"/>
        <v>111</v>
      </c>
      <c r="R41" s="1360" t="s">
        <v>5</v>
      </c>
      <c r="S41" s="1361">
        <f t="shared" si="9"/>
        <v>100</v>
      </c>
      <c r="T41" s="1360" t="s">
        <v>5</v>
      </c>
      <c r="U41" s="1361">
        <f t="shared" si="10"/>
        <v>100</v>
      </c>
      <c r="V41" s="1360" t="s">
        <v>5</v>
      </c>
      <c r="W41" s="1361">
        <f t="shared" si="11"/>
        <v>100</v>
      </c>
      <c r="X41" s="1354"/>
      <c r="Y41" s="4394"/>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94"/>
      <c r="Q42" s="1359">
        <f t="shared" si="13"/>
        <v>111</v>
      </c>
      <c r="R42" s="1364" t="s">
        <v>5</v>
      </c>
      <c r="S42" s="1365">
        <f t="shared" si="9"/>
        <v>100</v>
      </c>
      <c r="T42" s="1364" t="s">
        <v>5</v>
      </c>
      <c r="U42" s="1365">
        <f t="shared" si="10"/>
        <v>100</v>
      </c>
      <c r="V42" s="1364" t="s">
        <v>5</v>
      </c>
      <c r="W42" s="1365">
        <f t="shared" si="11"/>
        <v>100</v>
      </c>
      <c r="X42" s="1366"/>
      <c r="Y42" s="4394"/>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372" t="str">
        <f>A43</f>
        <v>成交单价</v>
      </c>
      <c r="Q43" s="4372"/>
      <c r="R43" s="4385">
        <f>E43</f>
        <v>0</v>
      </c>
      <c r="S43" s="4385"/>
      <c r="T43" s="4385">
        <f>G43</f>
        <v>0</v>
      </c>
      <c r="U43" s="4385"/>
      <c r="V43" s="4385">
        <f>I43</f>
        <v>0</v>
      </c>
      <c r="W43" s="4385"/>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372" t="str">
        <f>A44</f>
        <v>比较价格（元/平方米）</v>
      </c>
      <c r="Q44" s="4372"/>
      <c r="R44" s="4441" t="e">
        <f>ROUND(PRODUCT(R43,AA9:AA42),0)</f>
        <v>#DIV/0!</v>
      </c>
      <c r="S44" s="4441"/>
      <c r="T44" s="4441" t="e">
        <f>ROUND(PRODUCT(T43,AB9:AB42),0)</f>
        <v>#DIV/0!</v>
      </c>
      <c r="U44" s="4441"/>
      <c r="V44" s="4441" t="e">
        <f>ROUND(PRODUCT(V43,AC9:AC42),0)</f>
        <v>#DIV/0!</v>
      </c>
      <c r="W44" s="4441"/>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387" t="str">
        <f>A45</f>
        <v>估价对象XX用房的比较价格（楼面单价，元/平方米）</v>
      </c>
      <c r="Q45" s="4388"/>
      <c r="R45" s="4446" t="e">
        <f>ROUND(IF(D44="简单平均",AVERAGE(R44:W44),R44*F44+T44*H44+V44*J44),0)</f>
        <v>#DIV/0!</v>
      </c>
      <c r="S45" s="4446"/>
      <c r="T45" s="4446"/>
      <c r="U45" s="4446"/>
      <c r="V45" s="4446"/>
      <c r="W45" s="4446"/>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442" t="s">
        <v>1642</v>
      </c>
      <c r="H52" s="4443"/>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68941.539999999994</v>
      </c>
      <c r="F53" s="1672" t="e">
        <f t="shared" ref="F53:F61" si="14">ROUND(B53*E53/10000,0)</f>
        <v>#DIV/0!</v>
      </c>
      <c r="G53" s="4444"/>
      <c r="H53" s="4445"/>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I26 G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C22 G22 I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G58" xr:uid="{00000000-0002-0000-2200-00000A000000}">
      <formula1>"商业,办公,住宅,工业"</formula1>
    </dataValidation>
    <dataValidation type="list" allowBlank="1" showInputMessage="1" showErrorMessage="1" sqref="G59" xr:uid="{00000000-0002-0000-2200-00000B000000}">
      <formula1>"住宅,工业"</formula1>
    </dataValidation>
    <dataValidation type="list" allowBlank="1" showInputMessage="1" showErrorMessage="1" sqref="C18 E18 G18 I18" xr:uid="{00000000-0002-0000-2200-00000C000000}">
      <formula1>产业集聚程度</formula1>
    </dataValidation>
    <dataValidation type="list" allowBlank="1" showInputMessage="1" showErrorMessage="1" sqref="C28 E28 G28 I28" xr:uid="{00000000-0002-0000-2200-00000D000000}">
      <formula1>基础设施水平</formula1>
    </dataValidation>
    <dataValidation type="list" allowBlank="1" showInputMessage="1" showErrorMessage="1" sqref="C31 E31 G31 I31" xr:uid="{00000000-0002-0000-2200-00000E000000}">
      <formula1>套工临街等级</formula1>
    </dataValidation>
    <dataValidation type="list" allowBlank="1" showInputMessage="1" showErrorMessage="1" sqref="C37 E37 G37 I37" xr:uid="{00000000-0002-0000-2200-00000F000000}">
      <formula1>套工宗地形状</formula1>
    </dataValidation>
    <dataValidation type="list" allowBlank="1" showInputMessage="1" showErrorMessage="1" sqref="C38 E38 G38 I38" xr:uid="{00000000-0002-0000-2200-000010000000}">
      <formula1>套工开发程度</formula1>
    </dataValidation>
    <dataValidation type="list" allowBlank="1" showInputMessage="1" showErrorMessage="1" sqref="C39 E39 G39 I39" xr:uid="{00000000-0002-0000-2200-000011000000}">
      <formula1>套工工程地质条件</formula1>
    </dataValidation>
    <dataValidation type="list" allowBlank="1" showInputMessage="1" showErrorMessage="1" sqref="D44" xr:uid="{00000000-0002-0000-2200-000012000000}">
      <formula1>"简单平均,加权平均"</formula1>
    </dataValidation>
    <dataValidation type="list" allowBlank="1" showInputMessage="1" showErrorMessage="1" sqref="D54:D61" xr:uid="{00000000-0002-0000-22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1.2</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348" t="s">
        <v>2058</v>
      </c>
      <c r="X8" s="4349"/>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350"/>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350"/>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51" t="s">
        <v>1370</v>
      </c>
      <c r="B20" s="1252" t="s">
        <v>875</v>
      </c>
      <c r="C20" s="975" t="e">
        <f>ROUND(IF(F21="与级别开发程度一致",0,(G21-E21)/C21),0)</f>
        <v>#DIV/0!</v>
      </c>
      <c r="D20" s="4353" t="s">
        <v>879</v>
      </c>
      <c r="E20" s="4354"/>
      <c r="F20" s="4353" t="s">
        <v>876</v>
      </c>
      <c r="G20" s="4354"/>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352"/>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0.93879999999999997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0.93879999999999997</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6"/>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346"/>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7"/>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347"/>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7"/>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347"/>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0" t="s">
        <v>1172</v>
      </c>
      <c r="B104" s="4340"/>
      <c r="C104" s="4340"/>
      <c r="D104" s="4340"/>
      <c r="E104" s="4340"/>
      <c r="F104" s="4340"/>
      <c r="G104" s="4340"/>
      <c r="H104" s="4340"/>
      <c r="I104" s="4340"/>
      <c r="J104" s="4340"/>
      <c r="K104" s="2067"/>
      <c r="L104" s="2067"/>
      <c r="M104" s="2067"/>
      <c r="N104" s="2067"/>
    </row>
    <row r="105" spans="1:36">
      <c r="A105" s="4341" t="s">
        <v>1161</v>
      </c>
      <c r="B105" s="4341" t="s">
        <v>1173</v>
      </c>
      <c r="C105" s="1018" t="s">
        <v>1174</v>
      </c>
      <c r="D105" s="1019"/>
      <c r="E105" s="1019"/>
      <c r="F105" s="1019"/>
      <c r="G105" s="1019"/>
      <c r="H105" s="1019"/>
      <c r="I105" s="1019"/>
      <c r="J105" s="1020"/>
      <c r="K105" s="1012"/>
      <c r="L105" s="1012"/>
      <c r="M105" s="1012"/>
      <c r="N105" s="1012"/>
    </row>
    <row r="106" spans="1:36">
      <c r="A106" s="4341"/>
      <c r="B106" s="4341"/>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342"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43"/>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43"/>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43"/>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43"/>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43"/>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344"/>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45" t="s">
        <v>1175</v>
      </c>
      <c r="B114" s="4345"/>
      <c r="C114" s="4345"/>
      <c r="D114" s="4345"/>
      <c r="E114" s="4345"/>
      <c r="F114" s="4345"/>
      <c r="G114" s="4345"/>
      <c r="H114" s="4345"/>
      <c r="I114" s="4345"/>
      <c r="J114" s="4345"/>
      <c r="K114" s="2065"/>
      <c r="L114" s="2065"/>
      <c r="M114" s="2065"/>
      <c r="N114" s="2065"/>
    </row>
    <row r="116" spans="1:14" ht="12.75" thickBot="1"/>
    <row r="117" spans="1:14" ht="25.5" thickBot="1">
      <c r="A117" s="953" t="s">
        <v>831</v>
      </c>
      <c r="B117" s="2068">
        <f>G3</f>
        <v>1.2</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5">I119</f>
        <v>0.82699999999999996</v>
      </c>
      <c r="K119" s="3508">
        <f t="shared" si="35"/>
        <v>0.82699999999999996</v>
      </c>
      <c r="L119" s="3508">
        <f t="shared" si="35"/>
        <v>0.82699999999999996</v>
      </c>
      <c r="M119" s="3569">
        <f t="shared" si="35"/>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6">D120</f>
        <v>0.92449999999999999</v>
      </c>
      <c r="F120" s="3508">
        <f t="shared" si="36"/>
        <v>0.92449999999999999</v>
      </c>
      <c r="G120" s="3508">
        <f t="shared" si="36"/>
        <v>0.92449999999999999</v>
      </c>
      <c r="H120" s="3508">
        <f t="shared" si="36"/>
        <v>0.92449999999999999</v>
      </c>
      <c r="I120" s="3508">
        <f>ROUND(0.838-0.0182*B117,4)</f>
        <v>0.81620000000000004</v>
      </c>
      <c r="J120" s="3508">
        <f t="shared" si="35"/>
        <v>0.81620000000000004</v>
      </c>
      <c r="K120" s="3508">
        <f t="shared" si="35"/>
        <v>0.81620000000000004</v>
      </c>
      <c r="L120" s="3508">
        <f t="shared" si="35"/>
        <v>0.81620000000000004</v>
      </c>
      <c r="M120" s="3569">
        <f t="shared" si="35"/>
        <v>0.81620000000000004</v>
      </c>
    </row>
    <row r="121" spans="1:14" ht="12.75">
      <c r="A121" s="3566" t="s">
        <v>3231</v>
      </c>
      <c r="B121" s="3508">
        <f>ROUND(0.9448-0.0115*B117,4)</f>
        <v>0.93100000000000005</v>
      </c>
      <c r="C121" s="3508">
        <f>B121</f>
        <v>0.93100000000000005</v>
      </c>
      <c r="D121" s="3508">
        <f>ROUND(0.937-0.0145*B117,4)</f>
        <v>0.91959999999999997</v>
      </c>
      <c r="E121" s="3508">
        <f t="shared" si="36"/>
        <v>0.91959999999999997</v>
      </c>
      <c r="F121" s="3508">
        <f t="shared" si="36"/>
        <v>0.91959999999999997</v>
      </c>
      <c r="G121" s="3508">
        <f t="shared" si="36"/>
        <v>0.91959999999999997</v>
      </c>
      <c r="H121" s="3508">
        <f t="shared" si="36"/>
        <v>0.91959999999999997</v>
      </c>
      <c r="I121" s="3508">
        <f>ROUND(0.7965-0.0185*B117,4)</f>
        <v>0.77429999999999999</v>
      </c>
      <c r="J121" s="3508">
        <f t="shared" si="35"/>
        <v>0.77429999999999999</v>
      </c>
      <c r="K121" s="3508">
        <f t="shared" si="35"/>
        <v>0.77429999999999999</v>
      </c>
      <c r="L121" s="3508">
        <f t="shared" si="35"/>
        <v>0.77429999999999999</v>
      </c>
      <c r="M121" s="3569">
        <f t="shared" si="35"/>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5"/>
        <v>0.56769999999999998</v>
      </c>
      <c r="K122" s="3570">
        <f t="shared" si="35"/>
        <v>0.56769999999999998</v>
      </c>
      <c r="L122" s="3570">
        <f t="shared" si="35"/>
        <v>0.56769999999999998</v>
      </c>
      <c r="M122" s="3571">
        <f t="shared" si="35"/>
        <v>0.56769999999999998</v>
      </c>
    </row>
    <row r="123" spans="1:14" ht="12.75">
      <c r="A123" s="3568" t="s">
        <v>3213</v>
      </c>
      <c r="B123" s="3508">
        <f>ROUND(0.9404-0.0106*B117,4)</f>
        <v>0.92769999999999997</v>
      </c>
      <c r="C123" s="3508">
        <f>B123</f>
        <v>0.92769999999999997</v>
      </c>
      <c r="D123" s="3508">
        <f>ROUND(0.8955-0.0135*B117,4)</f>
        <v>0.87929999999999997</v>
      </c>
      <c r="E123" s="3508">
        <f t="shared" ref="E123:H123" si="37">D123</f>
        <v>0.87929999999999997</v>
      </c>
      <c r="F123" s="3508">
        <f t="shared" si="37"/>
        <v>0.87929999999999997</v>
      </c>
      <c r="G123" s="3508">
        <f t="shared" si="37"/>
        <v>0.87929999999999997</v>
      </c>
      <c r="H123" s="3508">
        <f t="shared" si="37"/>
        <v>0.87929999999999997</v>
      </c>
      <c r="I123" s="3508">
        <f>ROUND(0.7632-0.0166*B117,4)</f>
        <v>0.74329999999999996</v>
      </c>
      <c r="J123" s="3508">
        <f t="shared" si="35"/>
        <v>0.74329999999999996</v>
      </c>
      <c r="K123" s="3508">
        <f t="shared" si="35"/>
        <v>0.74329999999999996</v>
      </c>
      <c r="L123" s="3508">
        <f t="shared" si="35"/>
        <v>0.74329999999999996</v>
      </c>
      <c r="M123" s="3569">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F21" xr:uid="{00000000-0002-0000-2300-000001000000}">
      <formula1>"与级别开发程度一致,与级别开发程度不一致"</formula1>
    </dataValidation>
    <dataValidation type="list" allowBlank="1" showInputMessage="1" showErrorMessage="1" sqref="B25" xr:uid="{00000000-0002-0000-2300-000002000000}">
      <formula1>"容积率修正,楼层修正"</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3" xr:uid="{00000000-0002-0000-2300-000005000000}">
      <formula1>"地价指数,季度增幅（自定义）,按公示增长率计算"</formula1>
    </dataValidation>
    <dataValidation type="list" allowBlank="1" showInputMessage="1" showErrorMessage="1" sqref="F3" xr:uid="{00000000-0002-0000-2300-000006000000}">
      <formula1>"宗地容积率,估价对象容积率,自定义容积率"</formula1>
    </dataValidation>
    <dataValidation type="list" allowBlank="1" showInputMessage="1" showErrorMessage="1" sqref="C8" xr:uid="{00000000-0002-0000-2300-000007000000}">
      <formula1>商业街名称</formula1>
    </dataValidation>
    <dataValidation type="list" allowBlank="1" showInputMessage="1" showErrorMessage="1" sqref="E3" xr:uid="{00000000-0002-0000-2300-000008000000}">
      <formula1>二级分类</formula1>
    </dataValidation>
    <dataValidation type="list" allowBlank="1" showInputMessage="1" showErrorMessage="1" sqref="C50:C58 C61:C69 C93:C102 C72:C80 C83:C90" xr:uid="{00000000-0002-0000-2300-000009000000}">
      <formula1>五等判定</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41"/>
  <sheetViews>
    <sheetView topLeftCell="A157" zoomScale="60" zoomScaleNormal="60" workbookViewId="0">
      <selection activeCell="G32" sqref="G32"/>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451" t="s">
        <v>2444</v>
      </c>
      <c r="B20" s="4454" t="s">
        <v>2454</v>
      </c>
      <c r="C20" s="3197" t="s">
        <v>2455</v>
      </c>
      <c r="D20" s="3198"/>
      <c r="E20" s="3199">
        <v>1</v>
      </c>
      <c r="F20" s="3200" t="s">
        <v>2456</v>
      </c>
      <c r="G20" s="1012"/>
      <c r="H20" s="1002"/>
      <c r="I20" s="1002"/>
    </row>
    <row r="21" spans="1:13" s="1382" customFormat="1">
      <c r="A21" s="4452"/>
      <c r="B21" s="4450"/>
      <c r="C21" s="3201" t="s">
        <v>2457</v>
      </c>
      <c r="D21" s="3202"/>
      <c r="E21" s="3203">
        <v>1</v>
      </c>
      <c r="F21" s="3200" t="s">
        <v>2458</v>
      </c>
      <c r="G21" s="1012"/>
      <c r="H21" s="1002"/>
      <c r="I21" s="1002"/>
    </row>
    <row r="22" spans="1:13" s="1382" customFormat="1">
      <c r="A22" s="4452"/>
      <c r="B22" s="4450"/>
      <c r="C22" s="3201" t="s">
        <v>2459</v>
      </c>
      <c r="D22" s="3202"/>
      <c r="E22" s="3203">
        <v>0.9</v>
      </c>
      <c r="F22" s="3200" t="s">
        <v>2460</v>
      </c>
      <c r="G22" s="1012"/>
      <c r="H22" s="1002"/>
      <c r="I22" s="1002"/>
    </row>
    <row r="23" spans="1:13" s="1382" customFormat="1">
      <c r="A23" s="4452"/>
      <c r="B23" s="4450"/>
      <c r="C23" s="3201" t="s">
        <v>2461</v>
      </c>
      <c r="D23" s="3202"/>
      <c r="E23" s="3203">
        <v>0.9</v>
      </c>
      <c r="F23" s="3200" t="s">
        <v>2462</v>
      </c>
      <c r="G23" s="1012"/>
      <c r="H23" s="1002"/>
      <c r="I23" s="1002"/>
    </row>
    <row r="24" spans="1:13" s="1382" customFormat="1">
      <c r="A24" s="4452"/>
      <c r="B24" s="4450"/>
      <c r="C24" s="3201" t="s">
        <v>2463</v>
      </c>
      <c r="D24" s="3202"/>
      <c r="E24" s="3203">
        <v>0.8</v>
      </c>
      <c r="F24" s="3200" t="s">
        <v>2464</v>
      </c>
      <c r="G24" s="1012"/>
      <c r="H24" s="1002"/>
      <c r="I24" s="1002"/>
    </row>
    <row r="25" spans="1:13" s="1382" customFormat="1" ht="14.25" thickBot="1">
      <c r="A25" s="4453"/>
      <c r="B25" s="4455"/>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456" t="s">
        <v>2449</v>
      </c>
      <c r="B27" s="4454" t="s">
        <v>2449</v>
      </c>
      <c r="C27" s="3197" t="s">
        <v>2469</v>
      </c>
      <c r="D27" s="3198"/>
      <c r="E27" s="3199">
        <v>1</v>
      </c>
      <c r="F27" s="3200" t="s">
        <v>2470</v>
      </c>
      <c r="G27" s="1012"/>
      <c r="H27" s="1002"/>
      <c r="I27" s="1002"/>
    </row>
    <row r="28" spans="1:13" s="1382" customFormat="1">
      <c r="A28" s="4457"/>
      <c r="B28" s="4450"/>
      <c r="C28" s="3201" t="s">
        <v>2471</v>
      </c>
      <c r="D28" s="3202"/>
      <c r="E28" s="3203">
        <v>1</v>
      </c>
      <c r="F28" s="3200" t="s">
        <v>2472</v>
      </c>
      <c r="G28" s="1012"/>
      <c r="H28" s="1002"/>
      <c r="I28" s="1002"/>
    </row>
    <row r="29" spans="1:13" s="1382" customFormat="1">
      <c r="A29" s="4457"/>
      <c r="B29" s="4450"/>
      <c r="C29" s="3201" t="s">
        <v>2473</v>
      </c>
      <c r="D29" s="3202"/>
      <c r="E29" s="3203">
        <v>0.8</v>
      </c>
      <c r="F29" s="3200" t="s">
        <v>2474</v>
      </c>
      <c r="G29" s="1012"/>
      <c r="H29" s="1002"/>
      <c r="I29" s="1002"/>
    </row>
    <row r="30" spans="1:13" s="1382" customFormat="1">
      <c r="A30" s="4457"/>
      <c r="B30" s="4450"/>
      <c r="C30" s="3201" t="s">
        <v>2475</v>
      </c>
      <c r="D30" s="3202"/>
      <c r="E30" s="3203">
        <v>0.8</v>
      </c>
      <c r="F30" s="3200" t="s">
        <v>2476</v>
      </c>
      <c r="G30" s="1012"/>
      <c r="H30" s="1002"/>
      <c r="I30" s="1002"/>
    </row>
    <row r="31" spans="1:13" s="1382" customFormat="1">
      <c r="A31" s="4457"/>
      <c r="B31" s="4450"/>
      <c r="C31" s="3201" t="s">
        <v>2477</v>
      </c>
      <c r="D31" s="3202"/>
      <c r="E31" s="3203">
        <v>0.8</v>
      </c>
      <c r="F31" s="3200" t="s">
        <v>2478</v>
      </c>
      <c r="G31" s="1012"/>
      <c r="H31" s="1002"/>
      <c r="I31" s="1002"/>
    </row>
    <row r="32" spans="1:13" s="1382" customFormat="1">
      <c r="A32" s="4457"/>
      <c r="B32" s="4450"/>
      <c r="C32" s="3201" t="s">
        <v>2479</v>
      </c>
      <c r="D32" s="3202"/>
      <c r="E32" s="3203">
        <v>0.7</v>
      </c>
      <c r="F32" s="3200" t="s">
        <v>2480</v>
      </c>
      <c r="G32" s="1012"/>
      <c r="H32" s="1002"/>
      <c r="I32" s="1002"/>
    </row>
    <row r="33" spans="1:9" s="1382" customFormat="1">
      <c r="A33" s="4457"/>
      <c r="B33" s="4450"/>
      <c r="C33" s="3201" t="s">
        <v>2481</v>
      </c>
      <c r="D33" s="3202"/>
      <c r="E33" s="3203">
        <v>0.8</v>
      </c>
      <c r="F33" s="3200" t="s">
        <v>2482</v>
      </c>
      <c r="G33" s="1012"/>
      <c r="H33" s="1002"/>
      <c r="I33" s="1002"/>
    </row>
    <row r="34" spans="1:9" s="1382" customFormat="1">
      <c r="A34" s="4457"/>
      <c r="B34" s="4450"/>
      <c r="C34" s="3201" t="s">
        <v>2483</v>
      </c>
      <c r="D34" s="3202"/>
      <c r="E34" s="3203">
        <v>0.6</v>
      </c>
      <c r="F34" s="3200" t="s">
        <v>2484</v>
      </c>
      <c r="G34" s="1012"/>
      <c r="H34" s="1002"/>
      <c r="I34" s="1002"/>
    </row>
    <row r="35" spans="1:9" s="1382" customFormat="1">
      <c r="A35" s="4457"/>
      <c r="B35" s="4450"/>
      <c r="C35" s="3201" t="s">
        <v>2485</v>
      </c>
      <c r="D35" s="3202"/>
      <c r="E35" s="3203">
        <v>0.2</v>
      </c>
      <c r="F35" s="3200" t="s">
        <v>2486</v>
      </c>
      <c r="G35" s="1012"/>
      <c r="H35" s="1002"/>
      <c r="I35" s="1002"/>
    </row>
    <row r="36" spans="1:9" s="1382" customFormat="1">
      <c r="A36" s="4457"/>
      <c r="B36" s="4450"/>
      <c r="C36" s="3201" t="s">
        <v>2487</v>
      </c>
      <c r="D36" s="3202"/>
      <c r="E36" s="3203">
        <v>0.2</v>
      </c>
      <c r="F36" s="3200" t="s">
        <v>2488</v>
      </c>
      <c r="G36" s="1012"/>
      <c r="H36" s="1002"/>
      <c r="I36" s="1002"/>
    </row>
    <row r="37" spans="1:9" s="1382" customFormat="1">
      <c r="A37" s="4457"/>
      <c r="B37" s="4448" t="s">
        <v>2489</v>
      </c>
      <c r="C37" s="3201" t="s">
        <v>2490</v>
      </c>
      <c r="D37" s="3202"/>
      <c r="E37" s="3203">
        <v>0.6</v>
      </c>
      <c r="F37" s="3200" t="s">
        <v>2491</v>
      </c>
      <c r="G37" s="1012"/>
      <c r="H37" s="1002"/>
      <c r="I37" s="1002"/>
    </row>
    <row r="38" spans="1:9" s="1382" customFormat="1">
      <c r="A38" s="4457"/>
      <c r="B38" s="4450"/>
      <c r="C38" s="3201" t="s">
        <v>2492</v>
      </c>
      <c r="D38" s="3202"/>
      <c r="E38" s="3203">
        <v>0.6</v>
      </c>
      <c r="F38" s="3200" t="s">
        <v>2493</v>
      </c>
      <c r="G38" s="1012"/>
      <c r="H38" s="1002"/>
      <c r="I38" s="1002"/>
    </row>
    <row r="39" spans="1:9" s="1382" customFormat="1" ht="14.25" thickBot="1">
      <c r="A39" s="4458"/>
      <c r="B39" s="4455"/>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451" t="s">
        <v>2447</v>
      </c>
      <c r="B41" s="4454" t="s">
        <v>2498</v>
      </c>
      <c r="C41" s="3197" t="s">
        <v>2499</v>
      </c>
      <c r="D41" s="3198"/>
      <c r="E41" s="3199">
        <v>1</v>
      </c>
      <c r="F41" s="3200" t="s">
        <v>2500</v>
      </c>
      <c r="G41" s="1012"/>
      <c r="H41" s="1002"/>
      <c r="I41" s="1002"/>
    </row>
    <row r="42" spans="1:9" s="1382" customFormat="1">
      <c r="A42" s="4452"/>
      <c r="B42" s="4450"/>
      <c r="C42" s="3201" t="s">
        <v>2501</v>
      </c>
      <c r="D42" s="3202"/>
      <c r="E42" s="3203">
        <v>1</v>
      </c>
      <c r="F42" s="3200" t="s">
        <v>2502</v>
      </c>
      <c r="G42" s="1012"/>
      <c r="H42" s="1002"/>
      <c r="I42" s="1002"/>
    </row>
    <row r="43" spans="1:9" s="1382" customFormat="1">
      <c r="A43" s="4452"/>
      <c r="B43" s="4449"/>
      <c r="C43" s="3201" t="s">
        <v>2503</v>
      </c>
      <c r="D43" s="3202"/>
      <c r="E43" s="3203">
        <v>1.5</v>
      </c>
      <c r="F43" s="3200" t="s">
        <v>2504</v>
      </c>
      <c r="G43" s="1012"/>
      <c r="H43" s="1002"/>
      <c r="I43" s="1002"/>
    </row>
    <row r="44" spans="1:9" s="1382" customFormat="1">
      <c r="A44" s="4452"/>
      <c r="B44" s="3212" t="s">
        <v>2449</v>
      </c>
      <c r="C44" s="3201" t="s">
        <v>2448</v>
      </c>
      <c r="D44" s="3202"/>
      <c r="E44" s="3203">
        <v>2</v>
      </c>
      <c r="F44" s="3200" t="s">
        <v>2505</v>
      </c>
      <c r="G44" s="1012"/>
      <c r="H44" s="1002"/>
      <c r="I44" s="1002"/>
    </row>
    <row r="45" spans="1:9" s="1382" customFormat="1">
      <c r="A45" s="4452"/>
      <c r="B45" s="4448" t="s">
        <v>2506</v>
      </c>
      <c r="C45" s="3201" t="s">
        <v>2507</v>
      </c>
      <c r="D45" s="3202"/>
      <c r="E45" s="3203">
        <v>1</v>
      </c>
      <c r="F45" s="3200" t="s">
        <v>2508</v>
      </c>
      <c r="G45" s="1012"/>
      <c r="H45" s="1002"/>
      <c r="I45" s="1002"/>
    </row>
    <row r="46" spans="1:9" s="1382" customFormat="1">
      <c r="A46" s="4452"/>
      <c r="B46" s="4450"/>
      <c r="C46" s="3201" t="s">
        <v>2509</v>
      </c>
      <c r="D46" s="3202"/>
      <c r="E46" s="3203">
        <v>1</v>
      </c>
      <c r="F46" s="3200" t="s">
        <v>2510</v>
      </c>
      <c r="G46" s="1012"/>
      <c r="H46" s="1002"/>
      <c r="I46" s="1002"/>
    </row>
    <row r="47" spans="1:9" s="1382" customFormat="1">
      <c r="A47" s="4452"/>
      <c r="B47" s="4450"/>
      <c r="C47" s="3201" t="s">
        <v>2511</v>
      </c>
      <c r="D47" s="3202"/>
      <c r="E47" s="3203">
        <v>1</v>
      </c>
      <c r="F47" s="3200" t="s">
        <v>2512</v>
      </c>
      <c r="G47" s="1012"/>
      <c r="H47" s="1002"/>
      <c r="I47" s="1002"/>
    </row>
    <row r="48" spans="1:9" s="1382" customFormat="1">
      <c r="A48" s="4452"/>
      <c r="B48" s="4450"/>
      <c r="C48" s="3201" t="s">
        <v>2513</v>
      </c>
      <c r="D48" s="3202"/>
      <c r="E48" s="3203">
        <v>1</v>
      </c>
      <c r="F48" s="3200" t="s">
        <v>2514</v>
      </c>
      <c r="G48" s="1012"/>
      <c r="H48" s="1002"/>
      <c r="I48" s="1002"/>
    </row>
    <row r="49" spans="1:9" s="1382" customFormat="1">
      <c r="A49" s="4452"/>
      <c r="B49" s="4450"/>
      <c r="C49" s="3201" t="s">
        <v>2515</v>
      </c>
      <c r="D49" s="3202"/>
      <c r="E49" s="3203">
        <v>1</v>
      </c>
      <c r="F49" s="3200" t="s">
        <v>2516</v>
      </c>
      <c r="G49" s="1012"/>
      <c r="H49" s="1002"/>
      <c r="I49" s="1002"/>
    </row>
    <row r="50" spans="1:9" s="1382" customFormat="1">
      <c r="A50" s="4452"/>
      <c r="B50" s="4450"/>
      <c r="C50" s="3201" t="s">
        <v>2517</v>
      </c>
      <c r="D50" s="3202"/>
      <c r="E50" s="3203">
        <v>1</v>
      </c>
      <c r="F50" s="3200" t="s">
        <v>2518</v>
      </c>
      <c r="G50" s="1012"/>
      <c r="H50" s="1002"/>
      <c r="I50" s="1002"/>
    </row>
    <row r="51" spans="1:9" s="1382" customFormat="1" ht="14.25" thickBot="1">
      <c r="A51" s="4453"/>
      <c r="B51" s="4455"/>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448" t="s">
        <v>2522</v>
      </c>
      <c r="C73" s="3190" t="s">
        <v>2523</v>
      </c>
      <c r="D73" s="3190" t="s">
        <v>2524</v>
      </c>
      <c r="E73" s="3213">
        <v>0.2</v>
      </c>
      <c r="F73" s="3212">
        <v>25</v>
      </c>
      <c r="H73" s="1002">
        <f>SUMIF(C71:C139,基准地价!C8,E71:E139)</f>
        <v>0</v>
      </c>
    </row>
    <row r="74" spans="1:8" s="1002" customFormat="1" ht="24">
      <c r="A74" s="3212">
        <v>2</v>
      </c>
      <c r="B74" s="4450"/>
      <c r="C74" s="3190" t="s">
        <v>2525</v>
      </c>
      <c r="D74" s="3190" t="s">
        <v>2526</v>
      </c>
      <c r="E74" s="3213">
        <v>0.2</v>
      </c>
      <c r="F74" s="3212">
        <v>25</v>
      </c>
    </row>
    <row r="75" spans="1:8" s="1002" customFormat="1" ht="24">
      <c r="A75" s="3212">
        <v>3</v>
      </c>
      <c r="B75" s="4450"/>
      <c r="C75" s="3190" t="s">
        <v>2527</v>
      </c>
      <c r="D75" s="3190" t="s">
        <v>2528</v>
      </c>
      <c r="E75" s="3213">
        <v>0.2</v>
      </c>
      <c r="F75" s="3212">
        <v>25</v>
      </c>
    </row>
    <row r="76" spans="1:8" s="1002" customFormat="1">
      <c r="A76" s="3212">
        <v>4</v>
      </c>
      <c r="B76" s="4450"/>
      <c r="C76" s="3190" t="s">
        <v>2529</v>
      </c>
      <c r="D76" s="3190" t="s">
        <v>2530</v>
      </c>
      <c r="E76" s="3213">
        <v>0.15</v>
      </c>
      <c r="F76" s="3212">
        <v>20</v>
      </c>
    </row>
    <row r="77" spans="1:8" s="1002" customFormat="1" ht="24">
      <c r="A77" s="3212">
        <v>5</v>
      </c>
      <c r="B77" s="4450"/>
      <c r="C77" s="3190" t="s">
        <v>2531</v>
      </c>
      <c r="D77" s="3190" t="s">
        <v>2532</v>
      </c>
      <c r="E77" s="3213">
        <v>0.15</v>
      </c>
      <c r="F77" s="3212">
        <v>20</v>
      </c>
    </row>
    <row r="78" spans="1:8" s="1002" customFormat="1" ht="24">
      <c r="A78" s="3212">
        <v>6</v>
      </c>
      <c r="B78" s="4450"/>
      <c r="C78" s="3190" t="s">
        <v>2533</v>
      </c>
      <c r="D78" s="3190" t="s">
        <v>2534</v>
      </c>
      <c r="E78" s="3213">
        <v>0.15</v>
      </c>
      <c r="F78" s="3212">
        <v>20</v>
      </c>
    </row>
    <row r="79" spans="1:8" s="1002" customFormat="1" ht="24">
      <c r="A79" s="3212">
        <v>7</v>
      </c>
      <c r="B79" s="4450"/>
      <c r="C79" s="3190" t="s">
        <v>2535</v>
      </c>
      <c r="D79" s="3190" t="s">
        <v>2536</v>
      </c>
      <c r="E79" s="3213">
        <v>0.15</v>
      </c>
      <c r="F79" s="3212">
        <v>20</v>
      </c>
    </row>
    <row r="80" spans="1:8" s="1002" customFormat="1" ht="24">
      <c r="A80" s="3212">
        <v>8</v>
      </c>
      <c r="B80" s="4450"/>
      <c r="C80" s="3190" t="s">
        <v>2537</v>
      </c>
      <c r="D80" s="3190" t="s">
        <v>2538</v>
      </c>
      <c r="E80" s="3213">
        <v>0.1</v>
      </c>
      <c r="F80" s="3212">
        <v>15</v>
      </c>
    </row>
    <row r="81" spans="1:6" s="1002" customFormat="1" ht="24">
      <c r="A81" s="3212">
        <v>9</v>
      </c>
      <c r="B81" s="4450"/>
      <c r="C81" s="3190" t="s">
        <v>2539</v>
      </c>
      <c r="D81" s="3190" t="s">
        <v>2540</v>
      </c>
      <c r="E81" s="3213">
        <v>0.1</v>
      </c>
      <c r="F81" s="3212">
        <v>15</v>
      </c>
    </row>
    <row r="82" spans="1:6" s="1002" customFormat="1" ht="24">
      <c r="A82" s="3212">
        <v>10</v>
      </c>
      <c r="B82" s="4450"/>
      <c r="C82" s="3190" t="s">
        <v>2541</v>
      </c>
      <c r="D82" s="3190" t="s">
        <v>2542</v>
      </c>
      <c r="E82" s="3213">
        <v>0.1</v>
      </c>
      <c r="F82" s="3212">
        <v>15</v>
      </c>
    </row>
    <row r="83" spans="1:6" s="1002" customFormat="1" ht="24">
      <c r="A83" s="3212">
        <v>11</v>
      </c>
      <c r="B83" s="4450"/>
      <c r="C83" s="3190" t="s">
        <v>2543</v>
      </c>
      <c r="D83" s="3190" t="s">
        <v>2544</v>
      </c>
      <c r="E83" s="3213">
        <v>0.1</v>
      </c>
      <c r="F83" s="3212">
        <v>15</v>
      </c>
    </row>
    <row r="84" spans="1:6" s="1002" customFormat="1" ht="24">
      <c r="A84" s="3212">
        <v>12</v>
      </c>
      <c r="B84" s="4450"/>
      <c r="C84" s="3190" t="s">
        <v>2545</v>
      </c>
      <c r="D84" s="3190" t="s">
        <v>2546</v>
      </c>
      <c r="E84" s="3213">
        <v>0.1</v>
      </c>
      <c r="F84" s="3212">
        <v>15</v>
      </c>
    </row>
    <row r="85" spans="1:6" s="1002" customFormat="1">
      <c r="A85" s="3212">
        <v>13</v>
      </c>
      <c r="B85" s="4450"/>
      <c r="C85" s="3190" t="s">
        <v>2547</v>
      </c>
      <c r="D85" s="3190" t="s">
        <v>2548</v>
      </c>
      <c r="E85" s="3213">
        <v>0.1</v>
      </c>
      <c r="F85" s="3212">
        <v>15</v>
      </c>
    </row>
    <row r="86" spans="1:6" s="1002" customFormat="1">
      <c r="A86" s="3212">
        <v>14</v>
      </c>
      <c r="B86" s="4450"/>
      <c r="C86" s="3190" t="s">
        <v>2549</v>
      </c>
      <c r="D86" s="3190" t="s">
        <v>2550</v>
      </c>
      <c r="E86" s="3213">
        <v>0.1</v>
      </c>
      <c r="F86" s="3212">
        <v>15</v>
      </c>
    </row>
    <row r="87" spans="1:6" s="1002" customFormat="1">
      <c r="A87" s="3212">
        <v>15</v>
      </c>
      <c r="B87" s="4450"/>
      <c r="C87" s="3190" t="s">
        <v>2551</v>
      </c>
      <c r="D87" s="3190" t="s">
        <v>2552</v>
      </c>
      <c r="E87" s="3213">
        <v>0.1</v>
      </c>
      <c r="F87" s="3212">
        <v>15</v>
      </c>
    </row>
    <row r="88" spans="1:6" s="1002" customFormat="1" ht="24">
      <c r="A88" s="3212">
        <v>16</v>
      </c>
      <c r="B88" s="4450"/>
      <c r="C88" s="3190" t="s">
        <v>2553</v>
      </c>
      <c r="D88" s="3190" t="s">
        <v>2554</v>
      </c>
      <c r="E88" s="3213">
        <v>0.1</v>
      </c>
      <c r="F88" s="3212">
        <v>15</v>
      </c>
    </row>
    <row r="89" spans="1:6" s="1002" customFormat="1" ht="24">
      <c r="A89" s="3212">
        <v>17</v>
      </c>
      <c r="B89" s="4449"/>
      <c r="C89" s="3190" t="s">
        <v>2555</v>
      </c>
      <c r="D89" s="3190" t="s">
        <v>2556</v>
      </c>
      <c r="E89" s="3213">
        <v>0.1</v>
      </c>
      <c r="F89" s="3212">
        <v>15</v>
      </c>
    </row>
    <row r="90" spans="1:6" s="1002" customFormat="1">
      <c r="A90" s="3212">
        <v>18</v>
      </c>
      <c r="B90" s="4448" t="s">
        <v>2557</v>
      </c>
      <c r="C90" s="3190" t="s">
        <v>2558</v>
      </c>
      <c r="D90" s="3190" t="s">
        <v>2559</v>
      </c>
      <c r="E90" s="3213">
        <v>0.2</v>
      </c>
      <c r="F90" s="3212">
        <v>25</v>
      </c>
    </row>
    <row r="91" spans="1:6" s="1002" customFormat="1" ht="24">
      <c r="A91" s="3212">
        <v>19</v>
      </c>
      <c r="B91" s="4450"/>
      <c r="C91" s="3190" t="s">
        <v>2560</v>
      </c>
      <c r="D91" s="3190" t="s">
        <v>2561</v>
      </c>
      <c r="E91" s="3213">
        <v>0.2</v>
      </c>
      <c r="F91" s="3212">
        <v>25</v>
      </c>
    </row>
    <row r="92" spans="1:6" s="1002" customFormat="1">
      <c r="A92" s="3212">
        <v>20</v>
      </c>
      <c r="B92" s="4450"/>
      <c r="C92" s="3190" t="s">
        <v>2562</v>
      </c>
      <c r="D92" s="3190" t="s">
        <v>2563</v>
      </c>
      <c r="E92" s="3213">
        <v>0.15</v>
      </c>
      <c r="F92" s="3212">
        <v>20</v>
      </c>
    </row>
    <row r="93" spans="1:6" s="1002" customFormat="1" ht="24">
      <c r="A93" s="3212">
        <v>21</v>
      </c>
      <c r="B93" s="4450"/>
      <c r="C93" s="3190" t="s">
        <v>2564</v>
      </c>
      <c r="D93" s="3190" t="s">
        <v>2565</v>
      </c>
      <c r="E93" s="3213">
        <v>0.15</v>
      </c>
      <c r="F93" s="3212">
        <v>20</v>
      </c>
    </row>
    <row r="94" spans="1:6" s="1002" customFormat="1" ht="24">
      <c r="A94" s="3212">
        <v>22</v>
      </c>
      <c r="B94" s="4450"/>
      <c r="C94" s="3190" t="s">
        <v>2566</v>
      </c>
      <c r="D94" s="3190" t="s">
        <v>2567</v>
      </c>
      <c r="E94" s="3213">
        <v>0.15</v>
      </c>
      <c r="F94" s="3212">
        <v>20</v>
      </c>
    </row>
    <row r="95" spans="1:6" s="1002" customFormat="1" ht="36">
      <c r="A95" s="3212">
        <v>23</v>
      </c>
      <c r="B95" s="4450"/>
      <c r="C95" s="3190" t="s">
        <v>2568</v>
      </c>
      <c r="D95" s="3190" t="s">
        <v>2569</v>
      </c>
      <c r="E95" s="3213">
        <v>0.15</v>
      </c>
      <c r="F95" s="3212">
        <v>20</v>
      </c>
    </row>
    <row r="96" spans="1:6" s="1002" customFormat="1">
      <c r="A96" s="3212">
        <v>24</v>
      </c>
      <c r="B96" s="4450"/>
      <c r="C96" s="3190" t="s">
        <v>2570</v>
      </c>
      <c r="D96" s="3190" t="s">
        <v>2571</v>
      </c>
      <c r="E96" s="3213">
        <v>0.1</v>
      </c>
      <c r="F96" s="3212">
        <v>15</v>
      </c>
    </row>
    <row r="97" spans="1:6" s="1002" customFormat="1" ht="24">
      <c r="A97" s="3212">
        <v>25</v>
      </c>
      <c r="B97" s="4450"/>
      <c r="C97" s="3190" t="s">
        <v>2572</v>
      </c>
      <c r="D97" s="3190" t="s">
        <v>2573</v>
      </c>
      <c r="E97" s="3213">
        <v>0.1</v>
      </c>
      <c r="F97" s="3212">
        <v>15</v>
      </c>
    </row>
    <row r="98" spans="1:6" s="1002" customFormat="1" ht="24">
      <c r="A98" s="3212">
        <v>26</v>
      </c>
      <c r="B98" s="4450"/>
      <c r="C98" s="3190" t="s">
        <v>2574</v>
      </c>
      <c r="D98" s="3190" t="s">
        <v>2575</v>
      </c>
      <c r="E98" s="3213">
        <v>0.1</v>
      </c>
      <c r="F98" s="3212">
        <v>15</v>
      </c>
    </row>
    <row r="99" spans="1:6" s="1002" customFormat="1" ht="24">
      <c r="A99" s="3212">
        <v>27</v>
      </c>
      <c r="B99" s="4450"/>
      <c r="C99" s="3190" t="s">
        <v>2576</v>
      </c>
      <c r="D99" s="3190" t="s">
        <v>2577</v>
      </c>
      <c r="E99" s="3213">
        <v>0.1</v>
      </c>
      <c r="F99" s="3212">
        <v>15</v>
      </c>
    </row>
    <row r="100" spans="1:6" s="1002" customFormat="1" ht="24">
      <c r="A100" s="3212">
        <v>28</v>
      </c>
      <c r="B100" s="4450"/>
      <c r="C100" s="3190" t="s">
        <v>2578</v>
      </c>
      <c r="D100" s="3190" t="s">
        <v>2579</v>
      </c>
      <c r="E100" s="3213">
        <v>0.1</v>
      </c>
      <c r="F100" s="3212">
        <v>15</v>
      </c>
    </row>
    <row r="101" spans="1:6" s="1002" customFormat="1" ht="24">
      <c r="A101" s="3212">
        <v>29</v>
      </c>
      <c r="B101" s="4450"/>
      <c r="C101" s="3190" t="s">
        <v>2580</v>
      </c>
      <c r="D101" s="3190" t="s">
        <v>2581</v>
      </c>
      <c r="E101" s="3213">
        <v>0.1</v>
      </c>
      <c r="F101" s="3212">
        <v>15</v>
      </c>
    </row>
    <row r="102" spans="1:6" s="1002" customFormat="1" ht="24">
      <c r="A102" s="3212">
        <v>30</v>
      </c>
      <c r="B102" s="4450"/>
      <c r="C102" s="3190" t="s">
        <v>2582</v>
      </c>
      <c r="D102" s="3190" t="s">
        <v>2583</v>
      </c>
      <c r="E102" s="3213">
        <v>0.1</v>
      </c>
      <c r="F102" s="3212">
        <v>15</v>
      </c>
    </row>
    <row r="103" spans="1:6" s="1002" customFormat="1" ht="24">
      <c r="A103" s="3212">
        <v>31</v>
      </c>
      <c r="B103" s="4450"/>
      <c r="C103" s="3190" t="s">
        <v>2584</v>
      </c>
      <c r="D103" s="3190" t="s">
        <v>2585</v>
      </c>
      <c r="E103" s="3213">
        <v>0.1</v>
      </c>
      <c r="F103" s="3212">
        <v>15</v>
      </c>
    </row>
    <row r="104" spans="1:6" s="1002" customFormat="1" ht="24">
      <c r="A104" s="3212">
        <v>32</v>
      </c>
      <c r="B104" s="4450"/>
      <c r="C104" s="3190" t="s">
        <v>2586</v>
      </c>
      <c r="D104" s="3190" t="s">
        <v>2587</v>
      </c>
      <c r="E104" s="3213">
        <v>0.1</v>
      </c>
      <c r="F104" s="3212">
        <v>15</v>
      </c>
    </row>
    <row r="105" spans="1:6" s="1002" customFormat="1" ht="24">
      <c r="A105" s="3212">
        <v>33</v>
      </c>
      <c r="B105" s="4450"/>
      <c r="C105" s="3190" t="s">
        <v>2588</v>
      </c>
      <c r="D105" s="3190" t="s">
        <v>2589</v>
      </c>
      <c r="E105" s="3213">
        <v>0.1</v>
      </c>
      <c r="F105" s="3212">
        <v>15</v>
      </c>
    </row>
    <row r="106" spans="1:6" s="1002" customFormat="1" ht="24">
      <c r="A106" s="3212">
        <v>34</v>
      </c>
      <c r="B106" s="4449"/>
      <c r="C106" s="3190" t="s">
        <v>2590</v>
      </c>
      <c r="D106" s="3190" t="s">
        <v>2591</v>
      </c>
      <c r="E106" s="3213">
        <v>0.1</v>
      </c>
      <c r="F106" s="3212">
        <v>15</v>
      </c>
    </row>
    <row r="107" spans="1:6" s="1002" customFormat="1" ht="24">
      <c r="A107" s="3212">
        <v>35</v>
      </c>
      <c r="B107" s="4448" t="s">
        <v>2592</v>
      </c>
      <c r="C107" s="3212" t="s">
        <v>2593</v>
      </c>
      <c r="D107" s="3190" t="s">
        <v>2594</v>
      </c>
      <c r="E107" s="3213">
        <v>0.15</v>
      </c>
      <c r="F107" s="3212">
        <v>20</v>
      </c>
    </row>
    <row r="108" spans="1:6" s="1002" customFormat="1" ht="24">
      <c r="A108" s="3212">
        <v>36</v>
      </c>
      <c r="B108" s="4450"/>
      <c r="C108" s="3212" t="s">
        <v>2595</v>
      </c>
      <c r="D108" s="3190" t="s">
        <v>2596</v>
      </c>
      <c r="E108" s="3213">
        <v>0.15</v>
      </c>
      <c r="F108" s="3212">
        <v>20</v>
      </c>
    </row>
    <row r="109" spans="1:6" s="1002" customFormat="1" ht="24">
      <c r="A109" s="3212">
        <v>37</v>
      </c>
      <c r="B109" s="4450"/>
      <c r="C109" s="3212" t="s">
        <v>2597</v>
      </c>
      <c r="D109" s="3190" t="s">
        <v>2598</v>
      </c>
      <c r="E109" s="3213">
        <v>0.15</v>
      </c>
      <c r="F109" s="3212">
        <v>20</v>
      </c>
    </row>
    <row r="110" spans="1:6" s="1002" customFormat="1">
      <c r="A110" s="3212">
        <v>38</v>
      </c>
      <c r="B110" s="4450"/>
      <c r="C110" s="3212" t="s">
        <v>2599</v>
      </c>
      <c r="D110" s="3190" t="s">
        <v>2600</v>
      </c>
      <c r="E110" s="3213">
        <v>0.1</v>
      </c>
      <c r="F110" s="3212">
        <v>15</v>
      </c>
    </row>
    <row r="111" spans="1:6" s="1002" customFormat="1" ht="24">
      <c r="A111" s="3212">
        <v>39</v>
      </c>
      <c r="B111" s="4450"/>
      <c r="C111" s="3212" t="s">
        <v>2601</v>
      </c>
      <c r="D111" s="3190" t="s">
        <v>2602</v>
      </c>
      <c r="E111" s="3213">
        <v>0.1</v>
      </c>
      <c r="F111" s="3212">
        <v>15</v>
      </c>
    </row>
    <row r="112" spans="1:6" s="1002" customFormat="1" ht="24">
      <c r="A112" s="3212">
        <v>40</v>
      </c>
      <c r="B112" s="4449"/>
      <c r="C112" s="3212" t="s">
        <v>2603</v>
      </c>
      <c r="D112" s="3190" t="s">
        <v>2604</v>
      </c>
      <c r="E112" s="3213">
        <v>0.1</v>
      </c>
      <c r="F112" s="3212">
        <v>15</v>
      </c>
    </row>
    <row r="113" spans="1:6" s="1002" customFormat="1" ht="24">
      <c r="A113" s="3212">
        <v>41</v>
      </c>
      <c r="B113" s="4447" t="s">
        <v>2605</v>
      </c>
      <c r="C113" s="3212" t="s">
        <v>2606</v>
      </c>
      <c r="D113" s="3190" t="s">
        <v>2607</v>
      </c>
      <c r="E113" s="3213">
        <v>0.1</v>
      </c>
      <c r="F113" s="3212">
        <v>15</v>
      </c>
    </row>
    <row r="114" spans="1:6" s="1002" customFormat="1">
      <c r="A114" s="3212">
        <v>42</v>
      </c>
      <c r="B114" s="4447"/>
      <c r="C114" s="3212" t="s">
        <v>2608</v>
      </c>
      <c r="D114" s="3190" t="s">
        <v>2609</v>
      </c>
      <c r="E114" s="3213">
        <v>0.1</v>
      </c>
      <c r="F114" s="3212">
        <v>15</v>
      </c>
    </row>
    <row r="115" spans="1:6" s="1002" customFormat="1" ht="24">
      <c r="A115" s="3212">
        <v>43</v>
      </c>
      <c r="B115" s="4447"/>
      <c r="C115" s="3212" t="s">
        <v>2610</v>
      </c>
      <c r="D115" s="3190" t="s">
        <v>2611</v>
      </c>
      <c r="E115" s="3213">
        <v>0.1</v>
      </c>
      <c r="F115" s="3212">
        <v>15</v>
      </c>
    </row>
    <row r="116" spans="1:6" s="1002" customFormat="1" ht="24">
      <c r="A116" s="3212">
        <v>44</v>
      </c>
      <c r="B116" s="4448" t="s">
        <v>2612</v>
      </c>
      <c r="C116" s="3212" t="s">
        <v>2613</v>
      </c>
      <c r="D116" s="3190" t="s">
        <v>2614</v>
      </c>
      <c r="E116" s="3213">
        <v>0.1</v>
      </c>
      <c r="F116" s="3212">
        <v>15</v>
      </c>
    </row>
    <row r="117" spans="1:6" s="1002" customFormat="1" ht="24">
      <c r="A117" s="3212">
        <v>45</v>
      </c>
      <c r="B117" s="4449"/>
      <c r="C117" s="3190" t="s">
        <v>2615</v>
      </c>
      <c r="D117" s="3190" t="s">
        <v>2616</v>
      </c>
      <c r="E117" s="3213">
        <v>0.1</v>
      </c>
      <c r="F117" s="3212">
        <v>15</v>
      </c>
    </row>
    <row r="118" spans="1:6" s="1002" customFormat="1" ht="24">
      <c r="A118" s="3212">
        <v>46</v>
      </c>
      <c r="B118" s="4448" t="s">
        <v>2617</v>
      </c>
      <c r="C118" s="3212" t="s">
        <v>2618</v>
      </c>
      <c r="D118" s="3190" t="s">
        <v>2619</v>
      </c>
      <c r="E118" s="3213">
        <v>0.1</v>
      </c>
      <c r="F118" s="3212">
        <v>15</v>
      </c>
    </row>
    <row r="119" spans="1:6" s="1002" customFormat="1" ht="24">
      <c r="A119" s="3212">
        <v>47</v>
      </c>
      <c r="B119" s="4449"/>
      <c r="C119" s="3212" t="s">
        <v>2620</v>
      </c>
      <c r="D119" s="3190" t="s">
        <v>2621</v>
      </c>
      <c r="E119" s="3213">
        <v>0.1</v>
      </c>
      <c r="F119" s="3212">
        <v>15</v>
      </c>
    </row>
    <row r="120" spans="1:6" s="1002" customFormat="1" ht="24">
      <c r="A120" s="3212">
        <v>48</v>
      </c>
      <c r="B120" s="4448" t="s">
        <v>2622</v>
      </c>
      <c r="C120" s="3212" t="s">
        <v>2623</v>
      </c>
      <c r="D120" s="3190" t="s">
        <v>2624</v>
      </c>
      <c r="E120" s="3213">
        <v>0.1</v>
      </c>
      <c r="F120" s="3212">
        <v>15</v>
      </c>
    </row>
    <row r="121" spans="1:6" s="1002" customFormat="1">
      <c r="A121" s="3212">
        <v>49</v>
      </c>
      <c r="B121" s="4449"/>
      <c r="C121" s="3212" t="s">
        <v>2625</v>
      </c>
      <c r="D121" s="3190" t="s">
        <v>2626</v>
      </c>
      <c r="E121" s="3213">
        <v>0.1</v>
      </c>
      <c r="F121" s="3212">
        <v>15</v>
      </c>
    </row>
    <row r="122" spans="1:6" s="1002" customFormat="1" ht="24">
      <c r="A122" s="3212">
        <v>50</v>
      </c>
      <c r="B122" s="4447" t="s">
        <v>2627</v>
      </c>
      <c r="C122" s="3212" t="s">
        <v>2628</v>
      </c>
      <c r="D122" s="3190" t="s">
        <v>2629</v>
      </c>
      <c r="E122" s="3213">
        <v>0.1</v>
      </c>
      <c r="F122" s="3212">
        <v>15</v>
      </c>
    </row>
    <row r="123" spans="1:6" s="1002" customFormat="1" ht="24">
      <c r="A123" s="3212">
        <v>51</v>
      </c>
      <c r="B123" s="4447"/>
      <c r="C123" s="3212" t="s">
        <v>2630</v>
      </c>
      <c r="D123" s="3190" t="s">
        <v>2631</v>
      </c>
      <c r="E123" s="3213">
        <v>0.1</v>
      </c>
      <c r="F123" s="3212">
        <v>15</v>
      </c>
    </row>
    <row r="124" spans="1:6" s="1002" customFormat="1" ht="24">
      <c r="A124" s="3212">
        <v>52</v>
      </c>
      <c r="B124" s="4447" t="s">
        <v>2632</v>
      </c>
      <c r="C124" s="3212" t="s">
        <v>2633</v>
      </c>
      <c r="D124" s="3190" t="s">
        <v>2634</v>
      </c>
      <c r="E124" s="3213">
        <v>0.1</v>
      </c>
      <c r="F124" s="3212">
        <v>15</v>
      </c>
    </row>
    <row r="125" spans="1:6" s="1002" customFormat="1" ht="24">
      <c r="A125" s="3212">
        <v>53</v>
      </c>
      <c r="B125" s="4447"/>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447" t="s">
        <v>2640</v>
      </c>
      <c r="C127" s="3212" t="s">
        <v>2641</v>
      </c>
      <c r="D127" s="3190" t="s">
        <v>2642</v>
      </c>
      <c r="E127" s="3213">
        <v>0.1</v>
      </c>
      <c r="F127" s="3212">
        <v>15</v>
      </c>
    </row>
    <row r="128" spans="1:6">
      <c r="A128" s="3212">
        <v>56</v>
      </c>
      <c r="B128" s="4447"/>
      <c r="C128" s="3212" t="s">
        <v>2643</v>
      </c>
      <c r="D128" s="3190" t="s">
        <v>2644</v>
      </c>
      <c r="E128" s="3213">
        <v>0.1</v>
      </c>
      <c r="F128" s="3212">
        <v>15</v>
      </c>
    </row>
    <row r="129" spans="1:14" ht="24">
      <c r="A129" s="3212">
        <v>57</v>
      </c>
      <c r="B129" s="4447"/>
      <c r="C129" s="3212" t="s">
        <v>2645</v>
      </c>
      <c r="D129" s="3190" t="s">
        <v>2646</v>
      </c>
      <c r="E129" s="3213">
        <v>0.1</v>
      </c>
      <c r="F129" s="3212">
        <v>15</v>
      </c>
    </row>
    <row r="130" spans="1:14" ht="24">
      <c r="A130" s="3212">
        <v>58</v>
      </c>
      <c r="B130" s="4447" t="s">
        <v>2647</v>
      </c>
      <c r="C130" s="3212" t="s">
        <v>2648</v>
      </c>
      <c r="D130" s="3190" t="s">
        <v>2649</v>
      </c>
      <c r="E130" s="3213">
        <v>0.1</v>
      </c>
      <c r="F130" s="3212">
        <v>15</v>
      </c>
    </row>
    <row r="131" spans="1:14" ht="24">
      <c r="A131" s="3212">
        <v>59</v>
      </c>
      <c r="B131" s="4447"/>
      <c r="C131" s="3212" t="s">
        <v>2650</v>
      </c>
      <c r="D131" s="3190" t="s">
        <v>2651</v>
      </c>
      <c r="E131" s="3213">
        <v>0.1</v>
      </c>
      <c r="F131" s="3212">
        <v>15</v>
      </c>
    </row>
    <row r="132" spans="1:14" ht="24">
      <c r="A132" s="3212">
        <v>60</v>
      </c>
      <c r="B132" s="4448" t="s">
        <v>2652</v>
      </c>
      <c r="C132" s="3212" t="s">
        <v>2653</v>
      </c>
      <c r="D132" s="3190" t="s">
        <v>2654</v>
      </c>
      <c r="E132" s="3213">
        <v>0.1</v>
      </c>
      <c r="F132" s="3212">
        <v>15</v>
      </c>
    </row>
    <row r="133" spans="1:14" ht="24">
      <c r="A133" s="3212">
        <v>61</v>
      </c>
      <c r="B133" s="4449"/>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447" t="s">
        <v>2660</v>
      </c>
      <c r="C135" s="3212" t="s">
        <v>2661</v>
      </c>
      <c r="D135" s="3190" t="s">
        <v>2662</v>
      </c>
      <c r="E135" s="3213">
        <v>0.1</v>
      </c>
      <c r="F135" s="3212">
        <v>15</v>
      </c>
    </row>
    <row r="136" spans="1:14">
      <c r="A136" s="3212">
        <v>64</v>
      </c>
      <c r="B136" s="4447"/>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384"/>
  <sheetViews>
    <sheetView zoomScale="70" zoomScaleNormal="70" workbookViewId="0">
      <selection activeCell="A277" sqref="A277:G326"/>
    </sheetView>
  </sheetViews>
  <sheetFormatPr defaultColWidth="9" defaultRowHeight="13.5"/>
  <cols>
    <col min="1" max="1" width="12.625" style="3371" customWidth="1"/>
    <col min="2" max="2" width="15" style="3371" customWidth="1"/>
    <col min="3" max="6" width="10.1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459" t="s">
        <v>2808</v>
      </c>
      <c r="B1" s="4459"/>
      <c r="C1" s="4459"/>
      <c r="D1" s="4459"/>
      <c r="E1" s="4459"/>
      <c r="F1" s="4459"/>
      <c r="G1" s="4460"/>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461"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462"/>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8.875" defaultRowHeight="13.5"/>
  <sheetData>
    <row r="1" spans="1:6" ht="15">
      <c r="A1" s="4463" t="s">
        <v>3183</v>
      </c>
      <c r="B1" s="4463"/>
      <c r="C1" s="4463"/>
      <c r="D1" s="4463"/>
      <c r="E1" s="4463"/>
      <c r="F1" s="4464"/>
    </row>
    <row r="2" spans="1:6" ht="15">
      <c r="A2" s="3437" t="s">
        <v>3184</v>
      </c>
      <c r="B2" s="3438"/>
      <c r="C2" s="3438"/>
      <c r="D2" s="3438"/>
      <c r="E2" s="3438"/>
      <c r="F2" s="3438"/>
    </row>
    <row r="3" spans="1:6" ht="15">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60"/>
  <sheetViews>
    <sheetView zoomScale="70" zoomScaleNormal="70" workbookViewId="0">
      <selection activeCell="U15" sqref="U15"/>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59" workbookViewId="0">
      <selection activeCell="I332" sqref="I332"/>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465" t="s">
        <v>3021</v>
      </c>
      <c r="B1" s="4465"/>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4"/>
  <sheetViews>
    <sheetView zoomScale="80" zoomScaleNormal="80" workbookViewId="0">
      <selection activeCell="A10" sqref="A10:XFD10"/>
    </sheetView>
  </sheetViews>
  <sheetFormatPr defaultColWidth="9" defaultRowHeight="12.75"/>
  <cols>
    <col min="1" max="1" width="9" style="2583"/>
    <col min="2" max="6" width="9" style="2583" customWidth="1"/>
    <col min="7" max="7" width="9" style="2611" customWidth="1"/>
    <col min="8" max="12" width="9" style="2583" customWidth="1"/>
    <col min="13" max="13" width="2.1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468" t="s">
        <v>1856</v>
      </c>
      <c r="C1" s="4468"/>
      <c r="D1" s="4468"/>
      <c r="E1" s="4468"/>
      <c r="F1" s="4468"/>
      <c r="G1" s="4467" t="s">
        <v>1857</v>
      </c>
      <c r="H1" s="4467"/>
      <c r="I1" s="4467"/>
      <c r="J1" s="4467"/>
      <c r="K1" s="4467"/>
      <c r="L1" s="4467"/>
      <c r="N1" s="4467" t="s">
        <v>1858</v>
      </c>
      <c r="O1" s="4467"/>
      <c r="P1" s="4467"/>
      <c r="Q1" s="4467"/>
      <c r="S1" s="4467" t="s">
        <v>1859</v>
      </c>
      <c r="T1" s="4467"/>
      <c r="U1" s="4467"/>
      <c r="V1" s="4467"/>
      <c r="X1" s="4466" t="s">
        <v>1919</v>
      </c>
      <c r="Y1" s="4467"/>
      <c r="Z1" s="4467"/>
      <c r="AA1" s="4467"/>
      <c r="AB1" s="4467"/>
      <c r="AD1" s="4466" t="s">
        <v>1923</v>
      </c>
      <c r="AE1" s="4467"/>
      <c r="AF1" s="4467"/>
      <c r="AG1" s="4467"/>
      <c r="AH1" s="4467"/>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470">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470"/>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470"/>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476"/>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475">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470"/>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470"/>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476"/>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475">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470"/>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470"/>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471"/>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469">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470"/>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470"/>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471"/>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469">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470"/>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470"/>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471"/>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472">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473"/>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473"/>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474"/>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469">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470"/>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470"/>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471"/>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469">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470">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470">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471">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469">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470">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470">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471">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469">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470">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470">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471">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469">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470">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470">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471">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469">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470">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470">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471">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469">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470">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470">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471">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469">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470">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470">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471">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469">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470">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470">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471">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469">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470">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470">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471">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469">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470">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470">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471">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D38"/>
  <sheetViews>
    <sheetView zoomScale="70" zoomScaleNormal="70" workbookViewId="0">
      <selection activeCell="F8" sqref="F8"/>
    </sheetView>
  </sheetViews>
  <sheetFormatPr defaultColWidth="8.875"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477" t="s">
        <v>2794</v>
      </c>
      <c r="S1" s="4478"/>
      <c r="T1" s="4478"/>
      <c r="U1" s="4478"/>
      <c r="V1" s="4478"/>
      <c r="W1" s="4478"/>
      <c r="X1" s="3287"/>
      <c r="Y1" s="4477" t="s">
        <v>2805</v>
      </c>
      <c r="Z1" s="4478"/>
      <c r="AA1" s="4478"/>
      <c r="AB1" s="4478"/>
      <c r="AC1" s="4478"/>
      <c r="AD1" s="4478"/>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3306</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3307</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477" t="s">
        <v>2801</v>
      </c>
      <c r="S21" s="4478"/>
      <c r="T21" s="4478"/>
      <c r="U21" s="4478"/>
      <c r="V21" s="4478"/>
      <c r="W21" s="4478"/>
      <c r="X21" s="3287"/>
      <c r="Y21" s="4477" t="s">
        <v>1923</v>
      </c>
      <c r="Z21" s="4478"/>
      <c r="AA21" s="4478"/>
      <c r="AB21" s="4478"/>
      <c r="AC21" s="4478"/>
      <c r="AD21" s="4478"/>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3308</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3307</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32" customWidth="1"/>
    <col min="2" max="2" width="12.5" style="2932" customWidth="1"/>
    <col min="3" max="3" width="12.125" style="2932" customWidth="1"/>
    <col min="4" max="4" width="16.625" style="2932" customWidth="1"/>
    <col min="5" max="5" width="12.5" style="2932" customWidth="1"/>
    <col min="6" max="6" width="12.62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625" style="1750" customWidth="1"/>
    <col min="6" max="6" width="10.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125" style="1749" customWidth="1"/>
    <col min="17" max="17" width="13.625" style="1749" customWidth="1"/>
    <col min="18" max="18" width="22.1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-2.5</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480" t="s">
        <v>1805</v>
      </c>
      <c r="C8" s="3696">
        <f ca="1">ROUND(F8*F10*F9*(1-F11)/10000,4)</f>
        <v>0</v>
      </c>
      <c r="D8" s="1578" t="s">
        <v>1815</v>
      </c>
      <c r="E8" s="58" t="s">
        <v>585</v>
      </c>
      <c r="F8" s="730">
        <f ca="1">INDIRECT("'数据-取费表'!u"&amp;$G$1)</f>
        <v>0</v>
      </c>
      <c r="G8" s="1379"/>
      <c r="H8" s="2115" t="s">
        <v>1353</v>
      </c>
      <c r="I8" s="4480" t="s">
        <v>1805</v>
      </c>
      <c r="J8" s="728">
        <f ca="1">ROUND(M8*M10*M9*(1-M11)/10000,0)</f>
        <v>0</v>
      </c>
      <c r="K8" s="324" t="s">
        <v>1815</v>
      </c>
      <c r="L8" s="729" t="s">
        <v>1267</v>
      </c>
      <c r="M8" s="730">
        <f ca="1">INDIRECT("'数据-取费表'!z"&amp;$G$1)</f>
        <v>0</v>
      </c>
    </row>
    <row r="9" spans="1:25" ht="18" customHeight="1">
      <c r="A9" s="2111"/>
      <c r="B9" s="4481"/>
      <c r="C9" s="3697"/>
      <c r="D9" s="1579"/>
      <c r="E9" s="58" t="s">
        <v>586</v>
      </c>
      <c r="F9" s="730">
        <f ca="1">IF(INDIRECT("'数据-取费表'!ah"&amp;$G$1)="",INDIRECT("'数据-取费表'!k"&amp;$G$1),INDIRECT("'数据-取费表'!ah"&amp;$G$1))</f>
        <v>0</v>
      </c>
      <c r="G9" s="1379"/>
      <c r="H9" s="2100"/>
      <c r="I9" s="4481"/>
      <c r="J9" s="733"/>
      <c r="K9" s="734"/>
      <c r="L9" s="729" t="s">
        <v>1268</v>
      </c>
      <c r="M9" s="730">
        <f ca="1">F9</f>
        <v>0</v>
      </c>
    </row>
    <row r="10" spans="1:25" ht="18" customHeight="1">
      <c r="A10" s="2104"/>
      <c r="B10" s="4482"/>
      <c r="C10" s="3697"/>
      <c r="D10" s="1579"/>
      <c r="E10" s="58" t="s">
        <v>587</v>
      </c>
      <c r="F10" s="730">
        <f ca="1">INDIRECT("'数据-取费表'!ai"&amp;$G$1)</f>
        <v>0</v>
      </c>
      <c r="G10" s="1379"/>
      <c r="H10" s="2100"/>
      <c r="I10" s="4482"/>
      <c r="J10" s="733"/>
      <c r="K10" s="734"/>
      <c r="L10" s="729" t="s">
        <v>1269</v>
      </c>
      <c r="M10" s="730">
        <f ca="1">INDIRECT("'数据-取费表'!ai"&amp;$G$1)</f>
        <v>0</v>
      </c>
    </row>
    <row r="11" spans="1:25" ht="18" customHeight="1">
      <c r="A11" s="731"/>
      <c r="B11" s="4483"/>
      <c r="C11" s="3697"/>
      <c r="D11" s="1579"/>
      <c r="E11" s="58" t="s">
        <v>588</v>
      </c>
      <c r="F11" s="739">
        <f ca="1">INDIRECT("'数据-取费表'!w"&amp;$G$1)</f>
        <v>0</v>
      </c>
      <c r="G11" s="1379"/>
      <c r="H11" s="2116"/>
      <c r="I11" s="4482"/>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2.5</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2.3999999999999998E-3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479"/>
      <c r="J36" s="1769"/>
      <c r="K36" s="1770"/>
      <c r="L36" s="1769"/>
      <c r="M36" s="1769"/>
    </row>
    <row r="37" spans="1:18" ht="18" customHeight="1">
      <c r="A37" s="758"/>
      <c r="B37" s="738"/>
      <c r="C37" s="3706"/>
      <c r="D37" s="759"/>
      <c r="E37" s="729" t="s">
        <v>621</v>
      </c>
      <c r="F37" s="730">
        <f ca="1">INDIRECT("'数据-取费表'!r"&amp;$G$1)</f>
        <v>0</v>
      </c>
      <c r="G37" s="1752"/>
      <c r="H37" s="1755"/>
      <c r="I37" s="4479"/>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-2.5</v>
      </c>
      <c r="K54" s="4484"/>
      <c r="L54" s="4485"/>
      <c r="O54" s="2057" t="s">
        <v>1740</v>
      </c>
      <c r="P54" s="2055" t="s">
        <v>1741</v>
      </c>
      <c r="Q54" s="2056">
        <f ca="1">J54</f>
        <v>-2.5</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xr:uid="{00000000-0002-0000-2C00-000000000000}">
      <formula1>项目类型</formula1>
    </dataValidation>
    <dataValidation type="list" allowBlank="1" showInputMessage="1" showErrorMessage="1" sqref="D35" xr:uid="{00000000-0002-0000-2C00-000001000000}">
      <formula1>"按租金收入计税,按房产原值计税,按票据"</formula1>
    </dataValidation>
    <dataValidation type="list" allowBlank="1" showInputMessage="1" showErrorMessage="1" sqref="K21" xr:uid="{00000000-0002-0000-2C00-000002000000}">
      <formula1>"按租金收入计税,按房产原值计税"</formula1>
    </dataValidation>
    <dataValidation type="list" allowBlank="1" showInputMessage="1" showErrorMessage="1" sqref="F12 M12" xr:uid="{00000000-0002-0000-2C00-000003000000}">
      <formula1>"押一,押二,押三,自定义"</formula1>
    </dataValidation>
    <dataValidation type="list" allowBlank="1" showInputMessage="1" showErrorMessage="1" sqref="J57" xr:uid="{00000000-0002-0000-2C00-000004000000}">
      <formula1>估价范围判定</formula1>
    </dataValidation>
    <dataValidation type="list" allowBlank="1" showInputMessage="1" showErrorMessage="1" sqref="J48" xr:uid="{00000000-0002-0000-2C00-000005000000}">
      <formula1>"钢,钢混,砖混"</formula1>
    </dataValidation>
    <dataValidation type="list" allowBlank="1" showInputMessage="1" showErrorMessage="1" sqref="J49" xr:uid="{00000000-0002-0000-2C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3303</v>
      </c>
      <c r="E1" s="2043" t="s">
        <v>1726</v>
      </c>
      <c r="F1" s="2044">
        <f ca="1">J53</f>
        <v>37.5</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0</v>
      </c>
      <c r="C2" s="2948"/>
      <c r="D2" s="2949"/>
      <c r="E2" s="2950"/>
      <c r="F2" s="2950"/>
      <c r="G2" s="2944"/>
      <c r="H2" s="1747"/>
      <c r="I2" s="1747"/>
      <c r="J2" s="1747"/>
      <c r="K2" s="1748"/>
      <c r="L2" s="1747"/>
      <c r="M2" s="1747"/>
    </row>
    <row r="3" spans="1:33" ht="18" customHeight="1" thickBot="1">
      <c r="A3" s="775" t="s">
        <v>1256</v>
      </c>
      <c r="B3" s="776">
        <f ca="1">IF(ISERROR(B2*10000/F43),0,ROUND(B2*10000/F43,0))</f>
        <v>0</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480" t="s">
        <v>1805</v>
      </c>
      <c r="C6" s="3711">
        <f ca="1">ROUND(F6*F8*F7*(1-F9)/10000,4)</f>
        <v>0</v>
      </c>
      <c r="D6" s="2108" t="s">
        <v>1804</v>
      </c>
      <c r="E6" s="729" t="s">
        <v>1267</v>
      </c>
      <c r="F6" s="730">
        <f ca="1">INDIRECT("'数据-取费表'!u"&amp;$G$1)</f>
        <v>0</v>
      </c>
      <c r="G6" s="1752"/>
      <c r="H6" s="2115" t="s">
        <v>1810</v>
      </c>
      <c r="I6" s="4480" t="s">
        <v>1805</v>
      </c>
      <c r="J6" s="728">
        <f ca="1">ROUND(M6*M8*M7*(1-M9)/10000,0)</f>
        <v>0</v>
      </c>
      <c r="K6" s="324" t="s">
        <v>1266</v>
      </c>
      <c r="L6" s="729" t="s">
        <v>1267</v>
      </c>
      <c r="M6" s="730">
        <f ca="1">INDIRECT("'数据-取费表'!z"&amp;$G$1)</f>
        <v>0</v>
      </c>
    </row>
    <row r="7" spans="1:33" ht="18" customHeight="1">
      <c r="A7" s="2111"/>
      <c r="B7" s="4481"/>
      <c r="C7" s="3714"/>
      <c r="D7" s="734"/>
      <c r="E7" s="729" t="s">
        <v>1268</v>
      </c>
      <c r="F7" s="730">
        <f ca="1">IF(INDIRECT("'数据-取费表'!ah"&amp;$G$1)="",INDIRECT("'数据-取费表'!k"&amp;$G$1),INDIRECT("'数据-取费表'!ah"&amp;$G$1))</f>
        <v>39</v>
      </c>
      <c r="G7" s="1752"/>
      <c r="H7" s="2100"/>
      <c r="I7" s="4481"/>
      <c r="J7" s="733"/>
      <c r="K7" s="734"/>
      <c r="L7" s="729" t="s">
        <v>1268</v>
      </c>
      <c r="M7" s="730">
        <f ca="1">F7</f>
        <v>39</v>
      </c>
    </row>
    <row r="8" spans="1:33" ht="18" customHeight="1">
      <c r="A8" s="2104"/>
      <c r="B8" s="4482"/>
      <c r="C8" s="3714"/>
      <c r="D8" s="734"/>
      <c r="E8" s="729" t="s">
        <v>1269</v>
      </c>
      <c r="F8" s="730">
        <f ca="1">INDIRECT("'数据-取费表'!ai"&amp;$G$1)</f>
        <v>365</v>
      </c>
      <c r="G8" s="1752"/>
      <c r="H8" s="2100"/>
      <c r="I8" s="4482"/>
      <c r="J8" s="733"/>
      <c r="K8" s="734"/>
      <c r="L8" s="729" t="s">
        <v>1269</v>
      </c>
      <c r="M8" s="730">
        <f ca="1">INDIRECT("'数据-取费表'!ai"&amp;$G$1)</f>
        <v>365</v>
      </c>
    </row>
    <row r="9" spans="1:33" ht="18" customHeight="1">
      <c r="A9" s="731"/>
      <c r="B9" s="4483"/>
      <c r="C9" s="3714"/>
      <c r="D9" s="734"/>
      <c r="E9" s="729" t="s">
        <v>1270</v>
      </c>
      <c r="F9" s="739">
        <f ca="1">INDIRECT("'数据-取费表'!w"&amp;$G$1)</f>
        <v>0</v>
      </c>
      <c r="G9" s="1752"/>
      <c r="H9" s="2116"/>
      <c r="I9" s="4482"/>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3333</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17.55</v>
      </c>
      <c r="D14" s="1700" t="s">
        <v>1274</v>
      </c>
      <c r="E14" s="1701"/>
      <c r="F14" s="749"/>
      <c r="G14" s="1752"/>
      <c r="H14" s="1425" t="s">
        <v>1359</v>
      </c>
      <c r="I14" s="1916" t="s">
        <v>2101</v>
      </c>
      <c r="J14" s="50">
        <f ca="1">C29</f>
        <v>28.722200000000001</v>
      </c>
      <c r="K14" s="23"/>
      <c r="L14" s="746"/>
      <c r="M14" s="747"/>
    </row>
    <row r="15" spans="1:33" s="1754" customFormat="1" ht="18" customHeight="1" thickBot="1">
      <c r="A15" s="1424" t="s">
        <v>1410</v>
      </c>
      <c r="B15" s="729" t="s">
        <v>595</v>
      </c>
      <c r="C15" s="3695">
        <f ca="1">ROUND(C14*F15,4)</f>
        <v>0.87749999999999995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1.17</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0.26329999999999998</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19.860800000000005</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0.5958</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v>
      </c>
      <c r="K22" s="2095" t="s">
        <v>1298</v>
      </c>
      <c r="L22" s="729" t="s">
        <v>1276</v>
      </c>
      <c r="M22" s="760">
        <f ca="1">INDIRECT("'数据-取费表'!Ak"&amp;$G$1)</f>
        <v>0</v>
      </c>
    </row>
    <row r="23" spans="1:33" s="1754" customFormat="1" ht="18" customHeight="1">
      <c r="A23" s="1424" t="s">
        <v>1360</v>
      </c>
      <c r="B23" s="729" t="s">
        <v>1816</v>
      </c>
      <c r="C23" s="3695">
        <f ca="1">ROUND(IF('数据-取费表'!B22&lt;=1,(C19+C20)*F24*F23/2,(C19+C20)*(POWER((1+F24),F23/2)-1)),4)</f>
        <v>1.2217</v>
      </c>
      <c r="D23" s="2151" t="str">
        <f>IF(F23&lt;=1,"(建造成本+管理费用)×利率×(建设周期÷2)","(建造成本+管理费用)×((1+利率)^(建设周期÷2)-1)")</f>
        <v>(建造成本+管理费用)×((1+利率)^(建设周期÷2)-1)</v>
      </c>
      <c r="E23" s="729" t="s">
        <v>1299</v>
      </c>
      <c r="F23" s="587">
        <f>'数据-取费表'!B20</f>
        <v>2.5</v>
      </c>
      <c r="G23" s="2945"/>
      <c r="H23" s="1425" t="s">
        <v>1415</v>
      </c>
      <c r="I23" s="729" t="s">
        <v>626</v>
      </c>
      <c r="J23" s="50">
        <f ca="1">ROUND(J13*M23,2)</f>
        <v>0</v>
      </c>
      <c r="K23" s="2095" t="s">
        <v>1300</v>
      </c>
      <c r="L23" s="729" t="s">
        <v>1276</v>
      </c>
      <c r="M23" s="761">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2.3999999999999998E-3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4.0913000000000004</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28.722200000000001</v>
      </c>
      <c r="D29" s="2127"/>
      <c r="E29" s="2128"/>
      <c r="F29" s="2129"/>
      <c r="G29" s="2945"/>
      <c r="H29" s="766" t="s">
        <v>1316</v>
      </c>
      <c r="I29" s="767" t="s">
        <v>1317</v>
      </c>
      <c r="J29" s="768">
        <f ca="1">ROUND(J26/(1+F40)^F41,0)</f>
        <v>0</v>
      </c>
      <c r="K29" s="769" t="s">
        <v>1318</v>
      </c>
      <c r="L29" s="770"/>
      <c r="M29" s="771">
        <f ca="1">INDIRECT("'数据-取费表'!k"&amp;$G$1)</f>
        <v>39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4.8999999999999998E-3</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4.8999999999999998E-3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4.8999999999999998E-3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32.5</v>
      </c>
      <c r="G35" s="1752"/>
      <c r="H35" s="1755"/>
      <c r="I35" s="779" t="s">
        <v>1343</v>
      </c>
      <c r="J35" s="780">
        <f ca="1">ROUND(C13*J36,0)</f>
        <v>0</v>
      </c>
      <c r="K35" s="1768"/>
      <c r="L35" s="1767"/>
      <c r="M35" s="1767"/>
    </row>
    <row r="36" spans="1:18" ht="18" customHeight="1">
      <c r="A36" s="1425" t="s">
        <v>1414</v>
      </c>
      <c r="B36" s="729" t="s">
        <v>1331</v>
      </c>
      <c r="C36" s="3695">
        <f ca="1">ROUND(C29*F36,4)</f>
        <v>0</v>
      </c>
      <c r="D36" s="1698" t="s">
        <v>1332</v>
      </c>
      <c r="E36" s="729" t="s">
        <v>1325</v>
      </c>
      <c r="F36" s="760">
        <f ca="1">INDIRECT("'数据-取费表'!Ak"&amp;$G$1)</f>
        <v>0</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0</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v>
      </c>
      <c r="G38" s="1752"/>
      <c r="H38" s="1767"/>
      <c r="I38" s="785" t="s">
        <v>1346</v>
      </c>
      <c r="J38" s="786"/>
      <c r="K38" s="1772"/>
      <c r="L38" s="1767"/>
      <c r="M38" s="1767"/>
    </row>
    <row r="39" spans="1:18" ht="24.6" customHeight="1" thickTop="1">
      <c r="A39" s="1583" t="s">
        <v>1419</v>
      </c>
      <c r="B39" s="2432" t="s">
        <v>2097</v>
      </c>
      <c r="C39" s="3701">
        <f ca="1">C5-C30</f>
        <v>-4.8999999999999998E-3</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0</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0</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t="e">
        <f ca="1">ROUND(C13/C40,3)</f>
        <v>#DIV/0!</v>
      </c>
      <c r="K42" s="1771"/>
      <c r="L42" s="1707"/>
      <c r="M42" s="1707"/>
    </row>
    <row r="43" spans="1:18" ht="18" customHeight="1" thickBot="1">
      <c r="A43" s="766" t="s">
        <v>1316</v>
      </c>
      <c r="B43" s="767" t="s">
        <v>1339</v>
      </c>
      <c r="C43" s="3715">
        <f ca="1">ROUND(C40*10000/F43,0)</f>
        <v>0</v>
      </c>
      <c r="D43" s="769" t="s">
        <v>1340</v>
      </c>
      <c r="E43" s="770" t="s">
        <v>1341</v>
      </c>
      <c r="F43" s="771">
        <f ca="1">INDIRECT("'数据-取费表'!k"&amp;$G$1)</f>
        <v>39</v>
      </c>
      <c r="G43" s="1752"/>
      <c r="H43" s="1707"/>
      <c r="I43" s="789" t="s">
        <v>1351</v>
      </c>
      <c r="J43" s="790" t="e">
        <f ca="1">1-J42</f>
        <v>#DIV/0!</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0</v>
      </c>
      <c r="R48" s="2055" t="s">
        <v>1732</v>
      </c>
    </row>
    <row r="49" spans="1:18" s="1749" customFormat="1" ht="18" customHeight="1" thickBot="1">
      <c r="A49" s="731"/>
      <c r="B49" s="732"/>
      <c r="C49" s="733"/>
      <c r="D49" s="734"/>
      <c r="E49" s="729" t="s">
        <v>1268</v>
      </c>
      <c r="F49" s="730">
        <f ca="1">F7</f>
        <v>39</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28.722200000000001</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37.5</v>
      </c>
      <c r="K53" s="4486" t="s">
        <v>2220</v>
      </c>
      <c r="L53" s="4487"/>
      <c r="M53" s="2947"/>
      <c r="O53" s="2057" t="s">
        <v>1740</v>
      </c>
      <c r="P53" s="2055" t="s">
        <v>1741</v>
      </c>
      <c r="Q53" s="2056">
        <f ca="1">J53</f>
        <v>37.5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28.722200000000001</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2209" t="s">
        <v>1332</v>
      </c>
      <c r="E63" s="729" t="s">
        <v>1276</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2209" t="s">
        <v>627</v>
      </c>
      <c r="E64" s="729" t="s">
        <v>1276</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39</v>
      </c>
      <c r="O70" s="2057" t="s">
        <v>1751</v>
      </c>
      <c r="P70" s="2063" t="s">
        <v>1752</v>
      </c>
      <c r="Q70" s="2056">
        <f ca="1">C39</f>
        <v>-4.8999999999999998E-3</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xr:uid="{00000000-0002-0000-2D00-000000000000}">
      <formula1>项目类型</formula1>
    </dataValidation>
    <dataValidation type="list" allowBlank="1" showInputMessage="1" showErrorMessage="1" sqref="K19" xr:uid="{00000000-0002-0000-2D00-000001000000}">
      <formula1>"按租金收入计税,按房产原值计税"</formula1>
    </dataValidation>
    <dataValidation type="list" allowBlank="1" showInputMessage="1" showErrorMessage="1" sqref="D33" xr:uid="{00000000-0002-0000-2D00-000002000000}">
      <formula1>"按租金收入计税,按房产原值计税,按票据"</formula1>
    </dataValidation>
    <dataValidation type="list" allowBlank="1" showInputMessage="1" showErrorMessage="1" sqref="J56" xr:uid="{00000000-0002-0000-2D00-000003000000}">
      <formula1>估价范围判定</formula1>
    </dataValidation>
    <dataValidation type="list" allowBlank="1" showInputMessage="1" showErrorMessage="1" sqref="J47" xr:uid="{00000000-0002-0000-2D00-000004000000}">
      <formula1>"钢,钢混,砖混"</formula1>
    </dataValidation>
    <dataValidation type="list" allowBlank="1" showInputMessage="1" showErrorMessage="1" sqref="J48" xr:uid="{00000000-0002-0000-2D00-000005000000}">
      <formula1>"非生产用房,生产用房,受腐蚀的生产用房"</formula1>
    </dataValidation>
    <dataValidation type="list" allowBlank="1" showInputMessage="1" showErrorMessage="1" sqref="F10 M10 F52" xr:uid="{00000000-0002-0000-2D00-000006000000}">
      <formula1>"押一,押二,押三,自定义"</formula1>
    </dataValidation>
    <dataValidation type="list" allowBlank="1" showInputMessage="1" showErrorMessage="1" sqref="D1" xr:uid="{00000000-0002-0000-2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625" style="3167" customWidth="1"/>
    <col min="11" max="11" width="11.625" style="3167" customWidth="1"/>
    <col min="12" max="13" width="10.62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625" style="3006" customWidth="1"/>
    <col min="267" max="267" width="11.625" style="3006" customWidth="1"/>
    <col min="268" max="269" width="10.62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625" style="3006" customWidth="1"/>
    <col min="523" max="523" width="11.625" style="3006" customWidth="1"/>
    <col min="524" max="525" width="10.62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625" style="3006" customWidth="1"/>
    <col min="779" max="779" width="11.625" style="3006" customWidth="1"/>
    <col min="780" max="781" width="10.62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625" style="3006" customWidth="1"/>
    <col min="1035" max="1035" width="11.625" style="3006" customWidth="1"/>
    <col min="1036" max="1037" width="10.62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625" style="3006" customWidth="1"/>
    <col min="1291" max="1291" width="11.625" style="3006" customWidth="1"/>
    <col min="1292" max="1293" width="10.62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625" style="3006" customWidth="1"/>
    <col min="1547" max="1547" width="11.625" style="3006" customWidth="1"/>
    <col min="1548" max="1549" width="10.62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625" style="3006" customWidth="1"/>
    <col min="1803" max="1803" width="11.625" style="3006" customWidth="1"/>
    <col min="1804" max="1805" width="10.62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625" style="3006" customWidth="1"/>
    <col min="2059" max="2059" width="11.625" style="3006" customWidth="1"/>
    <col min="2060" max="2061" width="10.62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625" style="3006" customWidth="1"/>
    <col min="2315" max="2315" width="11.625" style="3006" customWidth="1"/>
    <col min="2316" max="2317" width="10.62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625" style="3006" customWidth="1"/>
    <col min="2571" max="2571" width="11.625" style="3006" customWidth="1"/>
    <col min="2572" max="2573" width="10.62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625" style="3006" customWidth="1"/>
    <col min="2827" max="2827" width="11.625" style="3006" customWidth="1"/>
    <col min="2828" max="2829" width="10.62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625" style="3006" customWidth="1"/>
    <col min="3083" max="3083" width="11.625" style="3006" customWidth="1"/>
    <col min="3084" max="3085" width="10.62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625" style="3006" customWidth="1"/>
    <col min="3339" max="3339" width="11.625" style="3006" customWidth="1"/>
    <col min="3340" max="3341" width="10.62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625" style="3006" customWidth="1"/>
    <col min="3595" max="3595" width="11.625" style="3006" customWidth="1"/>
    <col min="3596" max="3597" width="10.62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625" style="3006" customWidth="1"/>
    <col min="3851" max="3851" width="11.625" style="3006" customWidth="1"/>
    <col min="3852" max="3853" width="10.62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625" style="3006" customWidth="1"/>
    <col min="4107" max="4107" width="11.625" style="3006" customWidth="1"/>
    <col min="4108" max="4109" width="10.62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625" style="3006" customWidth="1"/>
    <col min="4363" max="4363" width="11.625" style="3006" customWidth="1"/>
    <col min="4364" max="4365" width="10.62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625" style="3006" customWidth="1"/>
    <col min="4619" max="4619" width="11.625" style="3006" customWidth="1"/>
    <col min="4620" max="4621" width="10.62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625" style="3006" customWidth="1"/>
    <col min="4875" max="4875" width="11.625" style="3006" customWidth="1"/>
    <col min="4876" max="4877" width="10.62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625" style="3006" customWidth="1"/>
    <col min="5131" max="5131" width="11.625" style="3006" customWidth="1"/>
    <col min="5132" max="5133" width="10.62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625" style="3006" customWidth="1"/>
    <col min="5387" max="5387" width="11.625" style="3006" customWidth="1"/>
    <col min="5388" max="5389" width="10.62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625" style="3006" customWidth="1"/>
    <col min="5643" max="5643" width="11.625" style="3006" customWidth="1"/>
    <col min="5644" max="5645" width="10.62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625" style="3006" customWidth="1"/>
    <col min="5899" max="5899" width="11.625" style="3006" customWidth="1"/>
    <col min="5900" max="5901" width="10.62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625" style="3006" customWidth="1"/>
    <col min="6155" max="6155" width="11.625" style="3006" customWidth="1"/>
    <col min="6156" max="6157" width="10.62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625" style="3006" customWidth="1"/>
    <col min="6411" max="6411" width="11.625" style="3006" customWidth="1"/>
    <col min="6412" max="6413" width="10.62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625" style="3006" customWidth="1"/>
    <col min="6667" max="6667" width="11.625" style="3006" customWidth="1"/>
    <col min="6668" max="6669" width="10.62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625" style="3006" customWidth="1"/>
    <col min="6923" max="6923" width="11.625" style="3006" customWidth="1"/>
    <col min="6924" max="6925" width="10.62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625" style="3006" customWidth="1"/>
    <col min="7179" max="7179" width="11.625" style="3006" customWidth="1"/>
    <col min="7180" max="7181" width="10.62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625" style="3006" customWidth="1"/>
    <col min="7435" max="7435" width="11.625" style="3006" customWidth="1"/>
    <col min="7436" max="7437" width="10.62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625" style="3006" customWidth="1"/>
    <col min="7691" max="7691" width="11.625" style="3006" customWidth="1"/>
    <col min="7692" max="7693" width="10.62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625" style="3006" customWidth="1"/>
    <col min="7947" max="7947" width="11.625" style="3006" customWidth="1"/>
    <col min="7948" max="7949" width="10.62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625" style="3006" customWidth="1"/>
    <col min="8203" max="8203" width="11.625" style="3006" customWidth="1"/>
    <col min="8204" max="8205" width="10.62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625" style="3006" customWidth="1"/>
    <col min="8459" max="8459" width="11.625" style="3006" customWidth="1"/>
    <col min="8460" max="8461" width="10.62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625" style="3006" customWidth="1"/>
    <col min="8715" max="8715" width="11.625" style="3006" customWidth="1"/>
    <col min="8716" max="8717" width="10.62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625" style="3006" customWidth="1"/>
    <col min="8971" max="8971" width="11.625" style="3006" customWidth="1"/>
    <col min="8972" max="8973" width="10.62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625" style="3006" customWidth="1"/>
    <col min="9227" max="9227" width="11.625" style="3006" customWidth="1"/>
    <col min="9228" max="9229" width="10.62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625" style="3006" customWidth="1"/>
    <col min="9483" max="9483" width="11.625" style="3006" customWidth="1"/>
    <col min="9484" max="9485" width="10.62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625" style="3006" customWidth="1"/>
    <col min="9739" max="9739" width="11.625" style="3006" customWidth="1"/>
    <col min="9740" max="9741" width="10.62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625" style="3006" customWidth="1"/>
    <col min="9995" max="9995" width="11.625" style="3006" customWidth="1"/>
    <col min="9996" max="9997" width="10.62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625" style="3006" customWidth="1"/>
    <col min="10251" max="10251" width="11.625" style="3006" customWidth="1"/>
    <col min="10252" max="10253" width="10.62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625" style="3006" customWidth="1"/>
    <col min="10507" max="10507" width="11.625" style="3006" customWidth="1"/>
    <col min="10508" max="10509" width="10.62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625" style="3006" customWidth="1"/>
    <col min="10763" max="10763" width="11.625" style="3006" customWidth="1"/>
    <col min="10764" max="10765" width="10.62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625" style="3006" customWidth="1"/>
    <col min="11019" max="11019" width="11.625" style="3006" customWidth="1"/>
    <col min="11020" max="11021" width="10.62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625" style="3006" customWidth="1"/>
    <col min="11275" max="11275" width="11.625" style="3006" customWidth="1"/>
    <col min="11276" max="11277" width="10.62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625" style="3006" customWidth="1"/>
    <col min="11531" max="11531" width="11.625" style="3006" customWidth="1"/>
    <col min="11532" max="11533" width="10.62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625" style="3006" customWidth="1"/>
    <col min="11787" max="11787" width="11.625" style="3006" customWidth="1"/>
    <col min="11788" max="11789" width="10.62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625" style="3006" customWidth="1"/>
    <col min="12043" max="12043" width="11.625" style="3006" customWidth="1"/>
    <col min="12044" max="12045" width="10.62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625" style="3006" customWidth="1"/>
    <col min="12299" max="12299" width="11.625" style="3006" customWidth="1"/>
    <col min="12300" max="12301" width="10.62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625" style="3006" customWidth="1"/>
    <col min="12555" max="12555" width="11.625" style="3006" customWidth="1"/>
    <col min="12556" max="12557" width="10.62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625" style="3006" customWidth="1"/>
    <col min="12811" max="12811" width="11.625" style="3006" customWidth="1"/>
    <col min="12812" max="12813" width="10.62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625" style="3006" customWidth="1"/>
    <col min="13067" max="13067" width="11.625" style="3006" customWidth="1"/>
    <col min="13068" max="13069" width="10.62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625" style="3006" customWidth="1"/>
    <col min="13323" max="13323" width="11.625" style="3006" customWidth="1"/>
    <col min="13324" max="13325" width="10.62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625" style="3006" customWidth="1"/>
    <col min="13579" max="13579" width="11.625" style="3006" customWidth="1"/>
    <col min="13580" max="13581" width="10.62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625" style="3006" customWidth="1"/>
    <col min="13835" max="13835" width="11.625" style="3006" customWidth="1"/>
    <col min="13836" max="13837" width="10.62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625" style="3006" customWidth="1"/>
    <col min="14091" max="14091" width="11.625" style="3006" customWidth="1"/>
    <col min="14092" max="14093" width="10.62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625" style="3006" customWidth="1"/>
    <col min="14347" max="14347" width="11.625" style="3006" customWidth="1"/>
    <col min="14348" max="14349" width="10.62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625" style="3006" customWidth="1"/>
    <col min="14603" max="14603" width="11.625" style="3006" customWidth="1"/>
    <col min="14604" max="14605" width="10.62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625" style="3006" customWidth="1"/>
    <col min="14859" max="14859" width="11.625" style="3006" customWidth="1"/>
    <col min="14860" max="14861" width="10.62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625" style="3006" customWidth="1"/>
    <col min="15115" max="15115" width="11.625" style="3006" customWidth="1"/>
    <col min="15116" max="15117" width="10.62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625" style="3006" customWidth="1"/>
    <col min="15371" max="15371" width="11.625" style="3006" customWidth="1"/>
    <col min="15372" max="15373" width="10.62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625" style="3006" customWidth="1"/>
    <col min="15627" max="15627" width="11.625" style="3006" customWidth="1"/>
    <col min="15628" max="15629" width="10.62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625" style="3006" customWidth="1"/>
    <col min="15883" max="15883" width="11.625" style="3006" customWidth="1"/>
    <col min="15884" max="15885" width="10.62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625" style="3006" customWidth="1"/>
    <col min="16139" max="16139" width="11.625" style="3006" customWidth="1"/>
    <col min="16140" max="16141" width="10.62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35" customHeight="1">
      <c r="A2" s="3007" t="s">
        <v>2294</v>
      </c>
      <c r="B2" s="3008" t="e">
        <f>C40</f>
        <v>#DIV/0!</v>
      </c>
      <c r="C2" s="3009" t="s">
        <v>2295</v>
      </c>
      <c r="D2" s="3009"/>
      <c r="E2" s="3010"/>
      <c r="F2" s="3011"/>
      <c r="G2" s="3012"/>
      <c r="H2" s="3013"/>
      <c r="I2" s="3014"/>
      <c r="J2" s="4494" t="s">
        <v>2296</v>
      </c>
      <c r="K2" s="4495"/>
      <c r="L2" s="3015" t="s">
        <v>2297</v>
      </c>
      <c r="M2" s="3015" t="s">
        <v>2298</v>
      </c>
      <c r="N2" s="3015" t="s">
        <v>2299</v>
      </c>
      <c r="O2" s="3015" t="s">
        <v>2300</v>
      </c>
      <c r="P2" s="3015" t="s">
        <v>2301</v>
      </c>
      <c r="Q2" s="3016" t="s">
        <v>2302</v>
      </c>
      <c r="R2" s="3017" t="s">
        <v>2303</v>
      </c>
      <c r="S2" s="3005"/>
      <c r="T2" s="3005"/>
      <c r="U2" s="3005"/>
      <c r="V2" s="3014"/>
    </row>
    <row r="3" spans="1:22" s="3018" customFormat="1" ht="13.35" customHeight="1">
      <c r="A3" s="3019" t="s">
        <v>2304</v>
      </c>
      <c r="B3" s="3020" t="e">
        <f>ROUND(B2*10000/B4,0)</f>
        <v>#DIV/0!</v>
      </c>
      <c r="C3" s="3009" t="s">
        <v>2305</v>
      </c>
      <c r="D3" s="3009"/>
      <c r="E3" s="3010"/>
      <c r="F3" s="3011"/>
      <c r="G3" s="3012"/>
      <c r="H3" s="3013"/>
      <c r="I3" s="3014"/>
      <c r="J3" s="4496" t="s">
        <v>2306</v>
      </c>
      <c r="K3" s="4497"/>
      <c r="L3" s="3021"/>
      <c r="M3" s="3021"/>
      <c r="N3" s="3021"/>
      <c r="O3" s="3021"/>
      <c r="P3" s="3021"/>
      <c r="Q3" s="3022"/>
      <c r="R3" s="3023">
        <f>SUM(L3:Q3)</f>
        <v>0</v>
      </c>
      <c r="S3" s="3005"/>
      <c r="T3" s="3005"/>
      <c r="U3" s="3005"/>
      <c r="V3" s="3014"/>
    </row>
    <row r="4" spans="1:22" s="3018" customFormat="1" ht="13.35" customHeight="1">
      <c r="A4" s="3024" t="s">
        <v>2307</v>
      </c>
      <c r="B4" s="3025"/>
      <c r="C4" s="3009"/>
      <c r="D4" s="3009"/>
      <c r="E4" s="3010"/>
      <c r="F4" s="3011"/>
      <c r="G4" s="3012"/>
      <c r="H4" s="3013"/>
      <c r="I4" s="3014"/>
      <c r="J4" s="4496" t="s">
        <v>2308</v>
      </c>
      <c r="K4" s="4497"/>
      <c r="L4" s="3026"/>
      <c r="M4" s="3026"/>
      <c r="N4" s="3026"/>
      <c r="O4" s="3026"/>
      <c r="P4" s="3026"/>
      <c r="Q4" s="3027"/>
      <c r="R4" s="3028">
        <f>SUM(L4:Q4)</f>
        <v>0</v>
      </c>
      <c r="S4" s="3005"/>
      <c r="T4" s="3005"/>
      <c r="U4" s="3005"/>
      <c r="V4" s="3014"/>
    </row>
    <row r="5" spans="1:22" s="3018" customFormat="1" ht="13.3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35" customHeight="1" thickBot="1">
      <c r="A6" s="4502" t="s">
        <v>2312</v>
      </c>
      <c r="B6" s="4503"/>
      <c r="C6" s="4504"/>
      <c r="D6" s="3035"/>
      <c r="E6" s="3036"/>
      <c r="F6" s="3037"/>
      <c r="G6" s="3038"/>
      <c r="H6" s="3013"/>
      <c r="I6" s="3014"/>
      <c r="J6" s="4488">
        <v>1</v>
      </c>
      <c r="K6" s="4489"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35" customHeight="1">
      <c r="A7" s="3041" t="s">
        <v>2322</v>
      </c>
      <c r="B7" s="3042"/>
      <c r="C7" s="3043"/>
      <c r="D7" s="3044">
        <f>SUM(D9,D10,D11,D17,0)</f>
        <v>0</v>
      </c>
      <c r="E7" s="3045" t="e">
        <f>E9+E10+E11+E17</f>
        <v>#DIV/0!</v>
      </c>
      <c r="F7" s="3046"/>
      <c r="G7" s="3047"/>
      <c r="H7" s="3013"/>
      <c r="I7" s="3014"/>
      <c r="J7" s="4488"/>
      <c r="K7" s="4490"/>
      <c r="L7" s="3048" t="s">
        <v>2323</v>
      </c>
      <c r="M7" s="3049"/>
      <c r="N7" s="3025"/>
      <c r="O7" s="3050"/>
      <c r="P7" s="3050"/>
      <c r="Q7" s="3051">
        <v>365</v>
      </c>
      <c r="R7" s="3052">
        <f>ROUND(M7*N7*O7*P7*Q7/10000,0)</f>
        <v>0</v>
      </c>
      <c r="S7" s="3005"/>
      <c r="T7" s="3005" t="s">
        <v>2324</v>
      </c>
      <c r="U7" s="3005"/>
      <c r="V7" s="3014"/>
    </row>
    <row r="8" spans="1:22" s="3018" customFormat="1" ht="13.35" customHeight="1">
      <c r="A8" s="3053" t="s">
        <v>2325</v>
      </c>
      <c r="B8" s="4505" t="s">
        <v>2326</v>
      </c>
      <c r="C8" s="4506"/>
      <c r="D8" s="3054" t="s">
        <v>2327</v>
      </c>
      <c r="E8" s="3055" t="s">
        <v>2328</v>
      </c>
      <c r="F8" s="3056" t="s">
        <v>2329</v>
      </c>
      <c r="G8" s="3057"/>
      <c r="H8" s="3013"/>
      <c r="I8" s="3014"/>
      <c r="J8" s="4488"/>
      <c r="K8" s="4490"/>
      <c r="L8" s="3048" t="s">
        <v>2330</v>
      </c>
      <c r="M8" s="3049"/>
      <c r="N8" s="3025"/>
      <c r="O8" s="3050"/>
      <c r="P8" s="3050"/>
      <c r="Q8" s="3051">
        <v>365</v>
      </c>
      <c r="R8" s="3052">
        <f t="shared" ref="R8:R13" si="0">ROUND(M8*N8*O8*P8*Q8/10000,0)</f>
        <v>0</v>
      </c>
      <c r="S8" s="3005"/>
      <c r="T8" s="3005" t="s">
        <v>2331</v>
      </c>
      <c r="U8" s="3005"/>
      <c r="V8" s="3014"/>
    </row>
    <row r="9" spans="1:22" s="3018" customFormat="1" ht="13.35" customHeight="1">
      <c r="A9" s="3053">
        <v>1</v>
      </c>
      <c r="B9" s="4505" t="s">
        <v>2332</v>
      </c>
      <c r="C9" s="4506"/>
      <c r="D9" s="3054">
        <f>ROUND(D6*E9,0)</f>
        <v>0</v>
      </c>
      <c r="E9" s="3058"/>
      <c r="F9" s="3059" t="s">
        <v>2333</v>
      </c>
      <c r="G9" s="3038"/>
      <c r="H9" s="3013"/>
      <c r="I9" s="3014"/>
      <c r="J9" s="4488"/>
      <c r="K9" s="4490"/>
      <c r="L9" s="3048" t="s">
        <v>2334</v>
      </c>
      <c r="M9" s="3049"/>
      <c r="N9" s="3025"/>
      <c r="O9" s="3050"/>
      <c r="P9" s="3050"/>
      <c r="Q9" s="3051">
        <v>365</v>
      </c>
      <c r="R9" s="3052">
        <f t="shared" si="0"/>
        <v>0</v>
      </c>
      <c r="S9" s="3005"/>
      <c r="T9" s="3005"/>
      <c r="U9" s="3005"/>
      <c r="V9" s="3014"/>
    </row>
    <row r="10" spans="1:22" s="3018" customFormat="1" ht="13.35" customHeight="1">
      <c r="A10" s="3053">
        <v>2</v>
      </c>
      <c r="B10" s="4505" t="s">
        <v>2335</v>
      </c>
      <c r="C10" s="4506"/>
      <c r="D10" s="3054">
        <f>ROUND(D6*E10,0)</f>
        <v>0</v>
      </c>
      <c r="E10" s="3058"/>
      <c r="F10" s="3059" t="s">
        <v>2336</v>
      </c>
      <c r="G10" s="3038"/>
      <c r="H10" s="3013"/>
      <c r="I10" s="3014"/>
      <c r="J10" s="4488"/>
      <c r="K10" s="4490"/>
      <c r="L10" s="3048" t="s">
        <v>2337</v>
      </c>
      <c r="M10" s="3049"/>
      <c r="N10" s="3025"/>
      <c r="O10" s="3050"/>
      <c r="P10" s="3050"/>
      <c r="Q10" s="3051">
        <v>365</v>
      </c>
      <c r="R10" s="3052">
        <f t="shared" si="0"/>
        <v>0</v>
      </c>
      <c r="S10" s="3005"/>
      <c r="T10" s="3005"/>
      <c r="U10" s="3005"/>
      <c r="V10" s="3014"/>
    </row>
    <row r="11" spans="1:22" s="3018" customFormat="1" ht="13.35" customHeight="1">
      <c r="A11" s="3053">
        <v>3</v>
      </c>
      <c r="B11" s="4505" t="s">
        <v>2338</v>
      </c>
      <c r="C11" s="4506"/>
      <c r="D11" s="3054">
        <f>D12+D14+D15+D16</f>
        <v>0</v>
      </c>
      <c r="E11" s="3060" t="e">
        <f>D11/D6</f>
        <v>#DIV/0!</v>
      </c>
      <c r="F11" s="3056"/>
      <c r="G11" s="3057"/>
      <c r="H11" s="3013"/>
      <c r="I11" s="3014"/>
      <c r="J11" s="4488"/>
      <c r="K11" s="4490"/>
      <c r="L11" s="3048" t="s">
        <v>2339</v>
      </c>
      <c r="M11" s="3049"/>
      <c r="N11" s="3025"/>
      <c r="O11" s="3050"/>
      <c r="P11" s="3050"/>
      <c r="Q11" s="3051">
        <v>365</v>
      </c>
      <c r="R11" s="3052">
        <f t="shared" si="0"/>
        <v>0</v>
      </c>
      <c r="S11" s="3005"/>
      <c r="T11" s="3005"/>
      <c r="U11" s="3005"/>
      <c r="V11" s="3014"/>
    </row>
    <row r="12" spans="1:22" s="3018" customFormat="1" ht="13.35" customHeight="1">
      <c r="A12" s="3061" t="s">
        <v>2340</v>
      </c>
      <c r="B12" s="4498" t="s">
        <v>2341</v>
      </c>
      <c r="C12" s="4499"/>
      <c r="D12" s="3062">
        <f>ROUND(D13*1.2%*(1-30%),0)</f>
        <v>0</v>
      </c>
      <c r="E12" s="3063">
        <v>1.2E-2</v>
      </c>
      <c r="F12" s="3056" t="s">
        <v>2342</v>
      </c>
      <c r="G12" s="3057"/>
      <c r="H12" s="3013"/>
      <c r="I12" s="3014"/>
      <c r="J12" s="4488"/>
      <c r="K12" s="4490"/>
      <c r="L12" s="3048" t="s">
        <v>2343</v>
      </c>
      <c r="M12" s="3049"/>
      <c r="N12" s="3025"/>
      <c r="O12" s="3050"/>
      <c r="P12" s="3050"/>
      <c r="Q12" s="3051">
        <v>365</v>
      </c>
      <c r="R12" s="3052">
        <f t="shared" si="0"/>
        <v>0</v>
      </c>
      <c r="S12" s="3005"/>
      <c r="T12" s="3005"/>
      <c r="U12" s="3005"/>
      <c r="V12" s="3014"/>
    </row>
    <row r="13" spans="1:22" s="3018" customFormat="1" ht="13.35" customHeight="1">
      <c r="A13" s="3061"/>
      <c r="B13" s="3064"/>
      <c r="C13" s="3065" t="s">
        <v>2344</v>
      </c>
      <c r="D13" s="3066"/>
      <c r="E13" s="3067"/>
      <c r="F13" s="3056"/>
      <c r="G13" s="3057"/>
      <c r="H13" s="3013"/>
      <c r="I13" s="3014"/>
      <c r="J13" s="4488"/>
      <c r="K13" s="4490"/>
      <c r="L13" s="3048" t="s">
        <v>2345</v>
      </c>
      <c r="M13" s="3049"/>
      <c r="N13" s="3025"/>
      <c r="O13" s="3050"/>
      <c r="P13" s="3050"/>
      <c r="Q13" s="3051">
        <v>365</v>
      </c>
      <c r="R13" s="3052">
        <f t="shared" si="0"/>
        <v>0</v>
      </c>
      <c r="S13" s="3005"/>
      <c r="T13" s="3005"/>
      <c r="U13" s="3005"/>
      <c r="V13" s="3014"/>
    </row>
    <row r="14" spans="1:22" s="3018" customFormat="1" ht="13.35" customHeight="1">
      <c r="A14" s="3061" t="s">
        <v>2346</v>
      </c>
      <c r="B14" s="4498" t="s">
        <v>2347</v>
      </c>
      <c r="C14" s="4499"/>
      <c r="D14" s="3062">
        <f>ROUND(E14*B5/10000,0)</f>
        <v>0</v>
      </c>
      <c r="E14" s="3051"/>
      <c r="F14" s="3056" t="s">
        <v>2348</v>
      </c>
      <c r="G14" s="3057"/>
      <c r="H14" s="3013"/>
      <c r="I14" s="3014"/>
      <c r="J14" s="4488"/>
      <c r="K14" s="4491"/>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35" customHeight="1">
      <c r="A15" s="3061" t="s">
        <v>2350</v>
      </c>
      <c r="B15" s="4498" t="s">
        <v>2351</v>
      </c>
      <c r="C15" s="4499"/>
      <c r="D15" s="3062">
        <f>ROUND(D6*E15,0)</f>
        <v>0</v>
      </c>
      <c r="E15" s="3063">
        <v>5.5E-2</v>
      </c>
      <c r="F15" s="3056" t="s">
        <v>2352</v>
      </c>
      <c r="G15" s="3038"/>
      <c r="H15" s="3013"/>
      <c r="I15" s="3014"/>
      <c r="J15" s="4488">
        <v>2</v>
      </c>
      <c r="K15" s="4489"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35" customHeight="1">
      <c r="A16" s="3061" t="s">
        <v>2361</v>
      </c>
      <c r="B16" s="4498" t="s">
        <v>2362</v>
      </c>
      <c r="C16" s="4499"/>
      <c r="D16" s="3073">
        <f>D6*E16</f>
        <v>0</v>
      </c>
      <c r="E16" s="3074"/>
      <c r="F16" s="3059" t="s">
        <v>2363</v>
      </c>
      <c r="G16" s="3038"/>
      <c r="H16" s="3013"/>
      <c r="I16" s="3014"/>
      <c r="J16" s="4488"/>
      <c r="K16" s="4490"/>
      <c r="L16" s="3048" t="s">
        <v>2364</v>
      </c>
      <c r="M16" s="3049"/>
      <c r="N16" s="3049"/>
      <c r="O16" s="3050"/>
      <c r="P16" s="3051">
        <v>365</v>
      </c>
      <c r="Q16" s="3025"/>
      <c r="R16" s="3072">
        <f>ROUND(M16*N16*O16*P16/10000,0)</f>
        <v>0</v>
      </c>
      <c r="S16" s="3005"/>
      <c r="T16" s="3005"/>
      <c r="U16" s="3005"/>
      <c r="V16" s="3014"/>
    </row>
    <row r="17" spans="1:22" s="3018" customFormat="1" ht="13.35" customHeight="1" thickBot="1">
      <c r="A17" s="3075">
        <v>4</v>
      </c>
      <c r="B17" s="4500" t="s">
        <v>2365</v>
      </c>
      <c r="C17" s="4501"/>
      <c r="D17" s="3076">
        <f>ROUND(D6*E17,0)</f>
        <v>0</v>
      </c>
      <c r="E17" s="3077"/>
      <c r="F17" s="3078" t="s">
        <v>2366</v>
      </c>
      <c r="G17" s="3038"/>
      <c r="H17" s="3013"/>
      <c r="I17" s="3014"/>
      <c r="J17" s="4488"/>
      <c r="K17" s="4490"/>
      <c r="L17" s="3048" t="s">
        <v>2367</v>
      </c>
      <c r="M17" s="3049"/>
      <c r="N17" s="3049"/>
      <c r="O17" s="3050"/>
      <c r="P17" s="3051">
        <v>365</v>
      </c>
      <c r="Q17" s="3025"/>
      <c r="R17" s="3072">
        <f>ROUND(M17*N17*O17*P17/10000,0)</f>
        <v>0</v>
      </c>
      <c r="S17" s="3005"/>
      <c r="T17" s="3005"/>
      <c r="U17" s="3005"/>
      <c r="V17" s="3014"/>
    </row>
    <row r="18" spans="1:22" s="3018" customFormat="1" ht="13.35" customHeight="1" thickBot="1">
      <c r="A18" s="3041" t="s">
        <v>2368</v>
      </c>
      <c r="B18" s="3042"/>
      <c r="C18" s="3042"/>
      <c r="D18" s="3079">
        <f>ROUND(D6*E18,0)</f>
        <v>0</v>
      </c>
      <c r="E18" s="3080"/>
      <c r="F18" s="3081" t="s">
        <v>2369</v>
      </c>
      <c r="G18" s="3038"/>
      <c r="H18" s="3013"/>
      <c r="I18" s="3014"/>
      <c r="J18" s="4488"/>
      <c r="K18" s="4490"/>
      <c r="L18" s="3048" t="s">
        <v>2370</v>
      </c>
      <c r="M18" s="3049"/>
      <c r="N18" s="3049"/>
      <c r="O18" s="3050"/>
      <c r="P18" s="3051">
        <v>365</v>
      </c>
      <c r="Q18" s="3025"/>
      <c r="R18" s="3072">
        <f>ROUND(M18*N18*O18*P18/10000,0)</f>
        <v>0</v>
      </c>
      <c r="S18" s="3005"/>
      <c r="T18" s="3005"/>
      <c r="U18" s="3005"/>
      <c r="V18" s="3014"/>
    </row>
    <row r="19" spans="1:22" s="3018" customFormat="1" ht="13.35" customHeight="1" thickBot="1">
      <c r="A19" s="3082" t="s">
        <v>2371</v>
      </c>
      <c r="B19" s="3036"/>
      <c r="C19" s="3036"/>
      <c r="D19" s="3036"/>
      <c r="E19" s="3036"/>
      <c r="F19" s="3037"/>
      <c r="G19" s="3057"/>
      <c r="H19" s="3013"/>
      <c r="I19" s="3014"/>
      <c r="J19" s="4488"/>
      <c r="K19" s="4491"/>
      <c r="L19" s="3068" t="s">
        <v>2349</v>
      </c>
      <c r="M19" s="3069"/>
      <c r="N19" s="3069">
        <f>SUM(N16:N18)</f>
        <v>0</v>
      </c>
      <c r="O19" s="3070"/>
      <c r="P19" s="3083" t="s">
        <v>2437</v>
      </c>
      <c r="Q19" s="3050"/>
      <c r="R19" s="3084">
        <f>ROUND(IF(P19="按比例",R14*Q19,SUM(R16:R18)),0)</f>
        <v>0</v>
      </c>
      <c r="S19" s="3005"/>
      <c r="T19" s="3005"/>
      <c r="U19" s="3005"/>
      <c r="V19" s="3014"/>
    </row>
    <row r="20" spans="1:22" s="3018" customFormat="1" ht="13.35" customHeight="1">
      <c r="A20" s="3041"/>
      <c r="B20" s="3042"/>
      <c r="C20" s="3042"/>
      <c r="D20" s="3042"/>
      <c r="E20" s="3042"/>
      <c r="F20" s="3085"/>
      <c r="G20" s="3057"/>
      <c r="H20" s="3013"/>
      <c r="I20" s="3014"/>
      <c r="J20" s="4488">
        <v>3</v>
      </c>
      <c r="K20" s="4489"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35" customHeight="1">
      <c r="A21" s="3041"/>
      <c r="B21" s="3042"/>
      <c r="C21" s="3088" t="s">
        <v>2379</v>
      </c>
      <c r="D21" s="3089" t="s">
        <v>2380</v>
      </c>
      <c r="E21" s="3090" t="s">
        <v>2381</v>
      </c>
      <c r="F21" s="3085"/>
      <c r="G21" s="3057"/>
      <c r="H21" s="3013"/>
      <c r="I21" s="3014"/>
      <c r="J21" s="4488"/>
      <c r="K21" s="4490"/>
      <c r="L21" s="3048" t="s">
        <v>2382</v>
      </c>
      <c r="M21" s="3049"/>
      <c r="N21" s="3049"/>
      <c r="O21" s="3050"/>
      <c r="P21" s="3051">
        <v>365</v>
      </c>
      <c r="Q21" s="3025"/>
      <c r="R21" s="3091">
        <f>ROUND(M21*N21*O21*P21/10000,0)</f>
        <v>0</v>
      </c>
      <c r="S21" s="3087"/>
      <c r="T21" s="3087"/>
      <c r="U21" s="3087"/>
      <c r="V21" s="3014"/>
    </row>
    <row r="22" spans="1:22" s="3018" customFormat="1" ht="13.35" customHeight="1">
      <c r="A22" s="3041"/>
      <c r="B22" s="3042"/>
      <c r="C22" s="3092" t="s">
        <v>2383</v>
      </c>
      <c r="D22" s="3093" t="s">
        <v>2384</v>
      </c>
      <c r="E22" s="3094" t="s">
        <v>2385</v>
      </c>
      <c r="F22" s="3085"/>
      <c r="G22" s="3095"/>
      <c r="H22" s="3013"/>
      <c r="I22" s="3014"/>
      <c r="J22" s="4488"/>
      <c r="K22" s="4490"/>
      <c r="L22" s="3048" t="s">
        <v>2386</v>
      </c>
      <c r="M22" s="3049"/>
      <c r="N22" s="3049"/>
      <c r="O22" s="3050"/>
      <c r="P22" s="3051">
        <v>365</v>
      </c>
      <c r="Q22" s="3025"/>
      <c r="R22" s="3091">
        <f>ROUND(M22*N22*O22*P22/10000,0)</f>
        <v>0</v>
      </c>
      <c r="S22" s="3087"/>
      <c r="T22" s="3087"/>
      <c r="U22" s="3087"/>
      <c r="V22" s="3014"/>
    </row>
    <row r="23" spans="1:22" s="3018" customFormat="1" ht="13.35" customHeight="1">
      <c r="A23" s="3096">
        <v>1</v>
      </c>
      <c r="B23" s="3097" t="s">
        <v>2387</v>
      </c>
      <c r="C23" s="3098">
        <f>D6</f>
        <v>0</v>
      </c>
      <c r="D23" s="3099">
        <f>C23*(1+D24)</f>
        <v>0</v>
      </c>
      <c r="E23" s="3100">
        <f>D23*(1+E24)</f>
        <v>0</v>
      </c>
      <c r="F23" s="3101"/>
      <c r="G23" s="3102"/>
      <c r="H23" s="3013"/>
      <c r="I23" s="3014"/>
      <c r="J23" s="4488"/>
      <c r="K23" s="4490"/>
      <c r="L23" s="3048" t="s">
        <v>2388</v>
      </c>
      <c r="M23" s="3049"/>
      <c r="N23" s="3049"/>
      <c r="O23" s="3050"/>
      <c r="P23" s="3051">
        <v>365</v>
      </c>
      <c r="Q23" s="3025"/>
      <c r="R23" s="3091">
        <f>ROUND(M23*N23*O23*P23/10000,0)</f>
        <v>0</v>
      </c>
      <c r="S23" s="3005"/>
      <c r="T23" s="3005"/>
      <c r="U23" s="3005"/>
      <c r="V23" s="3014"/>
    </row>
    <row r="24" spans="1:22" s="3018" customFormat="1" ht="13.35" customHeight="1">
      <c r="A24" s="3103"/>
      <c r="B24" s="3104" t="s">
        <v>2389</v>
      </c>
      <c r="C24" s="3105"/>
      <c r="D24" s="3106"/>
      <c r="E24" s="3107"/>
      <c r="F24" s="3108"/>
      <c r="G24" s="3102"/>
      <c r="H24" s="3013"/>
      <c r="I24" s="3014"/>
      <c r="J24" s="4488"/>
      <c r="K24" s="4491"/>
      <c r="L24" s="3068" t="s">
        <v>2349</v>
      </c>
      <c r="M24" s="3069">
        <f>SUM(M21:M23)</f>
        <v>0</v>
      </c>
      <c r="N24" s="3069"/>
      <c r="O24" s="3070"/>
      <c r="P24" s="3083" t="s">
        <v>2437</v>
      </c>
      <c r="Q24" s="3050"/>
      <c r="R24" s="3084">
        <f>ROUND(IF(P24="按比例",R14*Q24,SUM(R21:R23)),0)</f>
        <v>0</v>
      </c>
      <c r="S24" s="3005"/>
      <c r="T24" s="3005"/>
      <c r="U24" s="3005"/>
      <c r="V24" s="3014"/>
    </row>
    <row r="25" spans="1:22" s="3115" customFormat="1" ht="13.3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35" customHeight="1">
      <c r="A26" s="3096">
        <v>2</v>
      </c>
      <c r="B26" s="3097" t="s">
        <v>2391</v>
      </c>
      <c r="C26" s="3098">
        <f>D7</f>
        <v>0</v>
      </c>
      <c r="D26" s="3099">
        <f>D23*D27</f>
        <v>0</v>
      </c>
      <c r="E26" s="3100">
        <f>E23*E27</f>
        <v>0</v>
      </c>
      <c r="F26" s="3101"/>
      <c r="G26" s="3102"/>
      <c r="H26" s="3013"/>
      <c r="I26" s="3014"/>
      <c r="J26" s="4492">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35" customHeight="1">
      <c r="A27" s="3103"/>
      <c r="B27" s="3104" t="s">
        <v>2398</v>
      </c>
      <c r="C27" s="3122" t="e">
        <f>E7</f>
        <v>#DIV/0!</v>
      </c>
      <c r="D27" s="3106"/>
      <c r="E27" s="3107"/>
      <c r="F27" s="3108"/>
      <c r="G27" s="3102"/>
      <c r="H27" s="3123"/>
      <c r="I27" s="3114"/>
      <c r="J27" s="4493"/>
      <c r="K27" s="3124"/>
      <c r="L27" s="3125"/>
      <c r="M27" s="3126"/>
      <c r="N27" s="3127"/>
      <c r="O27" s="3127"/>
      <c r="P27" s="3127"/>
      <c r="Q27" s="3128"/>
      <c r="R27" s="3084">
        <f>ROUND(O27*N27*P27*(1-Q27)/10000,0)</f>
        <v>0</v>
      </c>
      <c r="S27" s="3005"/>
      <c r="T27" s="3005"/>
      <c r="U27" s="3005"/>
      <c r="V27" s="3014"/>
    </row>
    <row r="28" spans="1:22" s="3115" customFormat="1" ht="13.3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3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3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3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35" customHeight="1">
      <c r="A32" s="3096">
        <v>4</v>
      </c>
      <c r="B32" s="3097" t="s">
        <v>2407</v>
      </c>
      <c r="C32" s="3098">
        <f>C23-C26-C29</f>
        <v>0</v>
      </c>
      <c r="D32" s="3099">
        <f>D23-D26-D29</f>
        <v>0</v>
      </c>
      <c r="E32" s="3100">
        <f>E23-E26-E29</f>
        <v>0</v>
      </c>
      <c r="F32" s="3101"/>
      <c r="G32" s="3095"/>
      <c r="H32" s="3013"/>
      <c r="I32" s="3014"/>
      <c r="J32" s="4494" t="s">
        <v>2408</v>
      </c>
      <c r="K32" s="4495"/>
      <c r="L32" s="3015" t="s">
        <v>2409</v>
      </c>
      <c r="M32" s="3015" t="s">
        <v>2298</v>
      </c>
      <c r="N32" s="3015" t="s">
        <v>2299</v>
      </c>
      <c r="O32" s="3015" t="s">
        <v>2300</v>
      </c>
      <c r="P32" s="3015" t="s">
        <v>2301</v>
      </c>
      <c r="Q32" s="3016" t="s">
        <v>2410</v>
      </c>
      <c r="R32" s="3138" t="s">
        <v>2411</v>
      </c>
      <c r="S32" s="3087"/>
      <c r="T32" s="3005"/>
      <c r="U32" s="3005"/>
      <c r="V32" s="3114"/>
    </row>
    <row r="33" spans="1:23" s="3018" customFormat="1" ht="13.35" customHeight="1">
      <c r="A33" s="3096"/>
      <c r="B33" s="3097"/>
      <c r="C33" s="3098"/>
      <c r="D33" s="3139"/>
      <c r="E33" s="3140"/>
      <c r="F33" s="3101"/>
      <c r="G33" s="3095"/>
      <c r="H33" s="3123"/>
      <c r="I33" s="3114"/>
      <c r="J33" s="4496" t="s">
        <v>2412</v>
      </c>
      <c r="K33" s="4497"/>
      <c r="L33" s="3021"/>
      <c r="M33" s="3021"/>
      <c r="N33" s="3021"/>
      <c r="O33" s="3021"/>
      <c r="P33" s="3021"/>
      <c r="Q33" s="3022"/>
      <c r="R33" s="3141">
        <f>SUM(L33:Q33)</f>
        <v>0</v>
      </c>
      <c r="S33" s="3087"/>
      <c r="T33" s="3005"/>
      <c r="U33" s="3005"/>
      <c r="V33" s="3014"/>
    </row>
    <row r="34" spans="1:23" s="3018" customFormat="1" ht="13.35" customHeight="1">
      <c r="A34" s="3096">
        <v>5</v>
      </c>
      <c r="B34" s="3097" t="s">
        <v>2413</v>
      </c>
      <c r="C34" s="3142"/>
      <c r="D34" s="3143"/>
      <c r="E34" s="3144"/>
      <c r="F34" s="3101"/>
      <c r="G34" s="3095"/>
      <c r="H34" s="3123"/>
      <c r="I34" s="3114"/>
      <c r="J34" s="4496" t="s">
        <v>2414</v>
      </c>
      <c r="K34" s="4497"/>
      <c r="L34" s="3026"/>
      <c r="M34" s="3026"/>
      <c r="N34" s="3026"/>
      <c r="O34" s="3026"/>
      <c r="P34" s="3026"/>
      <c r="Q34" s="3027"/>
      <c r="R34" s="3145">
        <f>SUM(L34:Q34)</f>
        <v>0</v>
      </c>
      <c r="S34" s="3087"/>
      <c r="T34" s="3005"/>
      <c r="U34" s="3005" t="e">
        <f>ROUND(R35*10000/365/R33,1)</f>
        <v>#DIV/0!</v>
      </c>
      <c r="V34" s="3014"/>
    </row>
    <row r="35" spans="1:23" s="3018" customFormat="1" ht="13.3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35" customHeight="1" thickBot="1">
      <c r="A36" s="3096">
        <v>7</v>
      </c>
      <c r="B36" s="3151" t="s">
        <v>2418</v>
      </c>
      <c r="C36" s="3152"/>
      <c r="D36" s="3153"/>
      <c r="E36" s="3154"/>
      <c r="F36" s="3155">
        <f>C36+D36+E36</f>
        <v>0</v>
      </c>
      <c r="G36" s="3095"/>
      <c r="H36" s="3013"/>
      <c r="I36" s="3014"/>
      <c r="J36" s="4488">
        <v>1</v>
      </c>
      <c r="K36" s="4489" t="s">
        <v>2419</v>
      </c>
      <c r="L36" s="3039"/>
      <c r="M36" s="3040"/>
      <c r="N36" s="3040"/>
      <c r="O36" s="3040"/>
      <c r="P36" s="3040"/>
      <c r="Q36" s="3040"/>
      <c r="R36" s="3023" t="s">
        <v>2320</v>
      </c>
      <c r="S36" s="3087"/>
      <c r="T36" s="3005" t="s">
        <v>2321</v>
      </c>
      <c r="U36" s="3005"/>
      <c r="V36" s="3014"/>
    </row>
    <row r="37" spans="1:23" s="3018" customFormat="1" ht="13.35" customHeight="1">
      <c r="A37" s="3096"/>
      <c r="B37" s="3097"/>
      <c r="C37" s="3097"/>
      <c r="D37" s="3097"/>
      <c r="E37" s="3097"/>
      <c r="F37" s="3101"/>
      <c r="G37" s="3095"/>
      <c r="H37" s="3013"/>
      <c r="I37" s="3014"/>
      <c r="J37" s="4488"/>
      <c r="K37" s="4490"/>
      <c r="L37" s="3048"/>
      <c r="M37" s="3049"/>
      <c r="N37" s="3025"/>
      <c r="O37" s="3050"/>
      <c r="P37" s="3050"/>
      <c r="Q37" s="3051"/>
      <c r="R37" s="3052"/>
      <c r="S37" s="3087"/>
      <c r="T37" s="3005" t="s">
        <v>2324</v>
      </c>
      <c r="U37" s="3005"/>
      <c r="V37" s="3014"/>
    </row>
    <row r="38" spans="1:23" s="3018" customFormat="1" ht="13.35" customHeight="1">
      <c r="A38" s="3096">
        <v>8</v>
      </c>
      <c r="B38" s="3097"/>
      <c r="C38" s="3054" t="e">
        <f>ROUND(C32*(1-((1+C35)/(1+C34))^C36)/(C34-C35),0)</f>
        <v>#DIV/0!</v>
      </c>
      <c r="D38" s="3054">
        <f>IF(D23=0,0,ROUND(D32*(1-((1+D35)/(1+D34))^D36)/(D34-D35),0))</f>
        <v>0</v>
      </c>
      <c r="E38" s="3054">
        <f>IF(E23=0,0,ROUND(E32*(1-((1+E35)/(1+E34))^E36)/(E34-E35),0))</f>
        <v>0</v>
      </c>
      <c r="F38" s="3101"/>
      <c r="G38" s="3095"/>
      <c r="H38" s="3013"/>
      <c r="I38" s="3014"/>
      <c r="J38" s="4488"/>
      <c r="K38" s="4490"/>
      <c r="L38" s="3048"/>
      <c r="M38" s="3049"/>
      <c r="N38" s="3025"/>
      <c r="O38" s="3050"/>
      <c r="P38" s="3050"/>
      <c r="Q38" s="3051"/>
      <c r="R38" s="3052"/>
      <c r="S38" s="3087"/>
      <c r="T38" s="3005" t="s">
        <v>2331</v>
      </c>
      <c r="U38" s="3005"/>
      <c r="V38" s="3014"/>
    </row>
    <row r="39" spans="1:23" s="3018" customFormat="1" ht="13.35" customHeight="1">
      <c r="A39" s="3096">
        <v>9</v>
      </c>
      <c r="B39" s="3097" t="s">
        <v>2420</v>
      </c>
      <c r="C39" s="3062" t="e">
        <f>C38</f>
        <v>#DIV/0!</v>
      </c>
      <c r="D39" s="3097">
        <f>D38/(1+D34)^C36</f>
        <v>0</v>
      </c>
      <c r="E39" s="3097">
        <f>E38/(1+E34)^(C36+D36)</f>
        <v>0</v>
      </c>
      <c r="F39" s="3101"/>
      <c r="G39" s="3156"/>
      <c r="H39" s="3013"/>
      <c r="I39" s="3014"/>
      <c r="J39" s="4488"/>
      <c r="K39" s="4490"/>
      <c r="L39" s="3048"/>
      <c r="M39" s="3049"/>
      <c r="N39" s="3025"/>
      <c r="O39" s="3050"/>
      <c r="P39" s="3050"/>
      <c r="Q39" s="3051"/>
      <c r="R39" s="3052"/>
      <c r="S39" s="3087"/>
      <c r="T39" s="3005"/>
      <c r="U39" s="3005"/>
      <c r="V39" s="3014"/>
    </row>
    <row r="40" spans="1:23" s="3018" customFormat="1" ht="13.35" customHeight="1">
      <c r="A40" s="3157">
        <v>10</v>
      </c>
      <c r="B40" s="3097" t="s">
        <v>2421</v>
      </c>
      <c r="C40" s="3158" t="e">
        <f>C39+D39+E39</f>
        <v>#DIV/0!</v>
      </c>
      <c r="D40" s="3159"/>
      <c r="E40" s="3159"/>
      <c r="F40" s="3160"/>
      <c r="G40" s="3095"/>
      <c r="H40" s="3013"/>
      <c r="I40" s="3014"/>
      <c r="J40" s="4488"/>
      <c r="K40" s="4491"/>
      <c r="L40" s="3068" t="s">
        <v>2422</v>
      </c>
      <c r="M40" s="3069"/>
      <c r="N40" s="3069"/>
      <c r="O40" s="3070"/>
      <c r="P40" s="3070"/>
      <c r="Q40" s="3071"/>
      <c r="R40" s="3017">
        <f>SUM(R37:R39)</f>
        <v>0</v>
      </c>
      <c r="S40" s="3087"/>
      <c r="T40" s="3005"/>
      <c r="U40" s="3005"/>
      <c r="V40" s="3014"/>
    </row>
    <row r="41" spans="1:23" s="3018" customFormat="1" ht="13.3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35" customHeight="1">
      <c r="G42" s="3165"/>
      <c r="H42" s="3013"/>
      <c r="I42" s="3014"/>
      <c r="J42" s="4492">
        <v>3</v>
      </c>
      <c r="K42" s="3116" t="s">
        <v>2425</v>
      </c>
      <c r="L42" s="3117"/>
      <c r="M42" s="3118"/>
      <c r="N42" s="3119" t="s">
        <v>2426</v>
      </c>
      <c r="O42" s="3119" t="s">
        <v>2427</v>
      </c>
      <c r="P42" s="3120" t="s">
        <v>2428</v>
      </c>
      <c r="Q42" s="3120" t="s">
        <v>2429</v>
      </c>
      <c r="R42" s="3023" t="s">
        <v>2430</v>
      </c>
      <c r="S42" s="3121"/>
      <c r="T42" s="3121"/>
      <c r="U42" s="3005"/>
      <c r="V42" s="3014"/>
    </row>
    <row r="43" spans="1:23" ht="13.35" customHeight="1">
      <c r="A43" s="3018"/>
      <c r="B43" s="3018"/>
      <c r="C43" s="3018"/>
      <c r="D43" s="3018"/>
      <c r="E43" s="3018"/>
      <c r="F43" s="3018"/>
      <c r="I43" s="3000"/>
      <c r="J43" s="4493"/>
      <c r="K43" s="3124"/>
      <c r="L43" s="3125"/>
      <c r="M43" s="3126"/>
      <c r="N43" s="3049"/>
      <c r="O43" s="3049"/>
      <c r="P43" s="3049"/>
      <c r="Q43" s="3113"/>
      <c r="R43" s="3084">
        <f>ROUND(O43*N43*P43*(1-Q43)/10000,0)</f>
        <v>0</v>
      </c>
      <c r="S43" s="3087"/>
      <c r="T43" s="3005"/>
      <c r="V43" s="3167"/>
      <c r="W43" s="3168"/>
    </row>
    <row r="44" spans="1:23" ht="13.3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E00-000001000000}">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13</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1022</v>
      </c>
      <c r="D12" s="2955">
        <f>'数据-汇总表'!E5</f>
        <v>68148.539999999994</v>
      </c>
      <c r="E12" s="2955">
        <f>'数据-取费表'!B27</f>
        <v>150</v>
      </c>
      <c r="F12" s="701"/>
      <c r="G12" s="704"/>
    </row>
    <row r="13" spans="1:25" s="1871" customFormat="1" ht="13.5" customHeight="1">
      <c r="A13" s="2089" t="s">
        <v>1791</v>
      </c>
      <c r="B13" s="702" t="s">
        <v>560</v>
      </c>
      <c r="C13" s="703">
        <f>ROUND(D13*E13/10000,0)</f>
        <v>106</v>
      </c>
      <c r="D13" s="2955">
        <f>'数据-汇总表'!E6</f>
        <v>5563.3978000000061</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0.96599999999999997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3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xr:uid="{00000000-0002-0000-2F00-000000000000}">
      <formula1>"土地开发补偿费,征收补偿安置费"</formula1>
    </dataValidation>
  </dataValidation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2.2999999999999998</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73" t="s">
        <v>471</v>
      </c>
      <c r="D4" s="4374"/>
      <c r="E4" s="4375" t="s">
        <v>472</v>
      </c>
      <c r="F4" s="4376"/>
      <c r="G4" s="4373" t="s">
        <v>473</v>
      </c>
      <c r="H4" s="4374"/>
      <c r="I4" s="4373" t="s">
        <v>474</v>
      </c>
      <c r="J4" s="4374"/>
      <c r="K4" s="463" t="s">
        <v>475</v>
      </c>
      <c r="L4" s="1822"/>
      <c r="M4" s="1823"/>
      <c r="N4" s="1823"/>
      <c r="O4" s="1823"/>
      <c r="P4" s="4377" t="s">
        <v>476</v>
      </c>
      <c r="Q4" s="4378"/>
      <c r="R4" s="4360" t="s">
        <v>472</v>
      </c>
      <c r="S4" s="4361"/>
      <c r="T4" s="4360" t="s">
        <v>473</v>
      </c>
      <c r="U4" s="4361"/>
      <c r="V4" s="4385" t="s">
        <v>474</v>
      </c>
      <c r="W4" s="4385"/>
      <c r="X4" s="1354"/>
      <c r="Y4" s="4360" t="s">
        <v>476</v>
      </c>
      <c r="Z4" s="4361"/>
      <c r="AA4" s="4355" t="s">
        <v>472</v>
      </c>
      <c r="AB4" s="4385" t="s">
        <v>473</v>
      </c>
      <c r="AC4" s="4355" t="s">
        <v>474</v>
      </c>
    </row>
    <row r="5" spans="1:29" ht="15">
      <c r="A5" s="464"/>
      <c r="B5" s="465"/>
      <c r="C5" s="4366" t="s">
        <v>2186</v>
      </c>
      <c r="D5" s="4367"/>
      <c r="E5" s="4403" t="s">
        <v>3350</v>
      </c>
      <c r="F5" s="4365"/>
      <c r="G5" s="4403" t="s">
        <v>3350</v>
      </c>
      <c r="H5" s="4365"/>
      <c r="I5" s="4403" t="s">
        <v>3350</v>
      </c>
      <c r="J5" s="4365"/>
      <c r="K5" s="463"/>
      <c r="L5" s="1822"/>
      <c r="M5" s="1823"/>
      <c r="N5" s="1823"/>
      <c r="O5" s="1823"/>
      <c r="P5" s="4379"/>
      <c r="Q5" s="4380"/>
      <c r="R5" s="4362"/>
      <c r="S5" s="4363"/>
      <c r="T5" s="4362"/>
      <c r="U5" s="4363"/>
      <c r="V5" s="4385"/>
      <c r="W5" s="4385"/>
      <c r="X5" s="1354"/>
      <c r="Y5" s="4362"/>
      <c r="Z5" s="4363"/>
      <c r="AA5" s="4356"/>
      <c r="AB5" s="4385"/>
      <c r="AC5" s="4356"/>
    </row>
    <row r="6" spans="1:29" ht="15.75" thickBot="1">
      <c r="A6" s="466"/>
      <c r="B6" s="467"/>
      <c r="C6" s="4368" t="s">
        <v>2190</v>
      </c>
      <c r="D6" s="4369"/>
      <c r="E6" s="4370" t="s">
        <v>2190</v>
      </c>
      <c r="F6" s="4371"/>
      <c r="G6" s="4368" t="s">
        <v>2190</v>
      </c>
      <c r="H6" s="4369"/>
      <c r="I6" s="4368" t="s">
        <v>2190</v>
      </c>
      <c r="J6" s="4369"/>
      <c r="K6" s="463" t="s">
        <v>477</v>
      </c>
      <c r="L6" s="1822"/>
      <c r="M6" s="1823"/>
      <c r="N6" s="1823"/>
      <c r="O6" s="1823"/>
      <c r="P6" s="4381"/>
      <c r="Q6" s="4382"/>
      <c r="R6" s="4362"/>
      <c r="S6" s="4363"/>
      <c r="T6" s="4383"/>
      <c r="U6" s="4384"/>
      <c r="V6" s="4385"/>
      <c r="W6" s="4385"/>
      <c r="X6" s="1354"/>
      <c r="Y6" s="4383"/>
      <c r="Z6" s="4384"/>
      <c r="AA6" s="4357"/>
      <c r="AB6" s="4385"/>
      <c r="AC6" s="4357"/>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58" t="s">
        <v>479</v>
      </c>
      <c r="Q7" s="4386"/>
      <c r="R7" s="1355" t="s">
        <v>5</v>
      </c>
      <c r="S7" s="1356">
        <f t="shared" ref="S7:S15" si="0">F7</f>
        <v>100</v>
      </c>
      <c r="T7" s="1355" t="s">
        <v>5</v>
      </c>
      <c r="U7" s="1356">
        <f t="shared" ref="U7:U15" si="1">H7</f>
        <v>100</v>
      </c>
      <c r="V7" s="1355" t="s">
        <v>5</v>
      </c>
      <c r="W7" s="1356">
        <f t="shared" ref="W7:W15" si="2">J7</f>
        <v>100</v>
      </c>
      <c r="X7" s="1357"/>
      <c r="Y7" s="4358" t="s">
        <v>479</v>
      </c>
      <c r="Z7" s="4359"/>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58" t="s">
        <v>482</v>
      </c>
      <c r="Q8" s="4359"/>
      <c r="R8" s="1355" t="s">
        <v>5</v>
      </c>
      <c r="S8" s="1356">
        <f t="shared" si="0"/>
        <v>100</v>
      </c>
      <c r="T8" s="1355" t="s">
        <v>5</v>
      </c>
      <c r="U8" s="1356">
        <f t="shared" si="1"/>
        <v>100</v>
      </c>
      <c r="V8" s="1355" t="s">
        <v>5</v>
      </c>
      <c r="W8" s="1356">
        <f t="shared" si="2"/>
        <v>100</v>
      </c>
      <c r="X8" s="1357"/>
      <c r="Y8" s="4358" t="s">
        <v>482</v>
      </c>
      <c r="Z8" s="4359"/>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72" t="s">
        <v>484</v>
      </c>
      <c r="Q9" s="1027" t="str">
        <f t="shared" ref="Q9:Q15" si="6">B9</f>
        <v>用途</v>
      </c>
      <c r="R9" s="1355" t="s">
        <v>5</v>
      </c>
      <c r="S9" s="1356">
        <f t="shared" si="0"/>
        <v>100</v>
      </c>
      <c r="T9" s="1355" t="s">
        <v>5</v>
      </c>
      <c r="U9" s="1356">
        <f t="shared" si="1"/>
        <v>100</v>
      </c>
      <c r="V9" s="1355" t="s">
        <v>5</v>
      </c>
      <c r="W9" s="1356">
        <f t="shared" si="2"/>
        <v>100</v>
      </c>
      <c r="X9" s="1357"/>
      <c r="Y9" s="4304"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72"/>
      <c r="Q11" s="1027" t="str">
        <f t="shared" si="6"/>
        <v>容积率</v>
      </c>
      <c r="R11" s="1355" t="s">
        <v>5</v>
      </c>
      <c r="S11" s="1356">
        <f t="shared" si="0"/>
        <v>100</v>
      </c>
      <c r="T11" s="1355" t="s">
        <v>5</v>
      </c>
      <c r="U11" s="1356">
        <f t="shared" si="1"/>
        <v>100</v>
      </c>
      <c r="V11" s="1355" t="s">
        <v>5</v>
      </c>
      <c r="W11" s="1356">
        <f t="shared" si="2"/>
        <v>100</v>
      </c>
      <c r="X11" s="1357"/>
      <c r="Y11" s="4304"/>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72"/>
      <c r="Q12" s="1027">
        <f t="shared" si="6"/>
        <v>111</v>
      </c>
      <c r="R12" s="1355" t="s">
        <v>5</v>
      </c>
      <c r="S12" s="1356">
        <f t="shared" si="0"/>
        <v>100</v>
      </c>
      <c r="T12" s="1355" t="s">
        <v>5</v>
      </c>
      <c r="U12" s="1356">
        <f t="shared" si="1"/>
        <v>100</v>
      </c>
      <c r="V12" s="1355" t="s">
        <v>5</v>
      </c>
      <c r="W12" s="1356">
        <f t="shared" si="2"/>
        <v>100</v>
      </c>
      <c r="X12" s="1357"/>
      <c r="Y12" s="4304"/>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72"/>
      <c r="Q13" s="1027">
        <f t="shared" si="6"/>
        <v>111</v>
      </c>
      <c r="R13" s="1355" t="s">
        <v>5</v>
      </c>
      <c r="S13" s="1356">
        <f t="shared" si="0"/>
        <v>100</v>
      </c>
      <c r="T13" s="1355" t="s">
        <v>5</v>
      </c>
      <c r="U13" s="1356">
        <f t="shared" si="1"/>
        <v>100</v>
      </c>
      <c r="V13" s="1355" t="s">
        <v>5</v>
      </c>
      <c r="W13" s="1356">
        <f t="shared" si="2"/>
        <v>100</v>
      </c>
      <c r="X13" s="1357"/>
      <c r="Y13" s="4304"/>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72"/>
      <c r="Q14" s="1027">
        <f t="shared" si="6"/>
        <v>111</v>
      </c>
      <c r="R14" s="1355" t="s">
        <v>5</v>
      </c>
      <c r="S14" s="1356">
        <f t="shared" si="0"/>
        <v>100</v>
      </c>
      <c r="T14" s="1355" t="s">
        <v>5</v>
      </c>
      <c r="U14" s="1356">
        <f t="shared" si="1"/>
        <v>100</v>
      </c>
      <c r="V14" s="1355" t="s">
        <v>5</v>
      </c>
      <c r="W14" s="1356">
        <f t="shared" si="2"/>
        <v>100</v>
      </c>
      <c r="X14" s="1357"/>
      <c r="Y14" s="4304"/>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91" t="s">
        <v>489</v>
      </c>
      <c r="Q15" s="1359" t="str">
        <f t="shared" si="6"/>
        <v>商业繁华度</v>
      </c>
      <c r="R15" s="1360" t="s">
        <v>5</v>
      </c>
      <c r="S15" s="1361">
        <f t="shared" si="0"/>
        <v>105</v>
      </c>
      <c r="T15" s="1360" t="s">
        <v>5</v>
      </c>
      <c r="U15" s="1361">
        <f t="shared" si="1"/>
        <v>105</v>
      </c>
      <c r="V15" s="1360" t="s">
        <v>5</v>
      </c>
      <c r="W15" s="1361">
        <f t="shared" si="2"/>
        <v>105</v>
      </c>
      <c r="X15" s="1354"/>
      <c r="Y15" s="4391"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3341</v>
      </c>
      <c r="D16" s="504"/>
      <c r="E16" s="525" t="s">
        <v>3342</v>
      </c>
      <c r="F16" s="506"/>
      <c r="G16" s="525" t="s">
        <v>3342</v>
      </c>
      <c r="H16" s="508"/>
      <c r="I16" s="525" t="s">
        <v>3342</v>
      </c>
      <c r="J16" s="504"/>
      <c r="K16" s="839"/>
      <c r="L16" s="1831"/>
      <c r="M16" s="1823"/>
      <c r="N16" s="1823"/>
      <c r="O16" s="1830"/>
      <c r="P16" s="4392"/>
      <c r="Q16" s="1359"/>
      <c r="R16" s="1360"/>
      <c r="S16" s="1361"/>
      <c r="T16" s="1360"/>
      <c r="U16" s="1361"/>
      <c r="V16" s="1360"/>
      <c r="W16" s="1361"/>
      <c r="X16" s="1354"/>
      <c r="Y16" s="4392"/>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92"/>
      <c r="Q17" s="1359" t="str">
        <f>B17</f>
        <v>交通便捷度</v>
      </c>
      <c r="R17" s="1360" t="s">
        <v>5</v>
      </c>
      <c r="S17" s="1361">
        <f>F17</f>
        <v>100</v>
      </c>
      <c r="T17" s="1360" t="s">
        <v>5</v>
      </c>
      <c r="U17" s="1361">
        <f>H17</f>
        <v>100</v>
      </c>
      <c r="V17" s="1360" t="s">
        <v>5</v>
      </c>
      <c r="W17" s="1361">
        <f>J17</f>
        <v>100</v>
      </c>
      <c r="X17" s="1354"/>
      <c r="Y17" s="4392"/>
      <c r="Z17" s="1362" t="str">
        <f>Q17</f>
        <v>交通便捷度</v>
      </c>
      <c r="AA17" s="1363">
        <f t="shared" si="3"/>
        <v>1</v>
      </c>
      <c r="AB17" s="1363">
        <f t="shared" si="4"/>
        <v>1</v>
      </c>
      <c r="AC17" s="1363">
        <f t="shared" si="5"/>
        <v>1</v>
      </c>
    </row>
    <row r="18" spans="1:29" ht="15">
      <c r="A18" s="481"/>
      <c r="B18" s="544"/>
      <c r="C18" s="813" t="s">
        <v>3341</v>
      </c>
      <c r="D18" s="508"/>
      <c r="E18" s="813" t="s">
        <v>3341</v>
      </c>
      <c r="F18" s="512"/>
      <c r="G18" s="813" t="s">
        <v>3341</v>
      </c>
      <c r="H18" s="504"/>
      <c r="I18" s="813" t="s">
        <v>3341</v>
      </c>
      <c r="J18" s="504"/>
      <c r="K18" s="839"/>
      <c r="L18" s="1831"/>
      <c r="M18" s="1823"/>
      <c r="N18" s="1823"/>
      <c r="O18" s="1830"/>
      <c r="P18" s="4392"/>
      <c r="Q18" s="1359"/>
      <c r="R18" s="1360"/>
      <c r="S18" s="1361"/>
      <c r="T18" s="1360"/>
      <c r="U18" s="1361"/>
      <c r="V18" s="1360"/>
      <c r="W18" s="1361"/>
      <c r="X18" s="1354"/>
      <c r="Y18" s="4392"/>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92"/>
      <c r="Q19" s="1359" t="str">
        <f>B19</f>
        <v>公共配套设施</v>
      </c>
      <c r="R19" s="1360" t="s">
        <v>5</v>
      </c>
      <c r="S19" s="1361">
        <f>F19</f>
        <v>100</v>
      </c>
      <c r="T19" s="1360" t="s">
        <v>5</v>
      </c>
      <c r="U19" s="1361">
        <f>H19</f>
        <v>100</v>
      </c>
      <c r="V19" s="1360" t="s">
        <v>5</v>
      </c>
      <c r="W19" s="1361">
        <f>J19</f>
        <v>100</v>
      </c>
      <c r="X19" s="1354"/>
      <c r="Y19" s="4392"/>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392"/>
      <c r="Q20" s="1359"/>
      <c r="R20" s="1360"/>
      <c r="S20" s="1361"/>
      <c r="T20" s="1360"/>
      <c r="U20" s="1361"/>
      <c r="V20" s="1360"/>
      <c r="W20" s="1361"/>
      <c r="X20" s="1354"/>
      <c r="Y20" s="4392"/>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92"/>
      <c r="Q21" s="2157" t="str">
        <f>B21</f>
        <v>基础设施水平</v>
      </c>
      <c r="R21" s="1360" t="s">
        <v>5</v>
      </c>
      <c r="S21" s="1361">
        <f>F21</f>
        <v>100</v>
      </c>
      <c r="T21" s="1360" t="s">
        <v>5</v>
      </c>
      <c r="U21" s="1361">
        <f>H21</f>
        <v>100</v>
      </c>
      <c r="V21" s="1360" t="s">
        <v>5</v>
      </c>
      <c r="W21" s="1361">
        <f>J21</f>
        <v>100</v>
      </c>
      <c r="X21" s="2159"/>
      <c r="Y21" s="4392"/>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392"/>
      <c r="Q22" s="2157"/>
      <c r="R22" s="1360"/>
      <c r="S22" s="1361"/>
      <c r="T22" s="1360"/>
      <c r="U22" s="1361"/>
      <c r="V22" s="1360"/>
      <c r="W22" s="1361"/>
      <c r="X22" s="2159"/>
      <c r="Y22" s="4392"/>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92"/>
      <c r="Q23" s="1359" t="str">
        <f>B23</f>
        <v>自然及人文环境</v>
      </c>
      <c r="R23" s="1360" t="s">
        <v>5</v>
      </c>
      <c r="S23" s="1361">
        <f>F23</f>
        <v>100</v>
      </c>
      <c r="T23" s="1360" t="s">
        <v>5</v>
      </c>
      <c r="U23" s="1361">
        <f>H23</f>
        <v>100</v>
      </c>
      <c r="V23" s="1360" t="s">
        <v>5</v>
      </c>
      <c r="W23" s="1361">
        <f>J23</f>
        <v>100</v>
      </c>
      <c r="X23" s="1354"/>
      <c r="Y23" s="4392"/>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392"/>
      <c r="Q24" s="1359"/>
      <c r="R24" s="1360"/>
      <c r="S24" s="1361"/>
      <c r="T24" s="1360"/>
      <c r="U24" s="1361"/>
      <c r="V24" s="1360"/>
      <c r="W24" s="1361"/>
      <c r="X24" s="1354"/>
      <c r="Y24" s="4392"/>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92"/>
      <c r="Q25" s="1359" t="str">
        <f t="shared" ref="Q25:Q46" si="8">B25</f>
        <v>临街状况</v>
      </c>
      <c r="R25" s="1360" t="s">
        <v>5</v>
      </c>
      <c r="S25" s="1361">
        <f>F25</f>
        <v>100</v>
      </c>
      <c r="T25" s="1360" t="s">
        <v>5</v>
      </c>
      <c r="U25" s="1361">
        <f>H25</f>
        <v>100</v>
      </c>
      <c r="V25" s="1360" t="s">
        <v>5</v>
      </c>
      <c r="W25" s="1361">
        <f>J25</f>
        <v>100</v>
      </c>
      <c r="X25" s="1354"/>
      <c r="Y25" s="4392"/>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92"/>
      <c r="Q26" s="1359" t="str">
        <f t="shared" si="8"/>
        <v>平面位置/可视性</v>
      </c>
      <c r="R26" s="1360" t="s">
        <v>5</v>
      </c>
      <c r="S26" s="1361">
        <f>F26</f>
        <v>100</v>
      </c>
      <c r="T26" s="1360" t="s">
        <v>5</v>
      </c>
      <c r="U26" s="1361">
        <f>H26</f>
        <v>100</v>
      </c>
      <c r="V26" s="1360" t="s">
        <v>5</v>
      </c>
      <c r="W26" s="1361">
        <f>J26</f>
        <v>100</v>
      </c>
      <c r="X26" s="1354"/>
      <c r="Y26" s="4392"/>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92"/>
      <c r="Q27" s="1027" t="str">
        <f t="shared" si="8"/>
        <v>人流量</v>
      </c>
      <c r="R27" s="1355" t="s">
        <v>5</v>
      </c>
      <c r="S27" s="1356">
        <f>F27</f>
        <v>100</v>
      </c>
      <c r="T27" s="1355" t="s">
        <v>5</v>
      </c>
      <c r="U27" s="1356">
        <f>H27</f>
        <v>100</v>
      </c>
      <c r="V27" s="1355" t="s">
        <v>5</v>
      </c>
      <c r="W27" s="1356">
        <f>J27</f>
        <v>100</v>
      </c>
      <c r="X27" s="1357"/>
      <c r="Y27" s="4392"/>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92"/>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92"/>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92"/>
      <c r="Q29" s="1359">
        <f t="shared" si="8"/>
        <v>111</v>
      </c>
      <c r="R29" s="1360" t="s">
        <v>5</v>
      </c>
      <c r="S29" s="1361">
        <f t="shared" si="9"/>
        <v>100</v>
      </c>
      <c r="T29" s="1360" t="s">
        <v>5</v>
      </c>
      <c r="U29" s="1361">
        <f t="shared" si="10"/>
        <v>100</v>
      </c>
      <c r="V29" s="1360" t="s">
        <v>5</v>
      </c>
      <c r="W29" s="1361">
        <f t="shared" si="11"/>
        <v>100</v>
      </c>
      <c r="X29" s="1354"/>
      <c r="Y29" s="4392"/>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92"/>
      <c r="Q30" s="1359">
        <f t="shared" si="8"/>
        <v>111</v>
      </c>
      <c r="R30" s="1360" t="s">
        <v>5</v>
      </c>
      <c r="S30" s="1361">
        <f t="shared" si="9"/>
        <v>100</v>
      </c>
      <c r="T30" s="1360" t="s">
        <v>5</v>
      </c>
      <c r="U30" s="1361">
        <f t="shared" si="10"/>
        <v>100</v>
      </c>
      <c r="V30" s="1360" t="s">
        <v>5</v>
      </c>
      <c r="W30" s="1361">
        <f t="shared" si="11"/>
        <v>100</v>
      </c>
      <c r="X30" s="1354"/>
      <c r="Y30" s="4392"/>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92"/>
      <c r="Q31" s="1359">
        <f t="shared" si="8"/>
        <v>111</v>
      </c>
      <c r="R31" s="1360" t="s">
        <v>5</v>
      </c>
      <c r="S31" s="1361">
        <f t="shared" si="9"/>
        <v>100</v>
      </c>
      <c r="T31" s="1360" t="s">
        <v>5</v>
      </c>
      <c r="U31" s="1361">
        <f t="shared" si="10"/>
        <v>100</v>
      </c>
      <c r="V31" s="1360" t="s">
        <v>5</v>
      </c>
      <c r="W31" s="1361">
        <f t="shared" si="11"/>
        <v>100</v>
      </c>
      <c r="X31" s="1354"/>
      <c r="Y31" s="4392"/>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93" t="s">
        <v>499</v>
      </c>
      <c r="Q32" s="1359" t="str">
        <f t="shared" si="8"/>
        <v>商业类型</v>
      </c>
      <c r="R32" s="1360" t="s">
        <v>5</v>
      </c>
      <c r="S32" s="1361">
        <f t="shared" si="9"/>
        <v>100</v>
      </c>
      <c r="T32" s="1360" t="s">
        <v>5</v>
      </c>
      <c r="U32" s="1361">
        <f t="shared" si="10"/>
        <v>100</v>
      </c>
      <c r="V32" s="1360" t="s">
        <v>5</v>
      </c>
      <c r="W32" s="1361">
        <f t="shared" si="11"/>
        <v>100</v>
      </c>
      <c r="X32" s="1354"/>
      <c r="Y32" s="4394" t="s">
        <v>499</v>
      </c>
      <c r="Z32" s="1362" t="str">
        <f t="shared" si="12"/>
        <v>商业类型</v>
      </c>
      <c r="AA32" s="1363">
        <f t="shared" si="3"/>
        <v>1</v>
      </c>
      <c r="AB32" s="1363">
        <f t="shared" si="4"/>
        <v>1</v>
      </c>
      <c r="AC32" s="1363">
        <f t="shared" si="5"/>
        <v>1</v>
      </c>
    </row>
    <row r="33" spans="1:29" s="1177" customFormat="1" ht="15">
      <c r="A33" s="552"/>
      <c r="B33" s="476" t="s">
        <v>673</v>
      </c>
      <c r="C33" s="820">
        <f>'数据-汇总表'!F20</f>
        <v>39</v>
      </c>
      <c r="D33" s="238">
        <v>100</v>
      </c>
      <c r="E33" s="483">
        <v>80</v>
      </c>
      <c r="F33" s="803">
        <f>LOOKUP(E33,103:103,104:104)-LOOKUP(C33,103:103,104:104)+100</f>
        <v>98</v>
      </c>
      <c r="G33" s="482">
        <v>200</v>
      </c>
      <c r="H33" s="238">
        <f>LOOKUP(G33,103:103,104:104)-LOOKUP(C33,103:103,104:104)+100</f>
        <v>96</v>
      </c>
      <c r="I33" s="482">
        <v>50</v>
      </c>
      <c r="J33" s="238">
        <f>LOOKUP(I33,103:103,104:104)-LOOKUP(C33,103:103,104:104)+100</f>
        <v>98</v>
      </c>
      <c r="K33" s="530"/>
      <c r="L33" s="1829"/>
      <c r="M33" s="1859"/>
      <c r="N33" s="1859"/>
      <c r="O33" s="1832"/>
      <c r="P33" s="4394"/>
      <c r="Q33" s="1388" t="str">
        <f t="shared" si="8"/>
        <v>项目建筑规模</v>
      </c>
      <c r="R33" s="1364" t="s">
        <v>5</v>
      </c>
      <c r="S33" s="1365">
        <f t="shared" si="9"/>
        <v>98</v>
      </c>
      <c r="T33" s="1364" t="s">
        <v>5</v>
      </c>
      <c r="U33" s="1365">
        <f t="shared" si="10"/>
        <v>96</v>
      </c>
      <c r="V33" s="1364" t="s">
        <v>5</v>
      </c>
      <c r="W33" s="1365">
        <f t="shared" si="11"/>
        <v>98</v>
      </c>
      <c r="X33" s="1366"/>
      <c r="Y33" s="4394"/>
      <c r="Z33" s="1367" t="str">
        <f t="shared" si="12"/>
        <v>项目建筑规模</v>
      </c>
      <c r="AA33" s="1363">
        <f t="shared" si="3"/>
        <v>1.0204081632653061</v>
      </c>
      <c r="AB33" s="1363">
        <f t="shared" si="4"/>
        <v>1.0416666666666667</v>
      </c>
      <c r="AC33" s="1363">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94"/>
      <c r="Q34" s="1359" t="str">
        <f t="shared" si="8"/>
        <v>建筑结构</v>
      </c>
      <c r="R34" s="1360" t="s">
        <v>5</v>
      </c>
      <c r="S34" s="1361">
        <f t="shared" si="9"/>
        <v>100</v>
      </c>
      <c r="T34" s="1360" t="s">
        <v>5</v>
      </c>
      <c r="U34" s="1361">
        <f t="shared" si="10"/>
        <v>100</v>
      </c>
      <c r="V34" s="1360" t="s">
        <v>5</v>
      </c>
      <c r="W34" s="1361">
        <f t="shared" si="11"/>
        <v>100</v>
      </c>
      <c r="X34" s="1354"/>
      <c r="Y34" s="4394"/>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94"/>
      <c r="Q35" s="1359" t="str">
        <f t="shared" si="8"/>
        <v>公共部分装修</v>
      </c>
      <c r="R35" s="1360" t="s">
        <v>5</v>
      </c>
      <c r="S35" s="1361">
        <f t="shared" si="9"/>
        <v>100</v>
      </c>
      <c r="T35" s="1360" t="s">
        <v>5</v>
      </c>
      <c r="U35" s="1361">
        <f t="shared" si="10"/>
        <v>100</v>
      </c>
      <c r="V35" s="1360" t="s">
        <v>5</v>
      </c>
      <c r="W35" s="1361">
        <f t="shared" si="11"/>
        <v>100</v>
      </c>
      <c r="X35" s="1354"/>
      <c r="Y35" s="4394"/>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94"/>
      <c r="Q36" s="1359" t="str">
        <f t="shared" si="8"/>
        <v>成新度</v>
      </c>
      <c r="R36" s="1360" t="s">
        <v>5</v>
      </c>
      <c r="S36" s="1361">
        <f t="shared" si="9"/>
        <v>100</v>
      </c>
      <c r="T36" s="1360" t="s">
        <v>5</v>
      </c>
      <c r="U36" s="1361">
        <f t="shared" si="10"/>
        <v>100</v>
      </c>
      <c r="V36" s="1360" t="s">
        <v>5</v>
      </c>
      <c r="W36" s="1361">
        <f t="shared" si="11"/>
        <v>100</v>
      </c>
      <c r="X36" s="1354"/>
      <c r="Y36" s="4394"/>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94"/>
      <c r="Q37" s="1027" t="str">
        <f t="shared" si="8"/>
        <v>市政基础设施</v>
      </c>
      <c r="R37" s="1355" t="s">
        <v>5</v>
      </c>
      <c r="S37" s="1356">
        <f t="shared" si="9"/>
        <v>100</v>
      </c>
      <c r="T37" s="1355" t="s">
        <v>5</v>
      </c>
      <c r="U37" s="1356">
        <f t="shared" si="10"/>
        <v>100</v>
      </c>
      <c r="V37" s="1355" t="s">
        <v>5</v>
      </c>
      <c r="W37" s="1356">
        <f t="shared" si="11"/>
        <v>100</v>
      </c>
      <c r="X37" s="1357"/>
      <c r="Y37" s="4394"/>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94" t="s">
        <v>706</v>
      </c>
      <c r="Q38" s="1359" t="str">
        <f t="shared" si="8"/>
        <v>业态</v>
      </c>
      <c r="R38" s="1360" t="s">
        <v>5</v>
      </c>
      <c r="S38" s="1361">
        <f t="shared" si="9"/>
        <v>100</v>
      </c>
      <c r="T38" s="1360" t="s">
        <v>5</v>
      </c>
      <c r="U38" s="1361">
        <f t="shared" si="10"/>
        <v>100</v>
      </c>
      <c r="V38" s="1360" t="s">
        <v>5</v>
      </c>
      <c r="W38" s="1361">
        <f t="shared" si="11"/>
        <v>100</v>
      </c>
      <c r="X38" s="1354"/>
      <c r="Y38" s="4394"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94"/>
      <c r="Q39" s="1359" t="str">
        <f t="shared" si="8"/>
        <v>层高</v>
      </c>
      <c r="R39" s="1360" t="s">
        <v>5</v>
      </c>
      <c r="S39" s="1361">
        <f t="shared" si="9"/>
        <v>100</v>
      </c>
      <c r="T39" s="1360" t="s">
        <v>5</v>
      </c>
      <c r="U39" s="1361">
        <f t="shared" si="10"/>
        <v>100</v>
      </c>
      <c r="V39" s="1360" t="s">
        <v>5</v>
      </c>
      <c r="W39" s="1361">
        <f t="shared" si="11"/>
        <v>100</v>
      </c>
      <c r="X39" s="1354"/>
      <c r="Y39" s="4394"/>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94"/>
      <c r="Q40" s="1359" t="str">
        <f t="shared" si="8"/>
        <v>单套建筑面积</v>
      </c>
      <c r="R40" s="1360" t="s">
        <v>5</v>
      </c>
      <c r="S40" s="1361">
        <f t="shared" si="9"/>
        <v>100</v>
      </c>
      <c r="T40" s="1360" t="s">
        <v>5</v>
      </c>
      <c r="U40" s="1361">
        <f t="shared" si="10"/>
        <v>100</v>
      </c>
      <c r="V40" s="1360" t="s">
        <v>5</v>
      </c>
      <c r="W40" s="1361">
        <f t="shared" si="11"/>
        <v>100</v>
      </c>
      <c r="X40" s="1354"/>
      <c r="Y40" s="4394"/>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94"/>
      <c r="Q41" s="1388" t="str">
        <f t="shared" si="8"/>
        <v>进深比</v>
      </c>
      <c r="R41" s="1364" t="s">
        <v>5</v>
      </c>
      <c r="S41" s="1365">
        <f t="shared" si="9"/>
        <v>100</v>
      </c>
      <c r="T41" s="1364" t="s">
        <v>5</v>
      </c>
      <c r="U41" s="1365">
        <f t="shared" si="10"/>
        <v>100</v>
      </c>
      <c r="V41" s="1364" t="s">
        <v>5</v>
      </c>
      <c r="W41" s="1365">
        <f t="shared" si="11"/>
        <v>100</v>
      </c>
      <c r="X41" s="1366"/>
      <c r="Y41" s="4394"/>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94"/>
      <c r="Q42" s="1359" t="str">
        <f t="shared" si="8"/>
        <v>内部装修</v>
      </c>
      <c r="R42" s="1360" t="s">
        <v>5</v>
      </c>
      <c r="S42" s="1361">
        <f t="shared" si="9"/>
        <v>100</v>
      </c>
      <c r="T42" s="1360" t="s">
        <v>5</v>
      </c>
      <c r="U42" s="1361">
        <f t="shared" si="10"/>
        <v>100</v>
      </c>
      <c r="V42" s="1360" t="s">
        <v>5</v>
      </c>
      <c r="W42" s="1361">
        <f t="shared" si="11"/>
        <v>100</v>
      </c>
      <c r="X42" s="1354"/>
      <c r="Y42" s="4394"/>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94"/>
      <c r="Q43" s="1359" t="str">
        <f t="shared" si="8"/>
        <v>内部装修维护情况</v>
      </c>
      <c r="R43" s="1360" t="s">
        <v>5</v>
      </c>
      <c r="S43" s="1361">
        <f t="shared" si="9"/>
        <v>100</v>
      </c>
      <c r="T43" s="1360" t="s">
        <v>5</v>
      </c>
      <c r="U43" s="1361">
        <f t="shared" si="10"/>
        <v>100</v>
      </c>
      <c r="V43" s="1360" t="s">
        <v>5</v>
      </c>
      <c r="W43" s="1361">
        <f t="shared" si="11"/>
        <v>100</v>
      </c>
      <c r="X43" s="1354"/>
      <c r="Y43" s="4394"/>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94"/>
      <c r="Q44" s="1027">
        <f t="shared" si="8"/>
        <v>111</v>
      </c>
      <c r="R44" s="1355" t="s">
        <v>5</v>
      </c>
      <c r="S44" s="1356">
        <f t="shared" si="9"/>
        <v>100</v>
      </c>
      <c r="T44" s="1355" t="s">
        <v>5</v>
      </c>
      <c r="U44" s="1356">
        <f t="shared" si="10"/>
        <v>100</v>
      </c>
      <c r="V44" s="1355" t="s">
        <v>5</v>
      </c>
      <c r="W44" s="1356">
        <f t="shared" si="11"/>
        <v>100</v>
      </c>
      <c r="X44" s="1357"/>
      <c r="Y44" s="4394"/>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94"/>
      <c r="Q45" s="1359">
        <f t="shared" si="8"/>
        <v>111</v>
      </c>
      <c r="R45" s="1360" t="s">
        <v>5</v>
      </c>
      <c r="S45" s="1361">
        <f t="shared" si="9"/>
        <v>100</v>
      </c>
      <c r="T45" s="1360" t="s">
        <v>5</v>
      </c>
      <c r="U45" s="1361">
        <f t="shared" si="10"/>
        <v>100</v>
      </c>
      <c r="V45" s="1360" t="s">
        <v>5</v>
      </c>
      <c r="W45" s="1361">
        <f t="shared" si="11"/>
        <v>100</v>
      </c>
      <c r="X45" s="1354"/>
      <c r="Y45" s="4394"/>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95"/>
      <c r="Q46" s="1359">
        <f t="shared" si="8"/>
        <v>111</v>
      </c>
      <c r="R46" s="1360" t="s">
        <v>5</v>
      </c>
      <c r="S46" s="1361">
        <f t="shared" si="9"/>
        <v>100</v>
      </c>
      <c r="T46" s="1360" t="s">
        <v>5</v>
      </c>
      <c r="U46" s="1361">
        <f t="shared" si="10"/>
        <v>100</v>
      </c>
      <c r="V46" s="1360" t="s">
        <v>5</v>
      </c>
      <c r="W46" s="1361">
        <f t="shared" si="11"/>
        <v>100</v>
      </c>
      <c r="X46" s="1354"/>
      <c r="Y46" s="4395"/>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372" t="str">
        <f>A47</f>
        <v>成交单价（元/平方米）</v>
      </c>
      <c r="Q47" s="4372"/>
      <c r="R47" s="4390">
        <f>E47</f>
        <v>2.2599999999999998</v>
      </c>
      <c r="S47" s="4390"/>
      <c r="T47" s="4390">
        <f>G47</f>
        <v>2.5</v>
      </c>
      <c r="U47" s="4390"/>
      <c r="V47" s="4390">
        <f>I47</f>
        <v>2.2000000000000002</v>
      </c>
      <c r="W47" s="4390"/>
      <c r="X47" s="1349"/>
      <c r="Y47" s="1368"/>
      <c r="Z47" s="1349"/>
      <c r="AA47" s="1349"/>
      <c r="AB47" s="1349"/>
      <c r="AC47" s="1349"/>
    </row>
    <row r="48" spans="1:29" ht="15.75" thickBot="1">
      <c r="A48" s="564" t="s">
        <v>2040</v>
      </c>
      <c r="B48" s="828"/>
      <c r="C48" s="2204">
        <f>R49</f>
        <v>2.2999999999999998</v>
      </c>
      <c r="D48" s="2701" t="s">
        <v>2255</v>
      </c>
      <c r="E48" s="2205">
        <f>R48</f>
        <v>2.2000000000000002</v>
      </c>
      <c r="F48" s="2702"/>
      <c r="G48" s="2204">
        <f>T48</f>
        <v>2.5</v>
      </c>
      <c r="H48" s="2702"/>
      <c r="I48" s="2205">
        <f>V48</f>
        <v>2.1</v>
      </c>
      <c r="J48" s="2702"/>
      <c r="K48" s="2710">
        <f>F48+H48+J48</f>
        <v>0</v>
      </c>
      <c r="L48" s="1833"/>
      <c r="M48" s="1834"/>
      <c r="N48" s="1823"/>
      <c r="O48" s="1834"/>
      <c r="P48" s="4372" t="str">
        <f>A48</f>
        <v>比较价格（元/平方米）</v>
      </c>
      <c r="Q48" s="4372"/>
      <c r="R48" s="4390">
        <f>IF(F1="售价",ROUND(PRODUCT(R47,AA7:AA46),0),ROUND(PRODUCT(R47,AA7:AA46),1))</f>
        <v>2.2000000000000002</v>
      </c>
      <c r="S48" s="4390"/>
      <c r="T48" s="4390">
        <f>IF(F1="售价",ROUND(PRODUCT(T47,AB7:AB46),0),ROUND(PRODUCT(T47,AB7:AB46),1))</f>
        <v>2.5</v>
      </c>
      <c r="U48" s="4390"/>
      <c r="V48" s="4390">
        <f>IF(F1="售价",ROUND(PRODUCT(V47,AC7:AC46),0),ROUND(PRODUCT(V47,AC7:AC46),1))</f>
        <v>2.1</v>
      </c>
      <c r="W48" s="4390"/>
      <c r="X48" s="1349"/>
      <c r="Y48" s="1349"/>
      <c r="Z48" s="1349"/>
      <c r="AA48" s="1349"/>
      <c r="AB48" s="1349"/>
      <c r="AC48" s="1349"/>
    </row>
    <row r="49" spans="1:29" ht="15.75" thickBot="1">
      <c r="A49" s="568" t="s">
        <v>2192</v>
      </c>
      <c r="B49" s="569"/>
      <c r="C49" s="2206">
        <f>R49</f>
        <v>2.2999999999999998</v>
      </c>
      <c r="D49" s="2206"/>
      <c r="E49" s="2206"/>
      <c r="F49" s="2206"/>
      <c r="G49" s="2206"/>
      <c r="H49" s="2206"/>
      <c r="I49" s="2206"/>
      <c r="J49" s="2206"/>
      <c r="K49" s="1394"/>
      <c r="L49" s="1833"/>
      <c r="M49" s="1834"/>
      <c r="N49" s="1823"/>
      <c r="O49" s="1834"/>
      <c r="P49" s="4387" t="str">
        <f>A49</f>
        <v>估价对象XX用房的比较价格（楼面单价，元/平方米）</v>
      </c>
      <c r="Q49" s="4388"/>
      <c r="R49" s="4389">
        <f>IF(F1="售价",ROUND(IF(D48="简单平均",AVERAGE(R48:V48),R48*F48+T48*H48+V48*J48),0),ROUND(IF(D48="简单平均",AVERAGE(R48:V48),R48*F48+T48*H48+V48*J48),1))</f>
        <v>2.2999999999999998</v>
      </c>
      <c r="S49" s="4389"/>
      <c r="T49" s="4389"/>
      <c r="U49" s="4389"/>
      <c r="V49" s="4389"/>
      <c r="W49" s="4389"/>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0</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0.13636363636363624</v>
      </c>
      <c r="F53" s="574" t="str">
        <f>IF(OR(E53&gt;=0.2,E53&lt;=-0.2),"超过20%","")</f>
        <v/>
      </c>
      <c r="G53" s="573">
        <f>IF(G48&lt;I48,I48/G48-1,G48/I48-1)</f>
        <v>0.19047619047619047</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xr:uid="{00000000-0002-0000-3000-000000000000}">
      <formula1>项目类型</formula1>
    </dataValidation>
    <dataValidation type="list" allowBlank="1" showInputMessage="1" showErrorMessage="1" sqref="C43 E43 G43 I43" xr:uid="{00000000-0002-0000-3000-000001000000}">
      <formula1>内部装修维护情况</formula1>
    </dataValidation>
    <dataValidation type="list" allowBlank="1" showInputMessage="1" showErrorMessage="1" sqref="E34 G34 I34" xr:uid="{00000000-0002-0000-3000-000002000000}">
      <formula1>住宅建筑结构</formula1>
    </dataValidation>
    <dataValidation type="list" allowBlank="1" showInputMessage="1" showErrorMessage="1" sqref="C20 G20 I20 E20" xr:uid="{00000000-0002-0000-3000-000003000000}">
      <formula1>公共配套设施</formula1>
    </dataValidation>
    <dataValidation type="list" allowBlank="1" showInputMessage="1" showErrorMessage="1" sqref="E18 G18 I18 C18" xr:uid="{00000000-0002-0000-3000-000004000000}">
      <formula1>交通便捷度</formula1>
    </dataValidation>
    <dataValidation type="list" allowBlank="1" showInputMessage="1" showErrorMessage="1" sqref="E24 G24 I24 C24" xr:uid="{00000000-0002-0000-3000-000005000000}">
      <formula1>环境</formula1>
    </dataValidation>
    <dataValidation type="list" allowBlank="1" showInputMessage="1" showErrorMessage="1" sqref="C25 E25 G25 I25" xr:uid="{00000000-0002-0000-3000-000006000000}">
      <formula1>商业临街状况</formula1>
    </dataValidation>
    <dataValidation type="list" allowBlank="1" showInputMessage="1" showErrorMessage="1" sqref="C27 E27 G27 I27" xr:uid="{00000000-0002-0000-3000-000007000000}">
      <formula1>商业人流量</formula1>
    </dataValidation>
    <dataValidation type="list" allowBlank="1" showInputMessage="1" showErrorMessage="1" sqref="C28 E28 G28 I28" xr:uid="{00000000-0002-0000-3000-000008000000}">
      <formula1>商业楼层</formula1>
    </dataValidation>
    <dataValidation type="list" allowBlank="1" showInputMessage="1" showErrorMessage="1" sqref="C32 E32 G32 I32" xr:uid="{00000000-0002-0000-3000-000009000000}">
      <formula1>商业类型</formula1>
    </dataValidation>
    <dataValidation type="list" allowBlank="1" showInputMessage="1" showErrorMessage="1" sqref="C34" xr:uid="{00000000-0002-0000-3000-00000A000000}">
      <formula1>商业建筑结构</formula1>
    </dataValidation>
    <dataValidation type="list" allowBlank="1" showInputMessage="1" showErrorMessage="1" sqref="C35 E35 G35 I35" xr:uid="{00000000-0002-0000-3000-00000B000000}">
      <formula1>商业公共部分装修</formula1>
    </dataValidation>
    <dataValidation type="list" allowBlank="1" showInputMessage="1" showErrorMessage="1" sqref="C37 E37 G37 I37" xr:uid="{00000000-0002-0000-3000-00000C000000}">
      <formula1>商业基础设施水平</formula1>
    </dataValidation>
    <dataValidation type="list" allowBlank="1" showInputMessage="1" showErrorMessage="1" sqref="C41 E41 G41 I41" xr:uid="{00000000-0002-0000-3000-00000D000000}">
      <formula1>商业进深比</formula1>
    </dataValidation>
    <dataValidation type="list" allowBlank="1" showInputMessage="1" showErrorMessage="1" sqref="C42 E42 G42 I42" xr:uid="{00000000-0002-0000-3000-00000E000000}">
      <formula1>商业内部装修</formula1>
    </dataValidation>
    <dataValidation type="list" allowBlank="1" showInputMessage="1" showErrorMessage="1" sqref="E9 G9 I9" xr:uid="{00000000-0002-0000-3000-00000F000000}">
      <formula1>商业用途</formula1>
    </dataValidation>
    <dataValidation type="list" allowBlank="1" showInputMessage="1" showErrorMessage="1" sqref="C38 E38 G38 I38" xr:uid="{00000000-0002-0000-3000-000010000000}">
      <formula1>商业业态</formula1>
    </dataValidation>
    <dataValidation type="list" allowBlank="1" showInputMessage="1" showErrorMessage="1" sqref="C39 E39 G39 I39" xr:uid="{00000000-0002-0000-3000-000011000000}">
      <formula1>商业层高</formula1>
    </dataValidation>
    <dataValidation type="list" allowBlank="1" showInputMessage="1" showErrorMessage="1" sqref="C8 E8 G8 I8" xr:uid="{00000000-0002-0000-3000-000012000000}">
      <formula1>商业交易情况</formula1>
    </dataValidation>
    <dataValidation type="list" allowBlank="1" showInputMessage="1" showErrorMessage="1" sqref="C16 E16 G16 I16" xr:uid="{00000000-0002-0000-3000-000013000000}">
      <formula1>商业繁华度</formula1>
    </dataValidation>
    <dataValidation type="list" allowBlank="1" showInputMessage="1" showErrorMessage="1" sqref="C22 E22 G22 I22" xr:uid="{00000000-0002-0000-3000-000014000000}">
      <formula1>基础设施水平</formula1>
    </dataValidation>
    <dataValidation type="list" allowBlank="1" showInputMessage="1" showErrorMessage="1" sqref="F1" xr:uid="{00000000-0002-0000-3000-000015000000}">
      <formula1>"售价,租金"</formula1>
    </dataValidation>
    <dataValidation type="list" allowBlank="1" showInputMessage="1" showErrorMessage="1" sqref="D48" xr:uid="{00000000-0002-0000-30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4162" t="s">
        <v>1556</v>
      </c>
      <c r="B1" s="4162"/>
      <c r="C1" s="4162"/>
      <c r="D1" s="4162"/>
      <c r="E1" s="4162"/>
      <c r="F1" s="4162"/>
      <c r="G1" s="4162"/>
      <c r="H1" s="4162"/>
      <c r="I1" s="4162"/>
      <c r="J1" s="4162"/>
      <c r="K1" s="4162"/>
      <c r="L1" s="4162"/>
      <c r="M1" s="4162"/>
      <c r="N1" s="4162"/>
      <c r="O1" s="4162"/>
      <c r="P1" s="4162"/>
      <c r="Q1" s="4162"/>
      <c r="R1" s="4162"/>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163" t="s">
        <v>1547</v>
      </c>
      <c r="B3" s="4163" t="s">
        <v>2011</v>
      </c>
      <c r="C3" s="4164" t="s">
        <v>1548</v>
      </c>
      <c r="D3" s="4163" t="s">
        <v>2015</v>
      </c>
      <c r="E3" s="4166" t="s">
        <v>1549</v>
      </c>
      <c r="F3" s="4166"/>
      <c r="G3" s="4166"/>
      <c r="H3" s="4166" t="s">
        <v>1550</v>
      </c>
      <c r="I3" s="4166"/>
      <c r="J3" s="4166"/>
      <c r="K3" s="4164" t="s">
        <v>1551</v>
      </c>
      <c r="L3" s="4164" t="s">
        <v>1552</v>
      </c>
      <c r="M3" s="4163" t="s">
        <v>2012</v>
      </c>
      <c r="N3" s="4165" t="str">
        <f>"（分摊）"&amp;项目基本情况!A17&amp;"国有建设用地使用权面积/㎡"</f>
        <v>（分摊）出让国有建设用地使用权面积/㎡</v>
      </c>
      <c r="O3" s="4163" t="s">
        <v>1581</v>
      </c>
      <c r="P3" s="4164" t="s">
        <v>1561</v>
      </c>
      <c r="Q3" s="4164" t="s">
        <v>1582</v>
      </c>
      <c r="R3" s="4164" t="s">
        <v>1553</v>
      </c>
    </row>
    <row r="4" spans="1:18" ht="36.75" customHeight="1">
      <c r="A4" s="4163"/>
      <c r="B4" s="4163"/>
      <c r="C4" s="4164"/>
      <c r="D4" s="4163"/>
      <c r="E4" s="2218" t="s">
        <v>1560</v>
      </c>
      <c r="F4" s="2218" t="s">
        <v>2024</v>
      </c>
      <c r="G4" s="2218" t="s">
        <v>1554</v>
      </c>
      <c r="H4" s="2218" t="s">
        <v>1555</v>
      </c>
      <c r="I4" s="2218" t="s">
        <v>2025</v>
      </c>
      <c r="J4" s="2218" t="s">
        <v>1554</v>
      </c>
      <c r="K4" s="4164"/>
      <c r="L4" s="4164"/>
      <c r="M4" s="4163"/>
      <c r="N4" s="4165"/>
      <c r="O4" s="4163"/>
      <c r="P4" s="4164"/>
      <c r="Q4" s="4164"/>
      <c r="R4" s="4164"/>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73711.9378</v>
      </c>
      <c r="P5" s="1567" t="e">
        <f ca="1">结果表!E42</f>
        <v>#REF!</v>
      </c>
      <c r="Q5" s="1567" t="e">
        <f ca="1">结果表!D42</f>
        <v>#REF!</v>
      </c>
      <c r="R5" s="1568" t="e">
        <f ca="1">结果表!C42</f>
        <v>#REF!</v>
      </c>
    </row>
    <row r="6" spans="1:18">
      <c r="A6" s="4167" t="str">
        <f>IF(项目基本情况!B9="市场价格","——","抵押价格")</f>
        <v>——</v>
      </c>
      <c r="B6" s="4168"/>
      <c r="C6" s="4168"/>
      <c r="D6" s="4168"/>
      <c r="E6" s="4168"/>
      <c r="F6" s="4168"/>
      <c r="G6" s="4168"/>
      <c r="H6" s="4168"/>
      <c r="I6" s="4168"/>
      <c r="J6" s="4168"/>
      <c r="K6" s="4168"/>
      <c r="L6" s="4168"/>
      <c r="M6" s="4168"/>
      <c r="N6" s="4168"/>
      <c r="O6" s="4168"/>
      <c r="P6" s="4168"/>
      <c r="Q6" s="4169"/>
      <c r="R6" s="1569" t="str">
        <f>结果表!O39</f>
        <v>——</v>
      </c>
    </row>
    <row r="7" spans="1:18">
      <c r="A7" s="4167" t="str">
        <f>IF(项目基本情况!B9="市场价格","——",IF(项目基本情况!E8="已注销及未注销","抵押担保权已注销时的抵押价格","——"))</f>
        <v>——</v>
      </c>
      <c r="B7" s="4168"/>
      <c r="C7" s="4168"/>
      <c r="D7" s="4168"/>
      <c r="E7" s="4168"/>
      <c r="F7" s="4168"/>
      <c r="G7" s="4168"/>
      <c r="H7" s="4168"/>
      <c r="I7" s="4168"/>
      <c r="J7" s="4168"/>
      <c r="K7" s="4168"/>
      <c r="L7" s="4168"/>
      <c r="M7" s="4168"/>
      <c r="N7" s="4168"/>
      <c r="O7" s="4168"/>
      <c r="P7" s="4168"/>
      <c r="Q7" s="4169"/>
      <c r="R7" s="1569" t="str">
        <f>结果表!O40</f>
        <v>——</v>
      </c>
    </row>
    <row r="8" spans="1:18">
      <c r="A8" s="4167" t="str">
        <f>IF(项目基本情况!B9="市场价格","——",项目基本情况!E9)</f>
        <v>——</v>
      </c>
      <c r="B8" s="4168"/>
      <c r="C8" s="4168"/>
      <c r="D8" s="4168"/>
      <c r="E8" s="4168"/>
      <c r="F8" s="4168"/>
      <c r="G8" s="4168"/>
      <c r="H8" s="4168"/>
      <c r="I8" s="4168"/>
      <c r="J8" s="4168"/>
      <c r="K8" s="4168"/>
      <c r="L8" s="4168"/>
      <c r="M8" s="4168"/>
      <c r="N8" s="4168"/>
      <c r="O8" s="4168"/>
      <c r="P8" s="4168"/>
      <c r="Q8" s="4169"/>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29:N44"/>
  <sheetViews>
    <sheetView workbookViewId="0">
      <selection activeCell="O15" sqref="O15"/>
    </sheetView>
  </sheetViews>
  <sheetFormatPr defaultColWidth="8.875" defaultRowHeight="13.5"/>
  <sheetData>
    <row r="29" spans="14:14">
      <c r="N29" t="s">
        <v>3365</v>
      </c>
    </row>
    <row r="35" spans="14:14">
      <c r="N35" t="s">
        <v>3367</v>
      </c>
    </row>
    <row r="44" spans="14:14">
      <c r="N44" t="s">
        <v>3366</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E490"/>
  <sheetViews>
    <sheetView view="pageBreakPreview" topLeftCell="A10" zoomScale="90" zoomScaleNormal="80" zoomScaleSheetLayoutView="90" workbookViewId="0">
      <selection activeCell="F32" sqref="F32"/>
    </sheetView>
  </sheetViews>
  <sheetFormatPr defaultColWidth="6.625" defaultRowHeight="12.75"/>
  <cols>
    <col min="1" max="1" width="13.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3300</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281.83100000000002</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3738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4485</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299</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875.1979</v>
      </c>
      <c r="D6" s="3852" t="s">
        <v>3352</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3300</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11607</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875.1979</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3.016</v>
      </c>
      <c r="D19" s="3846">
        <f>C9</f>
        <v>754</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12.0395</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35.007899999999999</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26.777799999999999</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26.777799999999999</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475.14170000000001</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475.14170000000001</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44.836399999999998</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44.836399999999998</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281.83100000000002</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xr:uid="{00000000-0002-0000-3200-000000000000}">
      <formula1>"已全部缴纳,已部分缴纳"</formula1>
    </dataValidation>
    <dataValidation type="list" allowBlank="1" showInputMessage="1" showErrorMessage="1" sqref="D7:K7" xr:uid="{00000000-0002-0000-3200-000001000000}">
      <formula1>项目类型</formula1>
    </dataValidation>
    <dataValidation type="list" allowBlank="1" showInputMessage="1" showErrorMessage="1" sqref="D6" xr:uid="{00000000-0002-0000-3200-000002000000}">
      <formula1>"比价法,收益法"</formula1>
    </dataValidation>
  </dataValidations>
  <pageMargins left="0.7" right="0.7" top="0.75" bottom="0.75" header="0.3" footer="0.3"/>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pageSetUpPr fitToPage="1"/>
  </sheetPr>
  <dimension ref="A1:AG76"/>
  <sheetViews>
    <sheetView view="pageBreakPreview" zoomScale="70" zoomScaleNormal="60" zoomScaleSheetLayoutView="70" workbookViewId="0">
      <selection activeCell="F6" sqref="F6"/>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3300</v>
      </c>
      <c r="D1" s="2497" t="s">
        <v>3303</v>
      </c>
      <c r="E1" s="2043" t="s">
        <v>808</v>
      </c>
      <c r="F1" s="2044">
        <f ca="1">J53</f>
        <v>47.5</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875.1979</v>
      </c>
      <c r="C2" s="2948"/>
      <c r="D2" s="2949"/>
      <c r="E2" s="2950"/>
      <c r="F2" s="2950"/>
      <c r="G2" s="2944"/>
      <c r="H2" s="1747"/>
      <c r="I2" s="1747"/>
      <c r="J2" s="1747"/>
      <c r="K2" s="1748"/>
      <c r="L2" s="1747"/>
      <c r="M2" s="1747"/>
    </row>
    <row r="3" spans="1:33" ht="18" customHeight="1" thickBot="1">
      <c r="A3" s="775" t="s">
        <v>468</v>
      </c>
      <c r="B3" s="776">
        <f ca="1">IF(ISERROR(B2*10000/F43),0,ROUND(B2*10000/F43,0))</f>
        <v>11607</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72.167600000000007</v>
      </c>
      <c r="D5" s="2107" t="s">
        <v>1803</v>
      </c>
      <c r="E5" s="2101"/>
      <c r="F5" s="2102"/>
      <c r="G5" s="1752"/>
      <c r="H5" s="726">
        <v>1</v>
      </c>
      <c r="I5" s="727" t="s">
        <v>1800</v>
      </c>
      <c r="J5" s="52">
        <f ca="1">J6+J10+J12</f>
        <v>0</v>
      </c>
      <c r="K5" s="2107" t="s">
        <v>1803</v>
      </c>
      <c r="L5" s="2101"/>
      <c r="M5" s="2102"/>
    </row>
    <row r="6" spans="1:33" ht="18" customHeight="1">
      <c r="A6" s="1584" t="s">
        <v>1353</v>
      </c>
      <c r="B6" s="4480" t="s">
        <v>1805</v>
      </c>
      <c r="C6" s="3711">
        <f ca="1">ROUND(F6*F8*F7*(1-F9)/10000,4)</f>
        <v>72.077500000000001</v>
      </c>
      <c r="D6" s="2108" t="s">
        <v>1804</v>
      </c>
      <c r="E6" s="729" t="s">
        <v>585</v>
      </c>
      <c r="F6" s="730">
        <f ca="1">INDIRECT("'数据-取费表'!u"&amp;$G$1)</f>
        <v>2.7</v>
      </c>
      <c r="G6" s="1752"/>
      <c r="H6" s="2115" t="s">
        <v>1353</v>
      </c>
      <c r="I6" s="4480" t="s">
        <v>1805</v>
      </c>
      <c r="J6" s="728">
        <f ca="1">ROUND(M6*M8*M7*(1-M9)/10000,0)</f>
        <v>0</v>
      </c>
      <c r="K6" s="324" t="s">
        <v>584</v>
      </c>
      <c r="L6" s="729" t="s">
        <v>585</v>
      </c>
      <c r="M6" s="730">
        <f ca="1">INDIRECT("'数据-取费表'!z"&amp;$G$1)</f>
        <v>0</v>
      </c>
    </row>
    <row r="7" spans="1:33" ht="18" customHeight="1">
      <c r="A7" s="2111"/>
      <c r="B7" s="4481"/>
      <c r="C7" s="3714"/>
      <c r="D7" s="734"/>
      <c r="E7" s="729" t="s">
        <v>586</v>
      </c>
      <c r="F7" s="730">
        <f ca="1">IF(INDIRECT("'数据-取费表'!ah"&amp;$G$1)="",INDIRECT("'数据-取费表'!k"&amp;$G$1),INDIRECT("'数据-取费表'!ah"&amp;$G$1))</f>
        <v>754</v>
      </c>
      <c r="G7" s="1752"/>
      <c r="H7" s="2100"/>
      <c r="I7" s="4481"/>
      <c r="J7" s="733"/>
      <c r="K7" s="734"/>
      <c r="L7" s="729" t="s">
        <v>586</v>
      </c>
      <c r="M7" s="730">
        <f ca="1">F7</f>
        <v>754</v>
      </c>
    </row>
    <row r="8" spans="1:33" ht="18" customHeight="1">
      <c r="A8" s="2104"/>
      <c r="B8" s="4482"/>
      <c r="C8" s="3714"/>
      <c r="D8" s="734"/>
      <c r="E8" s="729" t="s">
        <v>587</v>
      </c>
      <c r="F8" s="730">
        <f ca="1">INDIRECT("'数据-取费表'!ai"&amp;$G$1)</f>
        <v>365</v>
      </c>
      <c r="G8" s="1752"/>
      <c r="H8" s="2100"/>
      <c r="I8" s="4482"/>
      <c r="J8" s="733"/>
      <c r="K8" s="734"/>
      <c r="L8" s="729" t="s">
        <v>587</v>
      </c>
      <c r="M8" s="730">
        <f ca="1">INDIRECT("'数据-取费表'!ai"&amp;$G$1)</f>
        <v>365</v>
      </c>
    </row>
    <row r="9" spans="1:33" ht="18" customHeight="1">
      <c r="A9" s="731"/>
      <c r="B9" s="4483"/>
      <c r="C9" s="3714"/>
      <c r="D9" s="734"/>
      <c r="E9" s="729" t="s">
        <v>588</v>
      </c>
      <c r="F9" s="739">
        <f ca="1">INDIRECT("'数据-取费表'!w"&amp;$G$1)</f>
        <v>0.03</v>
      </c>
      <c r="G9" s="1752"/>
      <c r="H9" s="2116"/>
      <c r="I9" s="4482"/>
      <c r="J9" s="733"/>
      <c r="K9" s="734"/>
      <c r="L9" s="740" t="s">
        <v>588</v>
      </c>
      <c r="M9" s="741">
        <f ca="1">INDIRECT("'数据-取费表'!ab"&amp;$G$1)</f>
        <v>0</v>
      </c>
    </row>
    <row r="10" spans="1:33" ht="18" customHeight="1">
      <c r="A10" s="1584" t="s">
        <v>1354</v>
      </c>
      <c r="B10" s="2105" t="s">
        <v>1801</v>
      </c>
      <c r="C10" s="3698">
        <f ca="1">ROUND(IF(F10="押一",C6/12*F11,IF(F10="押二",C6/12*2*F11,IF(F10="押三",C6/12*3*F11,C11*F11))),4)</f>
        <v>9.01E-2</v>
      </c>
      <c r="D10" s="2112" t="s">
        <v>2226</v>
      </c>
      <c r="E10" s="2109" t="s">
        <v>1806</v>
      </c>
      <c r="F10" s="2193" t="s">
        <v>3333</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508.94729999999998</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508.94729999999998</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3</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0.09</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0.09</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628.33000000000004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2.54</v>
      </c>
      <c r="K22" s="3830" t="s">
        <v>624</v>
      </c>
      <c r="L22" s="729" t="s">
        <v>597</v>
      </c>
      <c r="M22" s="760">
        <f ca="1">INDIRECT("'数据-取费表'!Ak"&amp;$G$1)</f>
        <v>5.0000000000000001E-3</v>
      </c>
    </row>
    <row r="23" spans="1:33" s="1754" customFormat="1" ht="18" customHeight="1">
      <c r="A23" s="1424" t="s">
        <v>1360</v>
      </c>
      <c r="B23" s="729" t="s">
        <v>1782</v>
      </c>
      <c r="C23" s="3695">
        <f ca="1">ROUND(IF('数据-取费表'!B22&lt;=1,(C19+C20)*F24*F23/2,(C19+C20)*(POWER((1+F24),F23/2)-1)),4)</f>
        <v>23.620200000000001</v>
      </c>
      <c r="D23" s="2151" t="str">
        <f>IF(F23&lt;=1,"(建造成本+管理费用)×利率×(建设周期÷2)","(建造成本+管理费用)×((1+利率)^(建设周期÷2)-1)")</f>
        <v>(建造成本+管理费用)×((1+利率)^(建设周期÷2)-1)</v>
      </c>
      <c r="E23" s="729" t="s">
        <v>625</v>
      </c>
      <c r="F23" s="587">
        <f>'数据-取费表'!B20</f>
        <v>2.5</v>
      </c>
      <c r="G23" s="2945"/>
      <c r="H23" s="1425" t="s">
        <v>1415</v>
      </c>
      <c r="I23" s="729" t="s">
        <v>626</v>
      </c>
      <c r="J23" s="50">
        <f ca="1">ROUND(J13*M23,2)</f>
        <v>0</v>
      </c>
      <c r="K23" s="3830" t="s">
        <v>627</v>
      </c>
      <c r="L23" s="729" t="s">
        <v>597</v>
      </c>
      <c r="M23" s="761">
        <f ca="1">INDIRECT("'数据-取费表'!Al"&amp;$G$1)</f>
        <v>1.5E-3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0.01</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-3</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508.94729999999998</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16.136900000000001</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12.107100000000001</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3.7755000000000001</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8.2373999999999992</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9.4200000000000006E-2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628.33000000000004</v>
      </c>
      <c r="G35" s="1752"/>
      <c r="H35" s="1755"/>
      <c r="I35" s="779" t="s">
        <v>1343</v>
      </c>
      <c r="J35" s="780">
        <f ca="1">ROUND(C13*J36,0)</f>
        <v>36</v>
      </c>
      <c r="K35" s="1768"/>
      <c r="L35" s="1767"/>
      <c r="M35" s="1767"/>
    </row>
    <row r="36" spans="1:18" ht="18" customHeight="1">
      <c r="A36" s="1425" t="s">
        <v>1414</v>
      </c>
      <c r="B36" s="729" t="s">
        <v>623</v>
      </c>
      <c r="C36" s="3695">
        <f ca="1">ROUND(C29*F36,4)</f>
        <v>2.5447000000000002</v>
      </c>
      <c r="D36" s="3830" t="s">
        <v>638</v>
      </c>
      <c r="E36" s="729" t="s">
        <v>597</v>
      </c>
      <c r="F36" s="760">
        <f ca="1">INDIRECT("'数据-取费表'!Ak"&amp;$G$1)</f>
        <v>5.0000000000000001E-3</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0.76339999999999997</v>
      </c>
      <c r="D37" s="3830" t="s">
        <v>627</v>
      </c>
      <c r="E37" s="729" t="s">
        <v>597</v>
      </c>
      <c r="F37" s="761">
        <f ca="1">INDIRECT("'数据-取费表'!Al"&amp;$G$1)</f>
        <v>1.5E-3</v>
      </c>
      <c r="G37" s="1752"/>
      <c r="H37" s="1767"/>
      <c r="I37" s="783" t="s">
        <v>1345</v>
      </c>
      <c r="J37" s="784"/>
      <c r="K37" s="1771"/>
      <c r="L37" s="1767"/>
      <c r="M37" s="1767"/>
    </row>
    <row r="38" spans="1:18" ht="18" customHeight="1" thickBot="1">
      <c r="A38" s="2133" t="s">
        <v>1416</v>
      </c>
      <c r="B38" s="2128" t="s">
        <v>613</v>
      </c>
      <c r="C38" s="3703">
        <f ca="1">ROUND(C5*F38,4)</f>
        <v>0.72170000000000001</v>
      </c>
      <c r="D38" s="2127" t="s">
        <v>630</v>
      </c>
      <c r="E38" s="2128" t="s">
        <v>597</v>
      </c>
      <c r="F38" s="2124">
        <f ca="1">INDIRECT("'数据-取费表'!Am"&amp;$G$1)</f>
        <v>0.01</v>
      </c>
      <c r="G38" s="1752"/>
      <c r="H38" s="1767"/>
      <c r="I38" s="785" t="s">
        <v>1346</v>
      </c>
      <c r="J38" s="786"/>
      <c r="K38" s="1772"/>
      <c r="L38" s="1767"/>
      <c r="M38" s="1767"/>
    </row>
    <row r="39" spans="1:18" ht="24.6" customHeight="1" thickTop="1">
      <c r="A39" s="1583" t="s">
        <v>1305</v>
      </c>
      <c r="B39" s="2432" t="s">
        <v>2097</v>
      </c>
      <c r="C39" s="3701">
        <f ca="1">C5-C30</f>
        <v>56.03070000000001</v>
      </c>
      <c r="D39" s="2130" t="s">
        <v>647</v>
      </c>
      <c r="E39" s="2131"/>
      <c r="F39" s="2132"/>
      <c r="G39" s="1752"/>
      <c r="H39" s="1767"/>
      <c r="I39" s="779" t="s">
        <v>1347</v>
      </c>
      <c r="J39" s="787">
        <f ca="1">ROUND(J35/C39,3)</f>
        <v>0.64300000000000002</v>
      </c>
      <c r="K39" s="1772"/>
      <c r="L39" s="1767"/>
      <c r="M39" s="1767"/>
    </row>
    <row r="40" spans="1:18" ht="18" customHeight="1">
      <c r="A40" s="726" t="s">
        <v>1309</v>
      </c>
      <c r="B40" s="1917" t="s">
        <v>1658</v>
      </c>
      <c r="C40" s="3711">
        <f ca="1">ROUND(C39*(1-((1+F42)/(1+F40))^F41)/(F40-F42),4)</f>
        <v>875.1979</v>
      </c>
      <c r="D40" s="757" t="s">
        <v>651</v>
      </c>
      <c r="E40" s="729" t="s">
        <v>1771</v>
      </c>
      <c r="F40" s="739">
        <f ca="1">INDIRECT("'数据-取费表'!I"&amp;$G$1)</f>
        <v>0.06</v>
      </c>
      <c r="G40" s="1752"/>
      <c r="H40" s="1752"/>
      <c r="I40" s="779" t="s">
        <v>1348</v>
      </c>
      <c r="J40" s="787">
        <f ca="1">1-J39</f>
        <v>0.35699999999999998</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47.5</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0.58199999999999996</v>
      </c>
      <c r="K42" s="1771"/>
      <c r="L42" s="1707"/>
      <c r="M42" s="1707"/>
    </row>
    <row r="43" spans="1:18" ht="18" customHeight="1" thickBot="1">
      <c r="A43" s="766" t="s">
        <v>1316</v>
      </c>
      <c r="B43" s="767" t="s">
        <v>1339</v>
      </c>
      <c r="C43" s="3715">
        <f ca="1">ROUND(C40*10000/F43,0)</f>
        <v>11607</v>
      </c>
      <c r="D43" s="769" t="s">
        <v>1340</v>
      </c>
      <c r="E43" s="770" t="s">
        <v>1341</v>
      </c>
      <c r="F43" s="771">
        <f ca="1">INDIRECT("'数据-取费表'!k"&amp;$G$1)</f>
        <v>754</v>
      </c>
      <c r="G43" s="1752"/>
      <c r="H43" s="1707"/>
      <c r="I43" s="789" t="s">
        <v>1351</v>
      </c>
      <c r="J43" s="790">
        <f ca="1">1-J42</f>
        <v>0.41800000000000004</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-922.1979</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875.1979</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508.94729999999998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387</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47.5</v>
      </c>
      <c r="K53" s="4486" t="s">
        <v>2220</v>
      </c>
      <c r="L53" s="4487"/>
      <c r="M53" s="2947"/>
      <c r="O53" s="2057" t="s">
        <v>1740</v>
      </c>
      <c r="P53" s="2055" t="s">
        <v>1741</v>
      </c>
      <c r="Q53" s="2056">
        <f ca="1">J53</f>
        <v>47.5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875.1979</v>
      </c>
      <c r="R54" s="2059" t="s">
        <v>1744</v>
      </c>
    </row>
    <row r="55" spans="1:18" s="1749" customFormat="1" ht="18" customHeight="1" thickTop="1" thickBot="1">
      <c r="A55" s="742">
        <v>2</v>
      </c>
      <c r="B55" s="743" t="s">
        <v>592</v>
      </c>
      <c r="C55" s="744">
        <f ca="1">C13</f>
        <v>508.94729999999998</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508.94729999999998</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3</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875.1979</v>
      </c>
      <c r="R57" s="2055" t="s">
        <v>1732</v>
      </c>
    </row>
    <row r="58" spans="1:18" s="1749" customFormat="1" ht="28.5" customHeight="1" thickBot="1">
      <c r="A58" s="1425" t="s">
        <v>1353</v>
      </c>
      <c r="B58" s="729" t="s">
        <v>604</v>
      </c>
      <c r="C58" s="2706">
        <f ca="1">ROUND(IF(AND(项目基本情况!B11="自然人",项目基本情况!B10="北京市"),C48*F58/(1+'数据-取费表'!C42),C59+C60+C61),2)</f>
        <v>0.09</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0.09</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628.33000000000004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2.54</v>
      </c>
      <c r="D63" s="3830" t="s">
        <v>638</v>
      </c>
      <c r="E63" s="729" t="s">
        <v>597</v>
      </c>
      <c r="F63" s="760">
        <f t="shared" ca="1" si="0"/>
        <v>5.0000000000000001E-3</v>
      </c>
      <c r="I63" s="2523" t="s">
        <v>1722</v>
      </c>
      <c r="J63" s="2524">
        <v>70</v>
      </c>
      <c r="K63" s="2524">
        <v>50</v>
      </c>
      <c r="L63" s="2524">
        <v>80</v>
      </c>
      <c r="M63" s="2526">
        <v>0.02</v>
      </c>
      <c r="O63" s="2054" t="s">
        <v>1743</v>
      </c>
      <c r="P63" s="2055" t="s">
        <v>1760</v>
      </c>
      <c r="Q63" s="2056">
        <f ca="1">Q57+Q58</f>
        <v>875.1979</v>
      </c>
      <c r="R63" s="2059" t="s">
        <v>1744</v>
      </c>
    </row>
    <row r="64" spans="1:18" s="1749" customFormat="1" ht="16.5" thickBot="1">
      <c r="A64" s="1425" t="s">
        <v>1415</v>
      </c>
      <c r="B64" s="729" t="s">
        <v>626</v>
      </c>
      <c r="C64" s="50">
        <f ca="1">ROUND(C55*F64,2)</f>
        <v>0.76</v>
      </c>
      <c r="D64" s="3830" t="s">
        <v>627</v>
      </c>
      <c r="E64" s="729" t="s">
        <v>597</v>
      </c>
      <c r="F64" s="761">
        <f t="shared" ca="1" si="0"/>
        <v>1.5E-3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0.01</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-3</v>
      </c>
      <c r="D66" s="3829" t="s">
        <v>647</v>
      </c>
      <c r="E66" s="3827"/>
      <c r="F66" s="763"/>
      <c r="K66" s="1775"/>
      <c r="O66" s="2054" t="s">
        <v>1731</v>
      </c>
      <c r="P66" s="2055" t="s">
        <v>1757</v>
      </c>
      <c r="Q66" s="2056">
        <f ca="1">C40+J29</f>
        <v>875.1979</v>
      </c>
      <c r="R66" s="2055" t="s">
        <v>1732</v>
      </c>
    </row>
    <row r="67" spans="1:18" s="1749" customFormat="1" ht="20.25" thickBot="1">
      <c r="A67" s="726" t="s">
        <v>1309</v>
      </c>
      <c r="B67" s="1917" t="s">
        <v>1658</v>
      </c>
      <c r="C67" s="728">
        <f ca="1">ROUND(C66*(1-((1+F69)/(1+F67))^F68)/(F67-F69),0)</f>
        <v>-47</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47.5</v>
      </c>
      <c r="O68" s="2057" t="s">
        <v>1735</v>
      </c>
      <c r="P68" s="2055" t="s">
        <v>1765</v>
      </c>
      <c r="Q68" s="2061">
        <f ca="1">L51</f>
        <v>387</v>
      </c>
      <c r="R68" s="2062" t="s">
        <v>1768</v>
      </c>
    </row>
    <row r="69" spans="1:18" ht="20.25" thickBot="1">
      <c r="A69" s="735"/>
      <c r="B69" s="736"/>
      <c r="C69" s="737"/>
      <c r="D69" s="759"/>
      <c r="E69" s="729" t="s">
        <v>657</v>
      </c>
      <c r="F69" s="2029"/>
      <c r="O69" s="2057" t="s">
        <v>1736</v>
      </c>
      <c r="P69" s="2063" t="s">
        <v>1750</v>
      </c>
      <c r="Q69" s="2056">
        <f ca="1">ROUND(Q70-Q71*Q72,0)</f>
        <v>20</v>
      </c>
      <c r="R69" s="2059"/>
    </row>
    <row r="70" spans="1:18" ht="15.75" thickBot="1">
      <c r="A70" s="766" t="s">
        <v>1316</v>
      </c>
      <c r="B70" s="767" t="s">
        <v>1339</v>
      </c>
      <c r="C70" s="768">
        <f ca="1">ROUND(C67*10000/F70,0)</f>
        <v>-623</v>
      </c>
      <c r="D70" s="769" t="s">
        <v>1340</v>
      </c>
      <c r="E70" s="770" t="s">
        <v>1341</v>
      </c>
      <c r="F70" s="771">
        <f ca="1">F43</f>
        <v>754</v>
      </c>
      <c r="O70" s="2057" t="s">
        <v>1751</v>
      </c>
      <c r="P70" s="2063" t="s">
        <v>1752</v>
      </c>
      <c r="Q70" s="2056">
        <f ca="1">C39</f>
        <v>56.03070000000001</v>
      </c>
      <c r="R70" s="2055" t="s">
        <v>1732</v>
      </c>
    </row>
    <row r="71" spans="1:18" ht="15.75" thickBot="1">
      <c r="O71" s="2057" t="s">
        <v>1753</v>
      </c>
      <c r="P71" s="2063" t="s">
        <v>1754</v>
      </c>
      <c r="Q71" s="2056">
        <f ca="1">C13</f>
        <v>508.94729999999998</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875.1979</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xr:uid="{00000000-0002-0000-3300-000000000000}">
      <formula1>"土地（套用方法）,——"</formula1>
    </dataValidation>
    <dataValidation type="list" allowBlank="1" showInputMessage="1" showErrorMessage="1" sqref="F10 M10 F52" xr:uid="{00000000-0002-0000-3300-000001000000}">
      <formula1>"押一,押二,押三,自定义"</formula1>
    </dataValidation>
    <dataValidation type="list" allowBlank="1" showInputMessage="1" showErrorMessage="1" sqref="J48" xr:uid="{00000000-0002-0000-3300-000002000000}">
      <formula1>"非生产用房,生产用房,受腐蚀的生产用房"</formula1>
    </dataValidation>
    <dataValidation type="list" allowBlank="1" showInputMessage="1" showErrorMessage="1" sqref="J47" xr:uid="{00000000-0002-0000-3300-000003000000}">
      <formula1>"钢,钢混,砖混"</formula1>
    </dataValidation>
    <dataValidation type="list" allowBlank="1" showInputMessage="1" showErrorMessage="1" sqref="J56" xr:uid="{00000000-0002-0000-3300-000004000000}">
      <formula1>估价范围判定</formula1>
    </dataValidation>
    <dataValidation type="list" allowBlank="1" showInputMessage="1" showErrorMessage="1" sqref="D33" xr:uid="{00000000-0002-0000-3300-000005000000}">
      <formula1>"按租金收入计税,按房产原值计税,按票据"</formula1>
    </dataValidation>
    <dataValidation type="list" allowBlank="1" showInputMessage="1" showErrorMessage="1" sqref="K19" xr:uid="{00000000-0002-0000-3300-000006000000}">
      <formula1>"按租金收入计税,按房产原值计税"</formula1>
    </dataValidation>
    <dataValidation type="list" allowBlank="1" showInputMessage="1" showErrorMessage="1" sqref="C1:C3" xr:uid="{00000000-0002-0000-3300-000007000000}">
      <formula1>项目类型</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3303</v>
      </c>
      <c r="E1" s="2043" t="s">
        <v>808</v>
      </c>
      <c r="F1" s="2044">
        <f ca="1">J53</f>
        <v>67.5</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480" t="s">
        <v>1805</v>
      </c>
      <c r="C6" s="3711">
        <f ca="1">ROUND(F6*F8*F7*(1-F9)/10000,4)</f>
        <v>0</v>
      </c>
      <c r="D6" s="2108" t="s">
        <v>1804</v>
      </c>
      <c r="E6" s="729" t="s">
        <v>1267</v>
      </c>
      <c r="F6" s="730">
        <f ca="1">INDIRECT("'数据-取费表'!u"&amp;$G$1)</f>
        <v>0</v>
      </c>
      <c r="G6" s="1752"/>
      <c r="H6" s="3878" t="s">
        <v>1353</v>
      </c>
      <c r="I6" s="4507" t="s">
        <v>1805</v>
      </c>
      <c r="J6" s="3879">
        <f ca="1">ROUND(M6*M8*M7*(1-M9)/10000,0)</f>
        <v>0</v>
      </c>
      <c r="K6" s="3880" t="s">
        <v>1266</v>
      </c>
      <c r="L6" s="3838" t="s">
        <v>1267</v>
      </c>
      <c r="M6" s="3881">
        <f ca="1">INDIRECT("'数据-取费表'!z"&amp;$G$1)</f>
        <v>0</v>
      </c>
    </row>
    <row r="7" spans="1:33" ht="18" customHeight="1">
      <c r="A7" s="2111"/>
      <c r="B7" s="4481"/>
      <c r="C7" s="3714"/>
      <c r="D7" s="734"/>
      <c r="E7" s="729" t="s">
        <v>586</v>
      </c>
      <c r="F7" s="730">
        <f ca="1">IF(INDIRECT("'数据-取费表'!ah"&amp;$G$1)="",INDIRECT("'数据-取费表'!k"&amp;$G$1),INDIRECT("'数据-取费表'!ah"&amp;$G$1))</f>
        <v>68148.539999999994</v>
      </c>
      <c r="G7" s="1752"/>
      <c r="H7" s="3882"/>
      <c r="I7" s="4508"/>
      <c r="J7" s="3883"/>
      <c r="K7" s="3884"/>
      <c r="L7" s="3838" t="s">
        <v>586</v>
      </c>
      <c r="M7" s="3881">
        <f ca="1">F7</f>
        <v>68148.539999999994</v>
      </c>
    </row>
    <row r="8" spans="1:33" ht="18" customHeight="1">
      <c r="A8" s="2104"/>
      <c r="B8" s="4482"/>
      <c r="C8" s="3714"/>
      <c r="D8" s="734"/>
      <c r="E8" s="729" t="s">
        <v>587</v>
      </c>
      <c r="F8" s="730">
        <f ca="1">INDIRECT("'数据-取费表'!ai"&amp;$G$1)</f>
        <v>0</v>
      </c>
      <c r="G8" s="1752"/>
      <c r="H8" s="3882"/>
      <c r="I8" s="4509"/>
      <c r="J8" s="3883"/>
      <c r="K8" s="3884"/>
      <c r="L8" s="3838" t="s">
        <v>587</v>
      </c>
      <c r="M8" s="3881">
        <f ca="1">INDIRECT("'数据-取费表'!ai"&amp;$G$1)</f>
        <v>0</v>
      </c>
    </row>
    <row r="9" spans="1:33" ht="18" customHeight="1">
      <c r="A9" s="731"/>
      <c r="B9" s="4483"/>
      <c r="C9" s="3714"/>
      <c r="D9" s="734"/>
      <c r="E9" s="729" t="s">
        <v>588</v>
      </c>
      <c r="F9" s="739">
        <f ca="1">INDIRECT("'数据-取费表'!w"&amp;$G$1)</f>
        <v>0</v>
      </c>
      <c r="G9" s="1752"/>
      <c r="H9" s="3885"/>
      <c r="I9" s="4509"/>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30666.843000000001</v>
      </c>
      <c r="D14" s="3718" t="s">
        <v>594</v>
      </c>
      <c r="E14" s="3719"/>
      <c r="F14" s="749"/>
      <c r="G14" s="1752"/>
      <c r="H14" s="3910" t="s">
        <v>1353</v>
      </c>
      <c r="I14" s="3911" t="s">
        <v>2100</v>
      </c>
      <c r="J14" s="3912">
        <f ca="1">C29</f>
        <v>57781.947800000002</v>
      </c>
      <c r="K14" s="3840"/>
      <c r="L14" s="3913"/>
      <c r="M14" s="3914"/>
    </row>
    <row r="15" spans="1:33" s="1754" customFormat="1" ht="18" hidden="1" customHeight="1" thickBot="1">
      <c r="A15" s="1424" t="s">
        <v>1361</v>
      </c>
      <c r="B15" s="729" t="s">
        <v>595</v>
      </c>
      <c r="C15" s="3695">
        <f ca="1">ROUND(C14*F15,4)</f>
        <v>1533.3422</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3304</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2044.4562000000001</v>
      </c>
      <c r="D17" s="729" t="s">
        <v>602</v>
      </c>
      <c r="E17" s="729" t="s">
        <v>603</v>
      </c>
      <c r="F17" s="53">
        <f>'数据-取费表'!B35</f>
        <v>300</v>
      </c>
      <c r="G17" s="2945"/>
      <c r="H17" s="3910" t="s">
        <v>1353</v>
      </c>
      <c r="I17" s="3838" t="s">
        <v>604</v>
      </c>
      <c r="J17" s="3912">
        <f ca="1">ROUND(IF(AND(项目基本情况!B11="自然人",项目基本情况!B10="北京市"),J6*M17/(1+'数据-取费表'!C42),J18+J19+J20),2)</f>
        <v>9.07</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460.00259999999997</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36851.322999999997</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1105.5397</v>
      </c>
      <c r="D20" s="755" t="s">
        <v>614</v>
      </c>
      <c r="E20" s="729" t="s">
        <v>597</v>
      </c>
      <c r="F20" s="753">
        <f>'数据-取费表'!B37</f>
        <v>0.03</v>
      </c>
      <c r="G20" s="2945"/>
      <c r="H20" s="3927" t="s">
        <v>1362</v>
      </c>
      <c r="I20" s="3880" t="s">
        <v>615</v>
      </c>
      <c r="J20" s="3928">
        <f ca="1">ROUND(M20*M21/10000,2)</f>
        <v>9.07</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60465.75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2266.9142999999999</v>
      </c>
      <c r="D23" s="2151" t="str">
        <f>IF(F23&lt;=1,"(建造成本+管理费用)×利率×(建设周期÷2)","(建造成本+管理费用)×((1+利率)^(建设周期÷2)-1)")</f>
        <v>(建造成本+管理费用)×((1+利率)^(建设周期÷2)-1)</v>
      </c>
      <c r="E23" s="729" t="s">
        <v>625</v>
      </c>
      <c r="F23" s="587">
        <f>'数据-取费表'!B20</f>
        <v>2.5</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11387.058800000001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57781.947800000002</v>
      </c>
      <c r="D29" s="2127"/>
      <c r="E29" s="2128"/>
      <c r="F29" s="2129"/>
      <c r="G29" s="2945"/>
      <c r="H29" s="3952" t="s">
        <v>1316</v>
      </c>
      <c r="I29" s="3953" t="s">
        <v>1317</v>
      </c>
      <c r="J29" s="3954">
        <f ca="1">ROUND(J26/(1+F40)^F41,0)</f>
        <v>0</v>
      </c>
      <c r="K29" s="3955" t="s">
        <v>635</v>
      </c>
      <c r="L29" s="3956"/>
      <c r="M29" s="3957">
        <f ca="1">INDIRECT("'数据-取费表'!k"&amp;$G$1)</f>
        <v>68148.539999999994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9.0699000000000005</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9.0699000000000005</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9.0699000000000005</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60465.75</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-9.0699000000000005</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68148.539999999994</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68148.539999999994</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57781.947800000002</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67.5</v>
      </c>
      <c r="K53" s="4486" t="s">
        <v>2220</v>
      </c>
      <c r="L53" s="4487"/>
      <c r="M53" s="2947"/>
      <c r="O53" s="2057" t="s">
        <v>1740</v>
      </c>
      <c r="P53" s="2055" t="s">
        <v>1741</v>
      </c>
      <c r="Q53" s="2056">
        <f ca="1">J53</f>
        <v>67.5</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57781.947800000002</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9.07</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9.07</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60465.75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68148.539999999994</v>
      </c>
      <c r="O70" s="2057" t="s">
        <v>1751</v>
      </c>
      <c r="P70" s="2063" t="s">
        <v>1752</v>
      </c>
      <c r="Q70" s="2056">
        <f ca="1">C39</f>
        <v>-9.0699000000000005</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3400-000000000000}">
      <formula1>"土地（套用方法）,——"</formula1>
    </dataValidation>
    <dataValidation type="list" allowBlank="1" showInputMessage="1" showErrorMessage="1" sqref="F10 M10 F52" xr:uid="{00000000-0002-0000-3400-000001000000}">
      <formula1>"押一,押二,押三,自定义"</formula1>
    </dataValidation>
    <dataValidation type="list" allowBlank="1" showInputMessage="1" showErrorMessage="1" sqref="J48" xr:uid="{00000000-0002-0000-3400-000002000000}">
      <formula1>"非生产用房,生产用房,受腐蚀的生产用房"</formula1>
    </dataValidation>
    <dataValidation type="list" allowBlank="1" showInputMessage="1" showErrorMessage="1" sqref="J47" xr:uid="{00000000-0002-0000-3400-000003000000}">
      <formula1>"钢,钢混,砖混"</formula1>
    </dataValidation>
    <dataValidation type="list" allowBlank="1" showInputMessage="1" showErrorMessage="1" sqref="J56" xr:uid="{00000000-0002-0000-3400-000004000000}">
      <formula1>估价范围判定</formula1>
    </dataValidation>
    <dataValidation type="list" allowBlank="1" showInputMessage="1" showErrorMessage="1" sqref="D33" xr:uid="{00000000-0002-0000-3400-000005000000}">
      <formula1>"按租金收入计税,按房产原值计税,按票据"</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C2:C3" xr:uid="{00000000-0002-0000-3400-000007000000}">
      <formula1>项目类型</formula1>
    </dataValidation>
  </dataValidations>
  <pageMargins left="0.7" right="0.7" top="0.75" bottom="0.75" header="0.3" footer="0.3"/>
  <pageSetup paperSize="9" scale="70" orientation="landscape"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4">
    <tabColor rgb="FFFFC000"/>
    <pageSetUpPr fitToPage="1"/>
  </sheetPr>
  <dimension ref="A1:AC853"/>
  <sheetViews>
    <sheetView view="pageBreakPreview" topLeftCell="I15" zoomScale="70" zoomScaleNormal="60" zoomScaleSheetLayoutView="70" workbookViewId="0">
      <selection activeCell="Z54" sqref="Z54"/>
    </sheetView>
  </sheetViews>
  <sheetFormatPr defaultColWidth="9" defaultRowHeight="14.25"/>
  <cols>
    <col min="1" max="1" width="10.5" style="1175" customWidth="1"/>
    <col min="2" max="2" width="15.625" style="1175" customWidth="1"/>
    <col min="3" max="3" width="28.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906"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717</v>
      </c>
      <c r="C1" s="453" t="s">
        <v>667</v>
      </c>
      <c r="D1" s="791" t="s">
        <v>3300</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2.7</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373" t="s">
        <v>471</v>
      </c>
      <c r="D4" s="4374"/>
      <c r="E4" s="4375" t="s">
        <v>472</v>
      </c>
      <c r="F4" s="4376"/>
      <c r="G4" s="4373" t="s">
        <v>473</v>
      </c>
      <c r="H4" s="4374"/>
      <c r="I4" s="4373" t="s">
        <v>474</v>
      </c>
      <c r="J4" s="4374"/>
      <c r="K4" s="463" t="s">
        <v>475</v>
      </c>
      <c r="L4" s="1822"/>
      <c r="M4" s="1823"/>
      <c r="N4" s="1823"/>
      <c r="O4" s="1823"/>
      <c r="P4" s="4510" t="s">
        <v>476</v>
      </c>
      <c r="Q4" s="4378"/>
      <c r="R4" s="4360" t="s">
        <v>472</v>
      </c>
      <c r="S4" s="4361"/>
      <c r="T4" s="4360" t="s">
        <v>473</v>
      </c>
      <c r="U4" s="4361"/>
      <c r="V4" s="4385" t="s">
        <v>474</v>
      </c>
      <c r="W4" s="4385"/>
      <c r="X4" s="1354"/>
      <c r="Y4" s="4360" t="s">
        <v>476</v>
      </c>
      <c r="Z4" s="4361"/>
      <c r="AA4" s="4355" t="s">
        <v>472</v>
      </c>
      <c r="AB4" s="4355" t="s">
        <v>473</v>
      </c>
      <c r="AC4" s="4355" t="s">
        <v>474</v>
      </c>
    </row>
    <row r="5" spans="1:29" ht="15">
      <c r="A5" s="464"/>
      <c r="B5" s="465"/>
      <c r="C5" s="4366" t="s">
        <v>2186</v>
      </c>
      <c r="D5" s="4367"/>
      <c r="E5" s="4403" t="str">
        <f>办公租金案例!A2</f>
        <v>数码视讯产业园</v>
      </c>
      <c r="F5" s="4365"/>
      <c r="G5" s="4403" t="str">
        <f>办公租金案例!A3</f>
        <v>博润中心</v>
      </c>
      <c r="H5" s="4365"/>
      <c r="I5" s="4403" t="str">
        <f>办公租金案例!A4</f>
        <v>城建道桥大厦</v>
      </c>
      <c r="J5" s="4365"/>
      <c r="K5" s="463"/>
      <c r="L5" s="1822"/>
      <c r="M5" s="1823"/>
      <c r="N5" s="1823"/>
      <c r="O5" s="1823"/>
      <c r="P5" s="4511"/>
      <c r="Q5" s="4380"/>
      <c r="R5" s="4362"/>
      <c r="S5" s="4363"/>
      <c r="T5" s="4362"/>
      <c r="U5" s="4363"/>
      <c r="V5" s="4385"/>
      <c r="W5" s="4385"/>
      <c r="X5" s="1354"/>
      <c r="Y5" s="4362"/>
      <c r="Z5" s="4363"/>
      <c r="AA5" s="4356"/>
      <c r="AB5" s="4356"/>
      <c r="AC5" s="4356"/>
    </row>
    <row r="6" spans="1:29" ht="15.75" thickBot="1">
      <c r="A6" s="466"/>
      <c r="B6" s="467"/>
      <c r="C6" s="4368" t="s">
        <v>2190</v>
      </c>
      <c r="D6" s="4369"/>
      <c r="E6" s="4370" t="s">
        <v>2190</v>
      </c>
      <c r="F6" s="4371"/>
      <c r="G6" s="4368" t="s">
        <v>2190</v>
      </c>
      <c r="H6" s="4369"/>
      <c r="I6" s="4368" t="s">
        <v>2190</v>
      </c>
      <c r="J6" s="4369"/>
      <c r="K6" s="463" t="s">
        <v>477</v>
      </c>
      <c r="L6" s="1822"/>
      <c r="M6" s="1823"/>
      <c r="N6" s="1823"/>
      <c r="O6" s="1823"/>
      <c r="P6" s="4512"/>
      <c r="Q6" s="4382"/>
      <c r="R6" s="4362"/>
      <c r="S6" s="4363"/>
      <c r="T6" s="4383"/>
      <c r="U6" s="4384"/>
      <c r="V6" s="4385"/>
      <c r="W6" s="4385"/>
      <c r="X6" s="1354"/>
      <c r="Y6" s="4383"/>
      <c r="Z6" s="4384"/>
      <c r="AA6" s="4357"/>
      <c r="AB6" s="4357"/>
      <c r="AC6" s="4357"/>
    </row>
    <row r="7" spans="1:29" s="1095" customFormat="1" ht="15.75" thickBot="1">
      <c r="A7" s="2340"/>
      <c r="B7" s="2347" t="s">
        <v>478</v>
      </c>
      <c r="C7" s="468">
        <f>'数据-取费表'!B2</f>
        <v>45052</v>
      </c>
      <c r="D7" s="469">
        <v>100</v>
      </c>
      <c r="E7" s="470">
        <v>45047</v>
      </c>
      <c r="F7" s="471">
        <f>SUMIF(59:59,YEAR(E7)&amp;"-"&amp;MONTH(E7),60:60)</f>
        <v>100</v>
      </c>
      <c r="G7" s="470">
        <f>E7</f>
        <v>45047</v>
      </c>
      <c r="H7" s="469">
        <f>SUMIF(59:59,YEAR(G7)&amp;"-"&amp;MONTH(G7),60:60)</f>
        <v>100</v>
      </c>
      <c r="I7" s="470">
        <f>E7</f>
        <v>45047</v>
      </c>
      <c r="J7" s="469">
        <f>SUMIF(59:59,YEAR(I7)&amp;"-"&amp;MONTH(I7),60:60)</f>
        <v>100</v>
      </c>
      <c r="K7" s="473"/>
      <c r="L7" s="1824"/>
      <c r="M7" s="1825"/>
      <c r="N7" s="1825"/>
      <c r="O7" s="1825"/>
      <c r="P7" s="4386" t="s">
        <v>479</v>
      </c>
      <c r="Q7" s="4386"/>
      <c r="R7" s="1355" t="s">
        <v>5</v>
      </c>
      <c r="S7" s="1356">
        <f t="shared" ref="S7:S15" si="0">F7</f>
        <v>100</v>
      </c>
      <c r="T7" s="1355" t="s">
        <v>5</v>
      </c>
      <c r="U7" s="1356">
        <f t="shared" ref="U7:U15" si="1">H7</f>
        <v>100</v>
      </c>
      <c r="V7" s="1355" t="s">
        <v>5</v>
      </c>
      <c r="W7" s="1356">
        <f t="shared" ref="W7:W15" si="2">J7</f>
        <v>100</v>
      </c>
      <c r="X7" s="1357"/>
      <c r="Y7" s="4358" t="s">
        <v>479</v>
      </c>
      <c r="Z7" s="4359"/>
      <c r="AA7" s="1358">
        <f>D7/F7</f>
        <v>1</v>
      </c>
      <c r="AB7" s="1358">
        <f>D7/H7</f>
        <v>1</v>
      </c>
      <c r="AC7" s="1358">
        <f>D7/J7</f>
        <v>1</v>
      </c>
    </row>
    <row r="8" spans="1:29" s="1095" customFormat="1" ht="15.75" thickBot="1">
      <c r="A8" s="2341"/>
      <c r="B8" s="2348" t="s">
        <v>480</v>
      </c>
      <c r="C8" s="474" t="s">
        <v>524</v>
      </c>
      <c r="D8" s="469">
        <v>100</v>
      </c>
      <c r="E8" s="474" t="s">
        <v>3344</v>
      </c>
      <c r="F8" s="471">
        <f>SUMIF(62:62,E8,63:63)-SUMIF(62:62,C8,63:63)+100</f>
        <v>100</v>
      </c>
      <c r="G8" s="474" t="s">
        <v>3344</v>
      </c>
      <c r="H8" s="469">
        <f>SUMIF(62:62,G8,63:63)-SUMIF(62:62,C8,63:63)+100</f>
        <v>100</v>
      </c>
      <c r="I8" s="474" t="s">
        <v>3344</v>
      </c>
      <c r="J8" s="469">
        <f>SUMIF(62:62,I8,63:63)-SUMIF(62:62,C8,63:63)+100</f>
        <v>100</v>
      </c>
      <c r="K8" s="473"/>
      <c r="L8" s="1824"/>
      <c r="M8" s="1825"/>
      <c r="N8" s="1825"/>
      <c r="O8" s="1825"/>
      <c r="P8" s="4386" t="s">
        <v>482</v>
      </c>
      <c r="Q8" s="4359"/>
      <c r="R8" s="1355" t="s">
        <v>5</v>
      </c>
      <c r="S8" s="1356">
        <f t="shared" si="0"/>
        <v>100</v>
      </c>
      <c r="T8" s="1355" t="s">
        <v>5</v>
      </c>
      <c r="U8" s="1356">
        <f t="shared" si="1"/>
        <v>100</v>
      </c>
      <c r="V8" s="1355" t="s">
        <v>5</v>
      </c>
      <c r="W8" s="1356">
        <f t="shared" si="2"/>
        <v>100</v>
      </c>
      <c r="X8" s="1357"/>
      <c r="Y8" s="4358" t="s">
        <v>482</v>
      </c>
      <c r="Z8" s="4359"/>
      <c r="AA8" s="1358">
        <f t="shared" ref="AA8:AA47" si="3">D8/F8</f>
        <v>1</v>
      </c>
      <c r="AB8" s="1358">
        <f t="shared" ref="AB8:AB47" si="4">D8/H8</f>
        <v>1</v>
      </c>
      <c r="AC8" s="1358">
        <f t="shared" ref="AC8:AC47" si="5">D8/J8</f>
        <v>1</v>
      </c>
    </row>
    <row r="9" spans="1:29" s="1095" customFormat="1" ht="15">
      <c r="A9" s="2342"/>
      <c r="B9" s="2349" t="s">
        <v>2036</v>
      </c>
      <c r="C9" s="4007" t="s">
        <v>3345</v>
      </c>
      <c r="D9" s="237">
        <v>100</v>
      </c>
      <c r="E9" s="802" t="s">
        <v>1212</v>
      </c>
      <c r="F9" s="237">
        <f>SUMIF(64:64,E9,65:65)-SUMIF(64:64,C9,65:65)+100</f>
        <v>102</v>
      </c>
      <c r="G9" s="802" t="s">
        <v>1212</v>
      </c>
      <c r="H9" s="237">
        <f>SUMIF(64:64,G9,65:65)-SUMIF(64:64,C9,65:65)+100</f>
        <v>102</v>
      </c>
      <c r="I9" s="802" t="s">
        <v>1212</v>
      </c>
      <c r="J9" s="237">
        <f>SUMIF(64:64,I9,65:65)-SUMIF(64:64,C9,65:65)+100</f>
        <v>102</v>
      </c>
      <c r="K9" s="473"/>
      <c r="L9" s="1824"/>
      <c r="M9" s="1825"/>
      <c r="N9" s="1825"/>
      <c r="O9" s="1825"/>
      <c r="P9" s="4372" t="s">
        <v>484</v>
      </c>
      <c r="Q9" s="1027" t="str">
        <f t="shared" ref="Q9:Q15" si="6">B9</f>
        <v>用途</v>
      </c>
      <c r="R9" s="1355" t="s">
        <v>5</v>
      </c>
      <c r="S9" s="1356">
        <f t="shared" si="0"/>
        <v>102</v>
      </c>
      <c r="T9" s="1355" t="s">
        <v>5</v>
      </c>
      <c r="U9" s="1356">
        <f t="shared" si="1"/>
        <v>102</v>
      </c>
      <c r="V9" s="1355" t="s">
        <v>5</v>
      </c>
      <c r="W9" s="1356">
        <f t="shared" si="2"/>
        <v>102</v>
      </c>
      <c r="X9" s="1357"/>
      <c r="Y9" s="4304" t="s">
        <v>485</v>
      </c>
      <c r="Z9" s="1026" t="str">
        <f t="shared" ref="Z9:Z15" si="7">Q9</f>
        <v>用途</v>
      </c>
      <c r="AA9" s="1358">
        <f t="shared" si="3"/>
        <v>0.98039215686274506</v>
      </c>
      <c r="AB9" s="1358">
        <f t="shared" si="4"/>
        <v>0.98039215686274506</v>
      </c>
      <c r="AC9" s="1358">
        <f t="shared" si="5"/>
        <v>0.98039215686274506</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372"/>
      <c r="Q11" s="1027" t="str">
        <f t="shared" si="6"/>
        <v>容积率</v>
      </c>
      <c r="R11" s="1355" t="s">
        <v>5</v>
      </c>
      <c r="S11" s="1356">
        <f t="shared" si="0"/>
        <v>100</v>
      </c>
      <c r="T11" s="1355" t="s">
        <v>5</v>
      </c>
      <c r="U11" s="1356">
        <f t="shared" si="1"/>
        <v>100</v>
      </c>
      <c r="V11" s="1355" t="s">
        <v>5</v>
      </c>
      <c r="W11" s="1356">
        <f t="shared" si="2"/>
        <v>100</v>
      </c>
      <c r="X11" s="1357"/>
      <c r="Y11" s="4304"/>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372"/>
      <c r="Q12" s="1027">
        <f t="shared" si="6"/>
        <v>111</v>
      </c>
      <c r="R12" s="1355" t="s">
        <v>5</v>
      </c>
      <c r="S12" s="1356">
        <f t="shared" si="0"/>
        <v>100</v>
      </c>
      <c r="T12" s="1355" t="s">
        <v>5</v>
      </c>
      <c r="U12" s="1356">
        <f t="shared" si="1"/>
        <v>100</v>
      </c>
      <c r="V12" s="1355" t="s">
        <v>5</v>
      </c>
      <c r="W12" s="1356">
        <f t="shared" si="2"/>
        <v>100</v>
      </c>
      <c r="X12" s="1357"/>
      <c r="Y12" s="4304"/>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372"/>
      <c r="Q13" s="1027">
        <f t="shared" si="6"/>
        <v>111</v>
      </c>
      <c r="R13" s="1355" t="s">
        <v>5</v>
      </c>
      <c r="S13" s="1356">
        <f t="shared" si="0"/>
        <v>100</v>
      </c>
      <c r="T13" s="1355" t="s">
        <v>5</v>
      </c>
      <c r="U13" s="1356">
        <f t="shared" si="1"/>
        <v>100</v>
      </c>
      <c r="V13" s="1355" t="s">
        <v>5</v>
      </c>
      <c r="W13" s="1356">
        <f t="shared" si="2"/>
        <v>100</v>
      </c>
      <c r="X13" s="1357"/>
      <c r="Y13" s="4304"/>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372"/>
      <c r="Q14" s="1027">
        <f t="shared" si="6"/>
        <v>111</v>
      </c>
      <c r="R14" s="1355" t="s">
        <v>5</v>
      </c>
      <c r="S14" s="1356">
        <f t="shared" si="0"/>
        <v>100</v>
      </c>
      <c r="T14" s="1355" t="s">
        <v>5</v>
      </c>
      <c r="U14" s="1356">
        <f t="shared" si="1"/>
        <v>100</v>
      </c>
      <c r="V14" s="1355" t="s">
        <v>5</v>
      </c>
      <c r="W14" s="1356">
        <f t="shared" si="2"/>
        <v>100</v>
      </c>
      <c r="X14" s="1357"/>
      <c r="Y14" s="4304"/>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104</v>
      </c>
      <c r="I15" s="499"/>
      <c r="J15" s="498">
        <f>SUMIF(77:77,I16,78:78)-SUMIF(77:77,C16,78:78)+100</f>
        <v>104</v>
      </c>
      <c r="K15" s="838">
        <v>2</v>
      </c>
      <c r="L15" s="1831"/>
      <c r="M15" s="1823"/>
      <c r="N15" s="1823"/>
      <c r="O15" s="1823"/>
      <c r="P15" s="4391" t="s">
        <v>489</v>
      </c>
      <c r="Q15" s="1359" t="str">
        <f t="shared" si="6"/>
        <v>办公集聚程度</v>
      </c>
      <c r="R15" s="1360" t="s">
        <v>5</v>
      </c>
      <c r="S15" s="1361">
        <f t="shared" si="0"/>
        <v>100</v>
      </c>
      <c r="T15" s="1360" t="s">
        <v>5</v>
      </c>
      <c r="U15" s="1361">
        <f t="shared" si="1"/>
        <v>104</v>
      </c>
      <c r="V15" s="1360" t="s">
        <v>5</v>
      </c>
      <c r="W15" s="1361">
        <f t="shared" si="2"/>
        <v>104</v>
      </c>
      <c r="X15" s="1354"/>
      <c r="Y15" s="4391" t="s">
        <v>489</v>
      </c>
      <c r="Z15" s="1362" t="str">
        <f t="shared" si="7"/>
        <v>办公集聚程度</v>
      </c>
      <c r="AA15" s="1363">
        <f t="shared" si="3"/>
        <v>1</v>
      </c>
      <c r="AB15" s="1363">
        <f t="shared" si="4"/>
        <v>0.96153846153846156</v>
      </c>
      <c r="AC15" s="1363">
        <f t="shared" si="5"/>
        <v>0.96153846153846156</v>
      </c>
    </row>
    <row r="16" spans="1:29" ht="15">
      <c r="A16" s="481"/>
      <c r="B16" s="502"/>
      <c r="C16" s="503" t="s">
        <v>3437</v>
      </c>
      <c r="D16" s="504"/>
      <c r="E16" s="503" t="s">
        <v>3437</v>
      </c>
      <c r="F16" s="504"/>
      <c r="G16" s="525" t="s">
        <v>3342</v>
      </c>
      <c r="H16" s="508"/>
      <c r="I16" s="525" t="s">
        <v>3342</v>
      </c>
      <c r="J16" s="504"/>
      <c r="K16" s="839"/>
      <c r="L16" s="1831"/>
      <c r="M16" s="1823"/>
      <c r="N16" s="1823"/>
      <c r="O16" s="1823"/>
      <c r="P16" s="4392"/>
      <c r="Q16" s="1359"/>
      <c r="R16" s="1360"/>
      <c r="S16" s="1361"/>
      <c r="T16" s="1360"/>
      <c r="U16" s="1361"/>
      <c r="V16" s="1360"/>
      <c r="W16" s="1361"/>
      <c r="X16" s="1354"/>
      <c r="Y16" s="4392"/>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100</v>
      </c>
      <c r="G17" s="511"/>
      <c r="H17" s="514">
        <f>SUMIF(79:79,G18,80:80)-SUMIF(79:79,C18,80:80)+100</f>
        <v>106</v>
      </c>
      <c r="I17" s="511"/>
      <c r="J17" s="514">
        <f>SUMIF(79:79,I18,80:80)-SUMIF(79:79,C18,80:80)+100</f>
        <v>106</v>
      </c>
      <c r="K17" s="838">
        <v>3</v>
      </c>
      <c r="L17" s="1831"/>
      <c r="M17" s="1823"/>
      <c r="N17" s="1823"/>
      <c r="O17" s="1823"/>
      <c r="P17" s="4392"/>
      <c r="Q17" s="1359" t="str">
        <f>B17</f>
        <v>交通便捷度</v>
      </c>
      <c r="R17" s="1360" t="s">
        <v>5</v>
      </c>
      <c r="S17" s="1361">
        <f>F17</f>
        <v>100</v>
      </c>
      <c r="T17" s="1360" t="s">
        <v>5</v>
      </c>
      <c r="U17" s="1361">
        <f>H17</f>
        <v>106</v>
      </c>
      <c r="V17" s="1360" t="s">
        <v>5</v>
      </c>
      <c r="W17" s="1361">
        <f>J17</f>
        <v>106</v>
      </c>
      <c r="X17" s="1354"/>
      <c r="Y17" s="4392"/>
      <c r="Z17" s="1362" t="str">
        <f>Q17</f>
        <v>交通便捷度</v>
      </c>
      <c r="AA17" s="1363">
        <f t="shared" si="3"/>
        <v>1</v>
      </c>
      <c r="AB17" s="1363">
        <f t="shared" si="4"/>
        <v>0.94339622641509435</v>
      </c>
      <c r="AC17" s="1363">
        <f t="shared" si="5"/>
        <v>0.94339622641509435</v>
      </c>
    </row>
    <row r="18" spans="1:29" ht="15">
      <c r="A18" s="481"/>
      <c r="B18" s="515"/>
      <c r="C18" s="4068" t="s">
        <v>3437</v>
      </c>
      <c r="D18" s="508"/>
      <c r="E18" s="518" t="s">
        <v>3437</v>
      </c>
      <c r="F18" s="508"/>
      <c r="G18" s="525" t="s">
        <v>3342</v>
      </c>
      <c r="H18" s="504"/>
      <c r="I18" s="525" t="s">
        <v>3342</v>
      </c>
      <c r="J18" s="504"/>
      <c r="K18" s="839"/>
      <c r="L18" s="1831"/>
      <c r="M18" s="1823"/>
      <c r="N18" s="1823"/>
      <c r="O18" s="1823"/>
      <c r="P18" s="4392"/>
      <c r="Q18" s="1359"/>
      <c r="R18" s="1360"/>
      <c r="S18" s="1361"/>
      <c r="T18" s="1360"/>
      <c r="U18" s="1361"/>
      <c r="V18" s="1360"/>
      <c r="W18" s="1361"/>
      <c r="X18" s="1354"/>
      <c r="Y18" s="4392"/>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100</v>
      </c>
      <c r="G19" s="519"/>
      <c r="H19" s="508">
        <f>SUMIF(81:81,G20,82:82)-SUMIF(81:81,C20,82:82)+100</f>
        <v>101</v>
      </c>
      <c r="I19" s="519"/>
      <c r="J19" s="508">
        <f>SUMIF(81:81,I20,82:82)-SUMIF(81:81,C20,82:82)+100</f>
        <v>101</v>
      </c>
      <c r="K19" s="838">
        <v>1</v>
      </c>
      <c r="L19" s="1831"/>
      <c r="M19" s="1823"/>
      <c r="N19" s="1823"/>
      <c r="O19" s="1823"/>
      <c r="P19" s="4392"/>
      <c r="Q19" s="1359" t="str">
        <f>B19</f>
        <v>公共配套设施</v>
      </c>
      <c r="R19" s="1360" t="s">
        <v>5</v>
      </c>
      <c r="S19" s="1361">
        <f>F19</f>
        <v>100</v>
      </c>
      <c r="T19" s="1360" t="s">
        <v>5</v>
      </c>
      <c r="U19" s="1361">
        <f>H19</f>
        <v>101</v>
      </c>
      <c r="V19" s="1360" t="s">
        <v>5</v>
      </c>
      <c r="W19" s="1361">
        <f>J19</f>
        <v>101</v>
      </c>
      <c r="X19" s="1354"/>
      <c r="Y19" s="4392"/>
      <c r="Z19" s="1362" t="str">
        <f>Q19</f>
        <v>公共配套设施</v>
      </c>
      <c r="AA19" s="1363">
        <f t="shared" si="3"/>
        <v>1</v>
      </c>
      <c r="AB19" s="1363">
        <f t="shared" si="4"/>
        <v>0.99009900990099009</v>
      </c>
      <c r="AC19" s="1363">
        <f t="shared" si="5"/>
        <v>0.99009900990099009</v>
      </c>
    </row>
    <row r="20" spans="1:29" ht="15">
      <c r="A20" s="481"/>
      <c r="B20" s="515"/>
      <c r="C20" s="503" t="s">
        <v>3341</v>
      </c>
      <c r="D20" s="504"/>
      <c r="E20" s="507" t="s">
        <v>3341</v>
      </c>
      <c r="F20" s="504"/>
      <c r="G20" s="507" t="s">
        <v>3342</v>
      </c>
      <c r="H20" s="504"/>
      <c r="I20" s="507" t="s">
        <v>3342</v>
      </c>
      <c r="J20" s="504"/>
      <c r="K20" s="839"/>
      <c r="L20" s="1831"/>
      <c r="M20" s="1823"/>
      <c r="N20" s="1823"/>
      <c r="O20" s="1823"/>
      <c r="P20" s="4392"/>
      <c r="Q20" s="1359"/>
      <c r="R20" s="1360"/>
      <c r="S20" s="1361"/>
      <c r="T20" s="1360"/>
      <c r="U20" s="1361"/>
      <c r="V20" s="1360"/>
      <c r="W20" s="1361"/>
      <c r="X20" s="1354"/>
      <c r="Y20" s="4392"/>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92"/>
      <c r="Q21" s="2157" t="str">
        <f>B21</f>
        <v>基础设施水平</v>
      </c>
      <c r="R21" s="1360" t="s">
        <v>5</v>
      </c>
      <c r="S21" s="1361">
        <f>F21</f>
        <v>100</v>
      </c>
      <c r="T21" s="1360" t="s">
        <v>5</v>
      </c>
      <c r="U21" s="1361">
        <f>H21</f>
        <v>100</v>
      </c>
      <c r="V21" s="1360" t="s">
        <v>5</v>
      </c>
      <c r="W21" s="1361">
        <f>J21</f>
        <v>100</v>
      </c>
      <c r="X21" s="2159"/>
      <c r="Y21" s="4392"/>
      <c r="Z21" s="2158" t="str">
        <f>Q21</f>
        <v>基础设施水平</v>
      </c>
      <c r="AA21" s="1363">
        <f>D21/F21</f>
        <v>1</v>
      </c>
      <c r="AB21" s="1363">
        <f>D21/H21</f>
        <v>1</v>
      </c>
      <c r="AC21" s="1363">
        <f>D21/J21</f>
        <v>1</v>
      </c>
    </row>
    <row r="22" spans="1:29" ht="15">
      <c r="A22" s="481"/>
      <c r="B22" s="527"/>
      <c r="C22" s="813" t="s">
        <v>3438</v>
      </c>
      <c r="D22" s="504"/>
      <c r="E22" s="525" t="s">
        <v>3438</v>
      </c>
      <c r="F22" s="504"/>
      <c r="G22" s="525" t="s">
        <v>3438</v>
      </c>
      <c r="H22" s="504"/>
      <c r="I22" s="525" t="s">
        <v>3438</v>
      </c>
      <c r="J22" s="504"/>
      <c r="K22" s="2174"/>
      <c r="L22" s="1831"/>
      <c r="M22" s="1823"/>
      <c r="N22" s="1823"/>
      <c r="O22" s="1823"/>
      <c r="P22" s="4392"/>
      <c r="Q22" s="2157"/>
      <c r="R22" s="1360"/>
      <c r="S22" s="1361"/>
      <c r="T22" s="1360"/>
      <c r="U22" s="1361"/>
      <c r="V22" s="1360"/>
      <c r="W22" s="1361"/>
      <c r="X22" s="2159"/>
      <c r="Y22" s="4392"/>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100</v>
      </c>
      <c r="G23" s="511"/>
      <c r="H23" s="508">
        <f>SUMIF(85:85,G24,86:86)-SUMIF(85:85,C24,86:86)+100</f>
        <v>101</v>
      </c>
      <c r="I23" s="511"/>
      <c r="J23" s="508">
        <f>SUMIF(85:85,I24,86:86)-SUMIF(85:85,C24,86:86)+100</f>
        <v>100</v>
      </c>
      <c r="K23" s="838">
        <v>1</v>
      </c>
      <c r="L23" s="1831"/>
      <c r="M23" s="1823"/>
      <c r="N23" s="1823"/>
      <c r="O23" s="1823"/>
      <c r="P23" s="4392"/>
      <c r="Q23" s="1359" t="str">
        <f>B23</f>
        <v>环境质量</v>
      </c>
      <c r="R23" s="1360" t="s">
        <v>5</v>
      </c>
      <c r="S23" s="1361">
        <f>F23</f>
        <v>100</v>
      </c>
      <c r="T23" s="1360" t="s">
        <v>5</v>
      </c>
      <c r="U23" s="1361">
        <f>H23</f>
        <v>101</v>
      </c>
      <c r="V23" s="1360" t="s">
        <v>5</v>
      </c>
      <c r="W23" s="1361">
        <f>J23</f>
        <v>100</v>
      </c>
      <c r="X23" s="1354"/>
      <c r="Y23" s="4392"/>
      <c r="Z23" s="1362" t="str">
        <f>Q23</f>
        <v>环境质量</v>
      </c>
      <c r="AA23" s="1363">
        <f t="shared" si="3"/>
        <v>1</v>
      </c>
      <c r="AB23" s="1363">
        <f t="shared" si="4"/>
        <v>0.99009900990099009</v>
      </c>
      <c r="AC23" s="1363">
        <f t="shared" si="5"/>
        <v>1</v>
      </c>
    </row>
    <row r="24" spans="1:29" ht="15">
      <c r="A24" s="481"/>
      <c r="B24" s="527"/>
      <c r="C24" s="503" t="s">
        <v>3341</v>
      </c>
      <c r="D24" s="504"/>
      <c r="E24" s="503" t="s">
        <v>3341</v>
      </c>
      <c r="F24" s="504"/>
      <c r="G24" s="507" t="s">
        <v>3342</v>
      </c>
      <c r="H24" s="504"/>
      <c r="I24" s="503" t="s">
        <v>3341</v>
      </c>
      <c r="J24" s="504"/>
      <c r="K24" s="839"/>
      <c r="L24" s="1831"/>
      <c r="M24" s="1823"/>
      <c r="N24" s="1823"/>
      <c r="O24" s="1823"/>
      <c r="P24" s="4392"/>
      <c r="Q24" s="1359"/>
      <c r="R24" s="1360"/>
      <c r="S24" s="1361"/>
      <c r="T24" s="1360"/>
      <c r="U24" s="1361"/>
      <c r="V24" s="1360"/>
      <c r="W24" s="1361"/>
      <c r="X24" s="1354"/>
      <c r="Y24" s="4392"/>
      <c r="Z24" s="1362"/>
      <c r="AA24" s="1363">
        <v>1</v>
      </c>
      <c r="AB24" s="1363">
        <v>1</v>
      </c>
      <c r="AC24" s="1363">
        <v>1</v>
      </c>
    </row>
    <row r="25" spans="1:29" ht="27">
      <c r="A25" s="464"/>
      <c r="B25" s="4081" t="s">
        <v>497</v>
      </c>
      <c r="C25" s="4082"/>
      <c r="D25" s="4083">
        <v>100</v>
      </c>
      <c r="E25" s="4082"/>
      <c r="F25" s="4083">
        <f>SUMIF(87:87,E26,88:88)-SUMIF(87:87,C26,88:88)+100</f>
        <v>100</v>
      </c>
      <c r="G25" s="4082"/>
      <c r="H25" s="4083">
        <f>SUMIF(87:87,G26,88:88)-SUMIF(87:87,C26,88:88)+100</f>
        <v>100</v>
      </c>
      <c r="I25" s="4084"/>
      <c r="J25" s="489">
        <f>SUMIF(87:87,I26,88:88)-SUMIF(87:87,C26,88:88)+100</f>
        <v>100</v>
      </c>
      <c r="K25" s="838">
        <v>2</v>
      </c>
      <c r="L25" s="1831"/>
      <c r="M25" s="1823"/>
      <c r="N25" s="1823"/>
      <c r="O25" s="1823"/>
      <c r="P25" s="4392"/>
      <c r="Q25" s="1359" t="str">
        <f>B25</f>
        <v>毗邻道路的类型与等级</v>
      </c>
      <c r="R25" s="1360" t="s">
        <v>5</v>
      </c>
      <c r="S25" s="1361">
        <f>F25</f>
        <v>100</v>
      </c>
      <c r="T25" s="1360" t="s">
        <v>5</v>
      </c>
      <c r="U25" s="1361">
        <f>H25</f>
        <v>100</v>
      </c>
      <c r="V25" s="1360" t="s">
        <v>5</v>
      </c>
      <c r="W25" s="1361">
        <f>J25</f>
        <v>100</v>
      </c>
      <c r="X25" s="1354"/>
      <c r="Y25" s="4392"/>
      <c r="Z25" s="1362" t="str">
        <f>Q25</f>
        <v>毗邻道路的类型与等级</v>
      </c>
      <c r="AA25" s="1363">
        <f t="shared" si="3"/>
        <v>1</v>
      </c>
      <c r="AB25" s="1363">
        <f t="shared" si="4"/>
        <v>1</v>
      </c>
      <c r="AC25" s="1363">
        <f t="shared" si="5"/>
        <v>1</v>
      </c>
    </row>
    <row r="26" spans="1:29" ht="15">
      <c r="A26" s="464"/>
      <c r="B26" s="4085"/>
      <c r="C26" s="4086"/>
      <c r="D26" s="4083"/>
      <c r="E26" s="4086"/>
      <c r="F26" s="4083"/>
      <c r="G26" s="4086"/>
      <c r="H26" s="4083"/>
      <c r="I26" s="4087"/>
      <c r="J26" s="489"/>
      <c r="K26" s="839"/>
      <c r="L26" s="1831"/>
      <c r="M26" s="1823"/>
      <c r="N26" s="1823"/>
      <c r="O26" s="1823"/>
      <c r="P26" s="4392"/>
      <c r="Q26" s="1359"/>
      <c r="R26" s="1360"/>
      <c r="S26" s="1361"/>
      <c r="T26" s="1360"/>
      <c r="U26" s="1361"/>
      <c r="V26" s="1360"/>
      <c r="W26" s="1361"/>
      <c r="X26" s="1354"/>
      <c r="Y26" s="4392"/>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92"/>
      <c r="Q27" s="1359" t="str">
        <f t="shared" ref="Q27:Q47" si="8">B27</f>
        <v>楼层</v>
      </c>
      <c r="R27" s="1360" t="s">
        <v>5</v>
      </c>
      <c r="S27" s="1361">
        <f>F27</f>
        <v>100</v>
      </c>
      <c r="T27" s="1360" t="s">
        <v>5</v>
      </c>
      <c r="U27" s="1361">
        <f>H27</f>
        <v>100</v>
      </c>
      <c r="V27" s="1360" t="s">
        <v>5</v>
      </c>
      <c r="W27" s="1361">
        <f>J27</f>
        <v>100</v>
      </c>
      <c r="X27" s="1354"/>
      <c r="Y27" s="4392"/>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92"/>
      <c r="Q28" s="1027" t="str">
        <f t="shared" si="8"/>
        <v>朝向</v>
      </c>
      <c r="R28" s="1355" t="s">
        <v>5</v>
      </c>
      <c r="S28" s="1356">
        <f>F28</f>
        <v>100</v>
      </c>
      <c r="T28" s="1355" t="s">
        <v>5</v>
      </c>
      <c r="U28" s="1356">
        <f>H28</f>
        <v>100</v>
      </c>
      <c r="V28" s="1355" t="s">
        <v>5</v>
      </c>
      <c r="W28" s="1356">
        <f>J28</f>
        <v>100</v>
      </c>
      <c r="X28" s="1357"/>
      <c r="Y28" s="4392"/>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92"/>
      <c r="Q29" s="1359">
        <f t="shared" si="8"/>
        <v>111</v>
      </c>
      <c r="R29" s="1360" t="s">
        <v>5</v>
      </c>
      <c r="S29" s="1361">
        <f t="shared" ref="S29:S47" si="9">F29</f>
        <v>100</v>
      </c>
      <c r="T29" s="1360" t="s">
        <v>5</v>
      </c>
      <c r="U29" s="1361">
        <f t="shared" ref="U29:U47" si="10">H29</f>
        <v>100</v>
      </c>
      <c r="V29" s="1360" t="s">
        <v>5</v>
      </c>
      <c r="W29" s="1361">
        <f t="shared" ref="W29:W47" si="11">J29</f>
        <v>100</v>
      </c>
      <c r="X29" s="1354"/>
      <c r="Y29" s="4392"/>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92"/>
      <c r="Q30" s="1359">
        <f t="shared" si="8"/>
        <v>111</v>
      </c>
      <c r="R30" s="1360" t="s">
        <v>5</v>
      </c>
      <c r="S30" s="1361">
        <f t="shared" si="9"/>
        <v>100</v>
      </c>
      <c r="T30" s="1360" t="s">
        <v>5</v>
      </c>
      <c r="U30" s="1361">
        <f t="shared" si="10"/>
        <v>100</v>
      </c>
      <c r="V30" s="1360" t="s">
        <v>5</v>
      </c>
      <c r="W30" s="1361">
        <f t="shared" si="11"/>
        <v>100</v>
      </c>
      <c r="X30" s="1354"/>
      <c r="Y30" s="4392"/>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92"/>
      <c r="Q31" s="1359">
        <f t="shared" si="8"/>
        <v>111</v>
      </c>
      <c r="R31" s="1360" t="s">
        <v>5</v>
      </c>
      <c r="S31" s="1361">
        <f t="shared" si="9"/>
        <v>100</v>
      </c>
      <c r="T31" s="1360" t="s">
        <v>5</v>
      </c>
      <c r="U31" s="1361">
        <f t="shared" si="10"/>
        <v>100</v>
      </c>
      <c r="V31" s="1360" t="s">
        <v>5</v>
      </c>
      <c r="W31" s="1361">
        <f t="shared" si="11"/>
        <v>100</v>
      </c>
      <c r="X31" s="1354"/>
      <c r="Y31" s="4392"/>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92"/>
      <c r="Q32" s="1359">
        <f t="shared" si="8"/>
        <v>111</v>
      </c>
      <c r="R32" s="1360" t="s">
        <v>5</v>
      </c>
      <c r="S32" s="1361">
        <f t="shared" si="9"/>
        <v>100</v>
      </c>
      <c r="T32" s="1360" t="s">
        <v>5</v>
      </c>
      <c r="U32" s="1361">
        <f t="shared" si="10"/>
        <v>100</v>
      </c>
      <c r="V32" s="1360" t="s">
        <v>5</v>
      </c>
      <c r="W32" s="1361">
        <f t="shared" si="11"/>
        <v>100</v>
      </c>
      <c r="X32" s="1354"/>
      <c r="Y32" s="4392"/>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93" t="s">
        <v>499</v>
      </c>
      <c r="Q33" s="1359" t="str">
        <f t="shared" si="8"/>
        <v>建筑类型</v>
      </c>
      <c r="R33" s="1360" t="s">
        <v>5</v>
      </c>
      <c r="S33" s="1361">
        <f t="shared" si="9"/>
        <v>100</v>
      </c>
      <c r="T33" s="1360" t="s">
        <v>5</v>
      </c>
      <c r="U33" s="1361">
        <f t="shared" si="10"/>
        <v>100</v>
      </c>
      <c r="V33" s="1360" t="s">
        <v>5</v>
      </c>
      <c r="W33" s="1361">
        <f t="shared" si="11"/>
        <v>100</v>
      </c>
      <c r="X33" s="1354"/>
      <c r="Y33" s="4394"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600</v>
      </c>
      <c r="F34" s="803">
        <f>LOOKUP(E34,104:104,105:105)-LOOKUP(C34,104:104,105:105)+100</f>
        <v>100</v>
      </c>
      <c r="G34" s="482">
        <f>办公租金案例!B3</f>
        <v>1050</v>
      </c>
      <c r="H34" s="238">
        <f>LOOKUP(G34,104:104,105:105)-LOOKUP(C34,104:104,105:105)+100</f>
        <v>99</v>
      </c>
      <c r="I34" s="482">
        <f>办公租金案例!B4</f>
        <v>350</v>
      </c>
      <c r="J34" s="238">
        <f>LOOKUP(I34,104:104,105:105)-LOOKUP(C34,104:104,105:105)+100</f>
        <v>101</v>
      </c>
      <c r="K34" s="530"/>
      <c r="L34" s="1829"/>
      <c r="M34" s="1859"/>
      <c r="N34" s="1859"/>
      <c r="O34" s="1859"/>
      <c r="P34" s="4394"/>
      <c r="Q34" s="1388" t="str">
        <f t="shared" si="8"/>
        <v>项目建筑规模</v>
      </c>
      <c r="R34" s="1364" t="s">
        <v>5</v>
      </c>
      <c r="S34" s="1365">
        <f t="shared" si="9"/>
        <v>100</v>
      </c>
      <c r="T34" s="1364" t="s">
        <v>5</v>
      </c>
      <c r="U34" s="1365">
        <f t="shared" si="10"/>
        <v>99</v>
      </c>
      <c r="V34" s="1364" t="s">
        <v>5</v>
      </c>
      <c r="W34" s="1365">
        <f t="shared" si="11"/>
        <v>101</v>
      </c>
      <c r="X34" s="1366"/>
      <c r="Y34" s="4394"/>
      <c r="Z34" s="1367" t="str">
        <f t="shared" si="12"/>
        <v>项目建筑规模</v>
      </c>
      <c r="AA34" s="1363">
        <f t="shared" si="3"/>
        <v>1</v>
      </c>
      <c r="AB34" s="1363">
        <f t="shared" si="4"/>
        <v>1.0101010101010102</v>
      </c>
      <c r="AC34" s="1363">
        <f t="shared" si="5"/>
        <v>0.99009900990099009</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94"/>
      <c r="Q35" s="1359" t="str">
        <f t="shared" si="8"/>
        <v>建筑结构</v>
      </c>
      <c r="R35" s="1360" t="s">
        <v>5</v>
      </c>
      <c r="S35" s="1361">
        <f t="shared" si="9"/>
        <v>100</v>
      </c>
      <c r="T35" s="1360" t="s">
        <v>5</v>
      </c>
      <c r="U35" s="1361">
        <f t="shared" si="10"/>
        <v>100</v>
      </c>
      <c r="V35" s="1360" t="s">
        <v>5</v>
      </c>
      <c r="W35" s="1361">
        <f t="shared" si="11"/>
        <v>100</v>
      </c>
      <c r="X35" s="1354"/>
      <c r="Y35" s="4394"/>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94"/>
      <c r="Q36" s="1359" t="str">
        <f t="shared" si="8"/>
        <v>公共部分装修</v>
      </c>
      <c r="R36" s="1360" t="s">
        <v>5</v>
      </c>
      <c r="S36" s="1361">
        <f t="shared" si="9"/>
        <v>100</v>
      </c>
      <c r="T36" s="1360" t="s">
        <v>5</v>
      </c>
      <c r="U36" s="1361">
        <f t="shared" si="10"/>
        <v>100</v>
      </c>
      <c r="V36" s="1360" t="s">
        <v>5</v>
      </c>
      <c r="W36" s="1361">
        <f t="shared" si="11"/>
        <v>100</v>
      </c>
      <c r="X36" s="1354"/>
      <c r="Y36" s="4394"/>
      <c r="Z36" s="1362" t="str">
        <f t="shared" si="12"/>
        <v>公共部分装修</v>
      </c>
      <c r="AA36" s="1363">
        <f t="shared" si="3"/>
        <v>1</v>
      </c>
      <c r="AB36" s="1363">
        <f t="shared" si="4"/>
        <v>1</v>
      </c>
      <c r="AC36" s="1363">
        <f t="shared" si="5"/>
        <v>1</v>
      </c>
    </row>
    <row r="37" spans="1:29" ht="15">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394"/>
      <c r="Q37" s="1359" t="str">
        <f t="shared" si="8"/>
        <v>成新度</v>
      </c>
      <c r="R37" s="1360" t="s">
        <v>5</v>
      </c>
      <c r="S37" s="1361">
        <f t="shared" si="9"/>
        <v>99</v>
      </c>
      <c r="T37" s="1360" t="s">
        <v>5</v>
      </c>
      <c r="U37" s="1361">
        <f t="shared" si="10"/>
        <v>99</v>
      </c>
      <c r="V37" s="1360" t="s">
        <v>5</v>
      </c>
      <c r="W37" s="1361">
        <f t="shared" si="11"/>
        <v>99</v>
      </c>
      <c r="X37" s="1354"/>
      <c r="Y37" s="4394"/>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94"/>
      <c r="Q38" s="1027" t="str">
        <f t="shared" si="8"/>
        <v>写字楼等级</v>
      </c>
      <c r="R38" s="1355" t="s">
        <v>5</v>
      </c>
      <c r="S38" s="1356">
        <f t="shared" si="9"/>
        <v>100</v>
      </c>
      <c r="T38" s="1355" t="s">
        <v>5</v>
      </c>
      <c r="U38" s="1356">
        <f t="shared" si="10"/>
        <v>100</v>
      </c>
      <c r="V38" s="1355" t="s">
        <v>5</v>
      </c>
      <c r="W38" s="1356">
        <f t="shared" si="11"/>
        <v>100</v>
      </c>
      <c r="X38" s="1357"/>
      <c r="Y38" s="4394"/>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94" t="s">
        <v>499</v>
      </c>
      <c r="Q39" s="1359" t="str">
        <f t="shared" si="8"/>
        <v>物业管理</v>
      </c>
      <c r="R39" s="1360" t="s">
        <v>5</v>
      </c>
      <c r="S39" s="1361">
        <f t="shared" si="9"/>
        <v>100</v>
      </c>
      <c r="T39" s="1360" t="s">
        <v>5</v>
      </c>
      <c r="U39" s="1361">
        <f t="shared" si="10"/>
        <v>100</v>
      </c>
      <c r="V39" s="1360" t="s">
        <v>5</v>
      </c>
      <c r="W39" s="1361">
        <f t="shared" si="11"/>
        <v>100</v>
      </c>
      <c r="X39" s="1354"/>
      <c r="Y39" s="4394"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94"/>
      <c r="Q40" s="1359" t="str">
        <f t="shared" si="8"/>
        <v>市政基础设施</v>
      </c>
      <c r="R40" s="1360" t="s">
        <v>5</v>
      </c>
      <c r="S40" s="1361">
        <f t="shared" si="9"/>
        <v>100</v>
      </c>
      <c r="T40" s="1360" t="s">
        <v>5</v>
      </c>
      <c r="U40" s="1361">
        <f t="shared" si="10"/>
        <v>100</v>
      </c>
      <c r="V40" s="1360" t="s">
        <v>5</v>
      </c>
      <c r="W40" s="1361">
        <f t="shared" si="11"/>
        <v>100</v>
      </c>
      <c r="X40" s="1354"/>
      <c r="Y40" s="4394"/>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94"/>
      <c r="Q41" s="1359" t="str">
        <f t="shared" si="8"/>
        <v>层高</v>
      </c>
      <c r="R41" s="1360" t="s">
        <v>5</v>
      </c>
      <c r="S41" s="1361">
        <f t="shared" si="9"/>
        <v>100</v>
      </c>
      <c r="T41" s="1360" t="s">
        <v>5</v>
      </c>
      <c r="U41" s="1361">
        <f t="shared" si="10"/>
        <v>100</v>
      </c>
      <c r="V41" s="1360" t="s">
        <v>5</v>
      </c>
      <c r="W41" s="1361">
        <f t="shared" si="11"/>
        <v>100</v>
      </c>
      <c r="X41" s="1354"/>
      <c r="Y41" s="4394"/>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94"/>
      <c r="Q42" s="1388" t="str">
        <f t="shared" si="8"/>
        <v>单套建筑面积</v>
      </c>
      <c r="R42" s="1364" t="s">
        <v>5</v>
      </c>
      <c r="S42" s="1365">
        <f t="shared" si="9"/>
        <v>100</v>
      </c>
      <c r="T42" s="1364" t="s">
        <v>5</v>
      </c>
      <c r="U42" s="1365">
        <f t="shared" si="10"/>
        <v>100</v>
      </c>
      <c r="V42" s="1364" t="s">
        <v>5</v>
      </c>
      <c r="W42" s="1365">
        <f t="shared" si="11"/>
        <v>100</v>
      </c>
      <c r="X42" s="1366"/>
      <c r="Y42" s="4394"/>
      <c r="Z42" s="1367" t="str">
        <f t="shared" si="12"/>
        <v>单套建筑面积</v>
      </c>
      <c r="AA42" s="1363">
        <f t="shared" si="3"/>
        <v>1</v>
      </c>
      <c r="AB42" s="1363">
        <f t="shared" si="4"/>
        <v>1</v>
      </c>
      <c r="AC42" s="1363">
        <f t="shared" si="5"/>
        <v>1</v>
      </c>
    </row>
    <row r="43" spans="1:29" ht="15">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394"/>
      <c r="Q43" s="1359" t="str">
        <f t="shared" si="8"/>
        <v>内部装修</v>
      </c>
      <c r="R43" s="1360" t="s">
        <v>5</v>
      </c>
      <c r="S43" s="1361">
        <f t="shared" si="9"/>
        <v>100</v>
      </c>
      <c r="T43" s="1360" t="s">
        <v>5</v>
      </c>
      <c r="U43" s="1361">
        <f t="shared" si="10"/>
        <v>100</v>
      </c>
      <c r="V43" s="1360" t="s">
        <v>5</v>
      </c>
      <c r="W43" s="1361">
        <f t="shared" si="11"/>
        <v>100</v>
      </c>
      <c r="X43" s="1354"/>
      <c r="Y43" s="4394"/>
      <c r="Z43" s="1362" t="str">
        <f t="shared" si="12"/>
        <v>内部装修</v>
      </c>
      <c r="AA43" s="1363">
        <f t="shared" si="3"/>
        <v>1</v>
      </c>
      <c r="AB43" s="1363">
        <f t="shared" si="4"/>
        <v>1</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94"/>
      <c r="Q44" s="1359" t="str">
        <f t="shared" si="8"/>
        <v>内部装修维护情况</v>
      </c>
      <c r="R44" s="1360" t="s">
        <v>5</v>
      </c>
      <c r="S44" s="1361">
        <f t="shared" si="9"/>
        <v>100</v>
      </c>
      <c r="T44" s="1360" t="s">
        <v>5</v>
      </c>
      <c r="U44" s="1361">
        <f t="shared" si="10"/>
        <v>100</v>
      </c>
      <c r="V44" s="1360" t="s">
        <v>5</v>
      </c>
      <c r="W44" s="1361">
        <f t="shared" si="11"/>
        <v>100</v>
      </c>
      <c r="X44" s="1354"/>
      <c r="Y44" s="4394"/>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94"/>
      <c r="Q45" s="1027">
        <f t="shared" si="8"/>
        <v>111</v>
      </c>
      <c r="R45" s="1355" t="s">
        <v>5</v>
      </c>
      <c r="S45" s="1356">
        <f t="shared" si="9"/>
        <v>100</v>
      </c>
      <c r="T45" s="1355" t="s">
        <v>5</v>
      </c>
      <c r="U45" s="1356">
        <f t="shared" si="10"/>
        <v>100</v>
      </c>
      <c r="V45" s="1355" t="s">
        <v>5</v>
      </c>
      <c r="W45" s="1356">
        <f t="shared" si="11"/>
        <v>100</v>
      </c>
      <c r="X45" s="1357"/>
      <c r="Y45" s="4394"/>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94"/>
      <c r="Q46" s="1359">
        <f t="shared" si="8"/>
        <v>111</v>
      </c>
      <c r="R46" s="1360" t="s">
        <v>5</v>
      </c>
      <c r="S46" s="1361">
        <f t="shared" si="9"/>
        <v>100</v>
      </c>
      <c r="T46" s="1360" t="s">
        <v>5</v>
      </c>
      <c r="U46" s="1361">
        <f t="shared" si="10"/>
        <v>100</v>
      </c>
      <c r="V46" s="1360" t="s">
        <v>5</v>
      </c>
      <c r="W46" s="1361">
        <f t="shared" si="11"/>
        <v>100</v>
      </c>
      <c r="X46" s="1354"/>
      <c r="Y46" s="4394"/>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95"/>
      <c r="Q47" s="1359">
        <f t="shared" si="8"/>
        <v>111</v>
      </c>
      <c r="R47" s="1360" t="s">
        <v>5</v>
      </c>
      <c r="S47" s="1361">
        <f t="shared" si="9"/>
        <v>100</v>
      </c>
      <c r="T47" s="1360" t="s">
        <v>5</v>
      </c>
      <c r="U47" s="1361">
        <f t="shared" si="10"/>
        <v>100</v>
      </c>
      <c r="V47" s="1360" t="s">
        <v>5</v>
      </c>
      <c r="W47" s="1361">
        <f t="shared" si="11"/>
        <v>100</v>
      </c>
      <c r="X47" s="1354"/>
      <c r="Y47" s="4395"/>
      <c r="Z47" s="1362">
        <f t="shared" si="12"/>
        <v>111</v>
      </c>
      <c r="AA47" s="1363">
        <f t="shared" si="3"/>
        <v>1</v>
      </c>
      <c r="AB47" s="1363">
        <f t="shared" si="4"/>
        <v>1</v>
      </c>
      <c r="AC47" s="1363">
        <f t="shared" si="5"/>
        <v>1</v>
      </c>
    </row>
    <row r="48" spans="1:29" ht="15">
      <c r="A48" s="556" t="s">
        <v>683</v>
      </c>
      <c r="B48" s="827"/>
      <c r="C48" s="2198" t="s">
        <v>0</v>
      </c>
      <c r="D48" s="2199"/>
      <c r="E48" s="2200">
        <f>办公租金案例!C2</f>
        <v>2.8</v>
      </c>
      <c r="F48" s="2201"/>
      <c r="G48" s="2202">
        <f>办公租金案例!C3</f>
        <v>3</v>
      </c>
      <c r="H48" s="2203"/>
      <c r="I48" s="2200">
        <f>办公租金案例!C4</f>
        <v>2.9</v>
      </c>
      <c r="J48" s="2203"/>
      <c r="K48" s="1393"/>
      <c r="L48" s="1833"/>
      <c r="M48" s="1823"/>
      <c r="N48" s="1823"/>
      <c r="O48" s="1823"/>
      <c r="P48" s="4388" t="str">
        <f>A48</f>
        <v>成交单价（元/平方米）</v>
      </c>
      <c r="Q48" s="4372"/>
      <c r="R48" s="4390">
        <f>E48</f>
        <v>2.8</v>
      </c>
      <c r="S48" s="4390"/>
      <c r="T48" s="4390">
        <f>G48</f>
        <v>3</v>
      </c>
      <c r="U48" s="4390"/>
      <c r="V48" s="4390">
        <f>I48</f>
        <v>2.9</v>
      </c>
      <c r="W48" s="4390"/>
      <c r="X48" s="1349"/>
      <c r="Y48" s="1368"/>
      <c r="Z48" s="1349"/>
      <c r="AA48" s="1349"/>
      <c r="AB48" s="1349"/>
      <c r="AC48" s="1349"/>
    </row>
    <row r="49" spans="1:29" ht="15.75" thickBot="1">
      <c r="A49" s="564" t="s">
        <v>2040</v>
      </c>
      <c r="B49" s="828"/>
      <c r="C49" s="2204">
        <f>R50</f>
        <v>2.7</v>
      </c>
      <c r="D49" s="2701" t="s">
        <v>2255</v>
      </c>
      <c r="E49" s="2205">
        <f>R49</f>
        <v>2.8</v>
      </c>
      <c r="F49" s="2702"/>
      <c r="G49" s="2204">
        <f>T49</f>
        <v>2.7</v>
      </c>
      <c r="H49" s="2702"/>
      <c r="I49" s="2205">
        <f>V49</f>
        <v>2.6</v>
      </c>
      <c r="J49" s="2702"/>
      <c r="K49" s="2710">
        <f>F49+H49+J49</f>
        <v>0</v>
      </c>
      <c r="L49" s="1833"/>
      <c r="M49" s="1823"/>
      <c r="N49" s="1823"/>
      <c r="O49" s="1823"/>
      <c r="P49" s="4388" t="str">
        <f>A49</f>
        <v>比较价格（元/平方米）</v>
      </c>
      <c r="Q49" s="4372"/>
      <c r="R49" s="4390">
        <f>IF(F1="售价",ROUND(PRODUCT(R48,AA7:AA47),0),ROUND(PRODUCT(R48,AA7:AA47),1))</f>
        <v>2.8</v>
      </c>
      <c r="S49" s="4390"/>
      <c r="T49" s="4390">
        <f>IF(F1="售价",ROUND(PRODUCT(T48,AB7:AB47),0),ROUND(PRODUCT(T48,AB7:AB47),1))</f>
        <v>2.7</v>
      </c>
      <c r="U49" s="4390"/>
      <c r="V49" s="4390">
        <f>IF(F1="售价",ROUND(PRODUCT(V48,AC7:AC47),0),ROUND(PRODUCT(V48,AC7:AC47),1))</f>
        <v>2.6</v>
      </c>
      <c r="W49" s="4390"/>
      <c r="X49" s="1349"/>
      <c r="Y49" s="1349"/>
      <c r="Z49" s="1349"/>
      <c r="AA49" s="1349"/>
      <c r="AB49" s="1349"/>
      <c r="AC49" s="1349"/>
    </row>
    <row r="50" spans="1:29" ht="15.75" thickBot="1">
      <c r="A50" s="568" t="s">
        <v>2192</v>
      </c>
      <c r="B50" s="569"/>
      <c r="C50" s="2206">
        <f>R50</f>
        <v>2.7</v>
      </c>
      <c r="D50" s="2206"/>
      <c r="E50" s="2206"/>
      <c r="F50" s="2206"/>
      <c r="G50" s="2206"/>
      <c r="H50" s="2206"/>
      <c r="I50" s="2206"/>
      <c r="J50" s="2206"/>
      <c r="K50" s="1394"/>
      <c r="L50" s="1833"/>
      <c r="M50" s="1823"/>
      <c r="N50" s="1823"/>
      <c r="O50" s="1823"/>
      <c r="P50" s="4513" t="str">
        <f>A50</f>
        <v>估价对象XX用房的比较价格（楼面单价，元/平方米）</v>
      </c>
      <c r="Q50" s="4388"/>
      <c r="R50" s="4389">
        <f>IF(F1="售价",ROUND(IF(D49="简单平均",AVERAGE(R49:V49),R49*F49+T49*H49+V49*J49),0),ROUND(IF(D49="简单平均",AVERAGE(R49:V49),R49*F49+T49*H49+V49*J49),1))</f>
        <v>2.7</v>
      </c>
      <c r="S50" s="4389"/>
      <c r="T50" s="4389"/>
      <c r="U50" s="4389"/>
      <c r="V50" s="4389"/>
      <c r="W50" s="4389"/>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f ca="1">土储要求测算表!J18</f>
        <v>3623</v>
      </c>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0</v>
      </c>
      <c r="F53" s="574" t="str">
        <f>IF(OR(E53&gt;=0.3,E53&lt;=-0.3),"超过30%","")</f>
        <v/>
      </c>
      <c r="G53" s="573">
        <f>IF(G48&lt;G49,G49/G48-1,G48/G49-1)</f>
        <v>0.11111111111111094</v>
      </c>
      <c r="H53" s="574" t="str">
        <f>IF(OR(G53&gt;=0.3,G53&lt;=-0.3),"超过30%","")</f>
        <v/>
      </c>
      <c r="I53" s="573">
        <f>IF(I48&lt;I49,I49/I48-1,I48/I49-1)</f>
        <v>0.11538461538461542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3.7037037037036979E-2</v>
      </c>
      <c r="F54" s="574" t="str">
        <f>IF(OR(E54&gt;=0.2,E54&lt;=-0.2),"超过20%","")</f>
        <v/>
      </c>
      <c r="G54" s="573">
        <f>IF(G49&lt;I49,I49/G49-1,G49/I49-1)</f>
        <v>3.8461538461538547E-2</v>
      </c>
      <c r="H54" s="574" t="str">
        <f>IF(OR(G54&gt;=0.2,G54&lt;=-0.2),"超过20%","")</f>
        <v/>
      </c>
      <c r="I54" s="573">
        <f>IF(I49&lt;E49,E49/I49-1,I49/E49-1)</f>
        <v>7.6923076923076872E-2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7.1428571428571397E-2</v>
      </c>
      <c r="F55" s="574" t="str">
        <f>IF(OR(E55&gt;=0.3,E55&lt;=-0.3),"超过30%","")</f>
        <v/>
      </c>
      <c r="G55" s="573">
        <f>IF(G48&lt;I48,I48/G48-1,G48/I48-1)</f>
        <v>3.4482758620689724E-2</v>
      </c>
      <c r="H55" s="574" t="str">
        <f>IF(OR(G55&gt;=0.3,G55&lt;=-0.3),"超过30%","")</f>
        <v/>
      </c>
      <c r="I55" s="573">
        <f>IF(I48&lt;E48,E48/I48-1,I48/E48-1)</f>
        <v>3.5714285714285809E-2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3346</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102</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99</v>
      </c>
      <c r="E82" s="626">
        <f>D82-$K19</f>
        <v>98</v>
      </c>
      <c r="F82" s="626">
        <f>E82-$K19</f>
        <v>97</v>
      </c>
      <c r="G82" s="626">
        <f>F82-$K19</f>
        <v>96</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99</v>
      </c>
      <c r="E86" s="626">
        <f>D86-$K23</f>
        <v>98</v>
      </c>
      <c r="F86" s="626">
        <f>E86-$K23</f>
        <v>97</v>
      </c>
      <c r="G86" s="626">
        <f>F86-$K23</f>
        <v>96</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2" t="s">
        <v>3445</v>
      </c>
      <c r="D87" s="4052" t="s">
        <v>3446</v>
      </c>
      <c r="E87" s="4052" t="s">
        <v>3447</v>
      </c>
      <c r="F87" s="4042" t="s">
        <v>3448</v>
      </c>
      <c r="G87" s="4009" t="s">
        <v>3449</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1000(含)-1500</v>
      </c>
      <c r="F103" s="655" t="str">
        <f t="shared" si="20"/>
        <v>1500(含)-2000</v>
      </c>
      <c r="G103" s="655" t="str">
        <f t="shared" si="20"/>
        <v>2000(含)-2500</v>
      </c>
      <c r="H103" s="655" t="str">
        <f t="shared" si="20"/>
        <v>2500(含)-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f>C104+500</f>
        <v>500</v>
      </c>
      <c r="E104" s="677">
        <f t="shared" ref="E104:H104" si="21">D104+500</f>
        <v>1000</v>
      </c>
      <c r="F104" s="677">
        <f t="shared" si="21"/>
        <v>1500</v>
      </c>
      <c r="G104" s="677">
        <f t="shared" si="21"/>
        <v>2000</v>
      </c>
      <c r="H104" s="677">
        <f t="shared" si="21"/>
        <v>2500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2">D105-1</f>
        <v>98</v>
      </c>
      <c r="F105" s="618">
        <f t="shared" si="22"/>
        <v>97</v>
      </c>
      <c r="G105" s="618">
        <f t="shared" si="22"/>
        <v>96</v>
      </c>
      <c r="H105" s="618">
        <f t="shared" si="22"/>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3347</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3">C107-$K35</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7">
        <f t="shared" si="23"/>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3349</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4">C109-$K36</f>
        <v>100</v>
      </c>
      <c r="E109" s="626">
        <f t="shared" si="24"/>
        <v>100</v>
      </c>
      <c r="F109" s="626">
        <f t="shared" si="24"/>
        <v>100</v>
      </c>
      <c r="G109" s="626">
        <f t="shared" si="24"/>
        <v>100</v>
      </c>
      <c r="H109" s="626">
        <f t="shared" si="24"/>
        <v>100</v>
      </c>
      <c r="I109" s="626">
        <f t="shared" si="24"/>
        <v>100</v>
      </c>
      <c r="J109" s="626">
        <f t="shared" si="24"/>
        <v>100</v>
      </c>
      <c r="K109" s="626">
        <f t="shared" si="24"/>
        <v>100</v>
      </c>
      <c r="L109" s="626">
        <f t="shared" si="24"/>
        <v>100</v>
      </c>
      <c r="M109" s="627">
        <f t="shared" si="24"/>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5">D112+$K37</f>
        <v>102</v>
      </c>
      <c r="F112" s="626">
        <f t="shared" si="25"/>
        <v>103</v>
      </c>
      <c r="G112" s="626">
        <f t="shared" si="25"/>
        <v>104</v>
      </c>
      <c r="H112" s="626">
        <f t="shared" si="25"/>
        <v>105</v>
      </c>
      <c r="I112" s="626">
        <f t="shared" si="25"/>
        <v>106</v>
      </c>
      <c r="J112" s="626">
        <f t="shared" si="25"/>
        <v>107</v>
      </c>
      <c r="K112" s="626">
        <f t="shared" si="25"/>
        <v>108</v>
      </c>
      <c r="L112" s="626">
        <f t="shared" si="25"/>
        <v>109</v>
      </c>
      <c r="M112" s="626">
        <f t="shared" si="25"/>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6">D114-$K38</f>
        <v>100</v>
      </c>
      <c r="F114" s="626">
        <f t="shared" si="26"/>
        <v>100</v>
      </c>
      <c r="G114" s="626">
        <f t="shared" si="26"/>
        <v>100</v>
      </c>
      <c r="H114" s="626">
        <f t="shared" si="26"/>
        <v>100</v>
      </c>
      <c r="I114" s="626">
        <f t="shared" si="26"/>
        <v>100</v>
      </c>
      <c r="J114" s="626">
        <f t="shared" si="26"/>
        <v>100</v>
      </c>
      <c r="K114" s="626">
        <f t="shared" si="26"/>
        <v>100</v>
      </c>
      <c r="L114" s="626">
        <f t="shared" si="26"/>
        <v>100</v>
      </c>
      <c r="M114" s="626">
        <f t="shared" si="26"/>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8">D120-$K41</f>
        <v>100</v>
      </c>
      <c r="F120" s="626">
        <f t="shared" si="28"/>
        <v>100</v>
      </c>
      <c r="G120" s="626">
        <f t="shared" si="28"/>
        <v>100</v>
      </c>
      <c r="H120" s="626">
        <f t="shared" si="28"/>
        <v>100</v>
      </c>
      <c r="I120" s="626">
        <f t="shared" si="28"/>
        <v>100</v>
      </c>
      <c r="J120" s="626">
        <f t="shared" si="28"/>
        <v>100</v>
      </c>
      <c r="K120" s="626">
        <f t="shared" si="28"/>
        <v>100</v>
      </c>
      <c r="L120" s="626">
        <f t="shared" si="28"/>
        <v>100</v>
      </c>
      <c r="M120" s="626">
        <f t="shared" si="28"/>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9">C124-$K43</f>
        <v>100</v>
      </c>
      <c r="E124" s="626">
        <f t="shared" si="29"/>
        <v>100</v>
      </c>
      <c r="F124" s="626">
        <f t="shared" si="29"/>
        <v>100</v>
      </c>
      <c r="G124" s="626">
        <f t="shared" si="29"/>
        <v>100</v>
      </c>
      <c r="H124" s="626">
        <f t="shared" si="29"/>
        <v>100</v>
      </c>
      <c r="I124" s="626">
        <f t="shared" si="29"/>
        <v>100</v>
      </c>
      <c r="J124" s="626">
        <f t="shared" si="29"/>
        <v>100</v>
      </c>
      <c r="K124" s="626">
        <f t="shared" si="29"/>
        <v>100</v>
      </c>
      <c r="L124" s="626">
        <f t="shared" si="29"/>
        <v>100</v>
      </c>
      <c r="M124" s="627">
        <f t="shared" si="29"/>
        <v>100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3500-000000000000}">
      <formula1>办公建筑结构</formula1>
    </dataValidation>
    <dataValidation type="list" allowBlank="1" showInputMessage="1" showErrorMessage="1" sqref="E24 G24 I24 C24" xr:uid="{00000000-0002-0000-3500-000001000000}">
      <formula1>环境</formula1>
    </dataValidation>
    <dataValidation type="list" allowBlank="1" showInputMessage="1" showErrorMessage="1" sqref="E18 G18 I18 C18" xr:uid="{00000000-0002-0000-3500-000002000000}">
      <formula1>交通便捷度</formula1>
    </dataValidation>
    <dataValidation type="list" allowBlank="1" showInputMessage="1" showErrorMessage="1" sqref="C20 G20 I20 E20" xr:uid="{00000000-0002-0000-3500-000003000000}">
      <formula1>公共配套设施</formula1>
    </dataValidation>
    <dataValidation type="list" allowBlank="1" showInputMessage="1" showErrorMessage="1" sqref="C44 E44 G44 I44" xr:uid="{00000000-0002-0000-3500-000004000000}">
      <formula1>内部装修维护情况</formula1>
    </dataValidation>
    <dataValidation type="list" allowBlank="1" showInputMessage="1" showErrorMessage="1" sqref="D1" xr:uid="{00000000-0002-0000-3500-000005000000}">
      <formula1>项目类型</formula1>
    </dataValidation>
    <dataValidation type="list" allowBlank="1" showInputMessage="1" showErrorMessage="1" sqref="E9 G9 I9" xr:uid="{00000000-0002-0000-3500-000006000000}">
      <formula1>办公用途</formula1>
    </dataValidation>
    <dataValidation type="list" allowBlank="1" showInputMessage="1" showErrorMessage="1" sqref="C16 E16 G16 I16" xr:uid="{00000000-0002-0000-3500-000007000000}">
      <formula1>办公集聚程度</formula1>
    </dataValidation>
    <dataValidation type="list" allowBlank="1" showInputMessage="1" showErrorMessage="1" sqref="G26 C26 E26 I26" xr:uid="{00000000-0002-0000-3500-000008000000}">
      <formula1>办公道路级别</formula1>
    </dataValidation>
    <dataValidation type="list" allowBlank="1" showInputMessage="1" showErrorMessage="1" sqref="C28 E28 G28 I28" xr:uid="{00000000-0002-0000-3500-000009000000}">
      <formula1>办公朝向</formula1>
    </dataValidation>
    <dataValidation type="list" allowBlank="1" showInputMessage="1" showErrorMessage="1" sqref="C27 E27 G27 I27" xr:uid="{00000000-0002-0000-3500-00000A000000}">
      <formula1>办公楼层</formula1>
    </dataValidation>
    <dataValidation type="list" allowBlank="1" showInputMessage="1" showErrorMessage="1" sqref="C33 E33 G33 I33" xr:uid="{00000000-0002-0000-3500-00000B000000}">
      <formula1>办公建筑类型</formula1>
    </dataValidation>
    <dataValidation type="list" allowBlank="1" showInputMessage="1" showErrorMessage="1" sqref="C36 E36 G36 I36" xr:uid="{00000000-0002-0000-3500-00000C000000}">
      <formula1>办公公共部分装修</formula1>
    </dataValidation>
    <dataValidation type="list" allowBlank="1" showInputMessage="1" showErrorMessage="1" sqref="C38 E38 G38 I38" xr:uid="{00000000-0002-0000-3500-00000D000000}">
      <formula1>写字楼等级</formula1>
    </dataValidation>
    <dataValidation type="list" allowBlank="1" showInputMessage="1" showErrorMessage="1" sqref="C39 E39 G39 I39" xr:uid="{00000000-0002-0000-3500-00000E000000}">
      <formula1>办公物业管理</formula1>
    </dataValidation>
    <dataValidation type="list" allowBlank="1" showInputMessage="1" showErrorMessage="1" sqref="C40 E40 G40 I40" xr:uid="{00000000-0002-0000-3500-00000F000000}">
      <formula1>办公基础设施水平</formula1>
    </dataValidation>
    <dataValidation type="list" allowBlank="1" showInputMessage="1" showErrorMessage="1" sqref="C41 E41 G41 I41" xr:uid="{00000000-0002-0000-3500-000010000000}">
      <formula1>办公层高</formula1>
    </dataValidation>
    <dataValidation type="list" allowBlank="1" showInputMessage="1" showErrorMessage="1" sqref="C43 E43 G43 I43" xr:uid="{00000000-0002-0000-3500-000011000000}">
      <formula1>办公内部装修</formula1>
    </dataValidation>
    <dataValidation type="list" allowBlank="1" showInputMessage="1" showErrorMessage="1" sqref="C8 E8 G8 I8" xr:uid="{00000000-0002-0000-3500-000012000000}">
      <formula1>办公交易情况</formula1>
    </dataValidation>
    <dataValidation type="list" allowBlank="1" showInputMessage="1" showErrorMessage="1" sqref="C22 E22 G22 I22" xr:uid="{00000000-0002-0000-3500-000013000000}">
      <formula1>基础设施水平</formula1>
    </dataValidation>
    <dataValidation type="list" allowBlank="1" showInputMessage="1" showErrorMessage="1" sqref="F1" xr:uid="{00000000-0002-0000-3500-000014000000}">
      <formula1>"售价,租金"</formula1>
    </dataValidation>
    <dataValidation type="list" allowBlank="1" showInputMessage="1" showErrorMessage="1" sqref="D49" xr:uid="{00000000-0002-0000-35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S29"/>
  <sheetViews>
    <sheetView topLeftCell="E1" workbookViewId="0">
      <selection activeCell="O11" sqref="O11"/>
    </sheetView>
  </sheetViews>
  <sheetFormatPr defaultRowHeight="10.5"/>
  <cols>
    <col min="1" max="1" width="13.625" style="4140" bestFit="1" customWidth="1"/>
    <col min="2" max="2" width="8.5" style="4140" bestFit="1" customWidth="1"/>
    <col min="3" max="3" width="18.375" style="4140" customWidth="1"/>
    <col min="4" max="4" width="5" style="4140" bestFit="1" customWidth="1"/>
    <col min="5" max="5" width="19.5" style="4140" customWidth="1"/>
    <col min="6" max="6" width="5" style="4140" bestFit="1" customWidth="1"/>
    <col min="7" max="7" width="23.875" style="4140" bestFit="1" customWidth="1"/>
    <col min="8" max="8" width="5" style="4140" bestFit="1" customWidth="1"/>
    <col min="9" max="9" width="19" style="4140" customWidth="1"/>
    <col min="10" max="10" width="5" style="4140" bestFit="1" customWidth="1"/>
    <col min="11" max="16384" width="9" style="4140"/>
  </cols>
  <sheetData>
    <row r="1" spans="1:19">
      <c r="A1" s="4528" t="s">
        <v>3575</v>
      </c>
      <c r="B1" s="4529"/>
      <c r="C1" s="4516" t="s">
        <v>3578</v>
      </c>
      <c r="D1" s="4517"/>
      <c r="E1" s="4522" t="s">
        <v>3634</v>
      </c>
      <c r="F1" s="4523"/>
      <c r="G1" s="4522" t="s">
        <v>3631</v>
      </c>
      <c r="H1" s="4523"/>
      <c r="I1" s="4522" t="s">
        <v>3658</v>
      </c>
      <c r="J1" s="4523"/>
    </row>
    <row r="2" spans="1:19">
      <c r="A2" s="4530" t="s">
        <v>3576</v>
      </c>
      <c r="B2" s="4531"/>
      <c r="C2" s="4518"/>
      <c r="D2" s="4519"/>
      <c r="E2" s="4524"/>
      <c r="F2" s="4525"/>
      <c r="G2" s="4524"/>
      <c r="H2" s="4525"/>
      <c r="I2" s="4524"/>
      <c r="J2" s="4525"/>
    </row>
    <row r="3" spans="1:19" ht="11.25">
      <c r="A3" s="4532"/>
      <c r="B3" s="4533"/>
      <c r="C3" s="4518"/>
      <c r="D3" s="4519"/>
      <c r="E3" s="4524"/>
      <c r="F3" s="4525"/>
      <c r="G3" s="4524"/>
      <c r="H3" s="4525"/>
      <c r="I3" s="4524"/>
      <c r="J3" s="4525"/>
    </row>
    <row r="4" spans="1:19" ht="11.25">
      <c r="A4" s="4532"/>
      <c r="B4" s="4533"/>
      <c r="C4" s="4518"/>
      <c r="D4" s="4519"/>
      <c r="E4" s="4524"/>
      <c r="F4" s="4525"/>
      <c r="G4" s="4524"/>
      <c r="H4" s="4525"/>
      <c r="I4" s="4524"/>
      <c r="J4" s="4525"/>
    </row>
    <row r="5" spans="1:19" ht="11.25" thickBot="1">
      <c r="A5" s="4534" t="s">
        <v>3577</v>
      </c>
      <c r="B5" s="4535"/>
      <c r="C5" s="4520"/>
      <c r="D5" s="4521"/>
      <c r="E5" s="4526"/>
      <c r="F5" s="4527"/>
      <c r="G5" s="4526"/>
      <c r="H5" s="4527"/>
      <c r="I5" s="4526"/>
      <c r="J5" s="4527"/>
    </row>
    <row r="6" spans="1:19" ht="33" thickBot="1">
      <c r="A6" s="4536"/>
      <c r="B6" s="4537"/>
      <c r="C6" s="4141" t="s">
        <v>3635</v>
      </c>
      <c r="D6" s="4141" t="s">
        <v>3583</v>
      </c>
      <c r="E6" s="4141" t="s">
        <v>3632</v>
      </c>
      <c r="F6" s="4141" t="s">
        <v>3583</v>
      </c>
      <c r="G6" s="4141" t="s">
        <v>3625</v>
      </c>
      <c r="H6" s="4141" t="s">
        <v>3583</v>
      </c>
      <c r="I6" s="4141" t="s">
        <v>3633</v>
      </c>
      <c r="J6" s="4141" t="s">
        <v>3583</v>
      </c>
    </row>
    <row r="7" spans="1:19" ht="12" thickBot="1">
      <c r="A7" s="4514" t="s">
        <v>3586</v>
      </c>
      <c r="B7" s="4515"/>
      <c r="C7" s="4142">
        <v>45052</v>
      </c>
      <c r="D7" s="4143">
        <v>100</v>
      </c>
      <c r="E7" s="4144">
        <v>45047</v>
      </c>
      <c r="F7" s="4143">
        <v>100</v>
      </c>
      <c r="G7" s="4144">
        <v>45047</v>
      </c>
      <c r="H7" s="4143">
        <v>100</v>
      </c>
      <c r="I7" s="4144">
        <v>45047</v>
      </c>
      <c r="J7" s="4143">
        <v>100</v>
      </c>
      <c r="L7" s="4140">
        <f>D7/F7</f>
        <v>1</v>
      </c>
      <c r="M7" s="4140">
        <f>D7/H7</f>
        <v>1</v>
      </c>
      <c r="N7" s="4140">
        <f>D7/J7</f>
        <v>1</v>
      </c>
      <c r="P7" s="4139" t="s">
        <v>3624</v>
      </c>
      <c r="Q7" s="4139" t="str">
        <f>D7&amp;P7&amp;F7</f>
        <v>100/100</v>
      </c>
      <c r="R7" s="4139" t="str">
        <f>D7&amp;P7&amp;H7</f>
        <v>100/100</v>
      </c>
      <c r="S7" s="4139" t="str">
        <f>D7&amp;P7&amp;J7</f>
        <v>100/100</v>
      </c>
    </row>
    <row r="8" spans="1:19" ht="12" thickBot="1">
      <c r="A8" s="4514" t="s">
        <v>3587</v>
      </c>
      <c r="B8" s="4515"/>
      <c r="C8" s="4141" t="s">
        <v>3344</v>
      </c>
      <c r="D8" s="4143">
        <v>100</v>
      </c>
      <c r="E8" s="4141" t="s">
        <v>3344</v>
      </c>
      <c r="F8" s="4143">
        <v>100</v>
      </c>
      <c r="G8" s="4141" t="s">
        <v>3344</v>
      </c>
      <c r="H8" s="4143">
        <v>100</v>
      </c>
      <c r="I8" s="4141" t="s">
        <v>3344</v>
      </c>
      <c r="J8" s="4143">
        <v>100</v>
      </c>
      <c r="L8" s="4140">
        <f t="shared" ref="L8:L19" si="0">D8/F8</f>
        <v>1</v>
      </c>
      <c r="M8" s="4140">
        <f t="shared" ref="M8:M19" si="1">D8/H8</f>
        <v>1</v>
      </c>
      <c r="N8" s="4140">
        <f t="shared" ref="N8:N19" si="2">D8/J8</f>
        <v>1</v>
      </c>
      <c r="P8" s="4139" t="s">
        <v>3624</v>
      </c>
      <c r="Q8" s="4139" t="str">
        <f t="shared" ref="Q8:Q19" si="3">D8&amp;P8&amp;F8</f>
        <v>100/100</v>
      </c>
      <c r="R8" s="4139" t="str">
        <f t="shared" ref="R8:R19" si="4">D8&amp;P8&amp;H8</f>
        <v>100/100</v>
      </c>
      <c r="S8" s="4139" t="str">
        <f t="shared" ref="S8:S19" si="5">D8&amp;P8&amp;J8</f>
        <v>100/100</v>
      </c>
    </row>
    <row r="9" spans="1:19" ht="12" thickBot="1">
      <c r="A9" s="4514" t="s">
        <v>3181</v>
      </c>
      <c r="B9" s="4515"/>
      <c r="C9" s="4141" t="s">
        <v>2731</v>
      </c>
      <c r="D9" s="4143">
        <v>100</v>
      </c>
      <c r="E9" s="4141" t="s">
        <v>1212</v>
      </c>
      <c r="F9" s="4143">
        <v>102</v>
      </c>
      <c r="G9" s="4141" t="s">
        <v>1212</v>
      </c>
      <c r="H9" s="4143">
        <f>F9</f>
        <v>102</v>
      </c>
      <c r="I9" s="4141" t="s">
        <v>1212</v>
      </c>
      <c r="J9" s="4143">
        <f>H9</f>
        <v>102</v>
      </c>
      <c r="L9" s="4140">
        <f t="shared" si="0"/>
        <v>0.98039215686274506</v>
      </c>
      <c r="M9" s="4140">
        <f t="shared" si="1"/>
        <v>0.98039215686274506</v>
      </c>
      <c r="N9" s="4140">
        <f t="shared" si="2"/>
        <v>0.98039215686274506</v>
      </c>
      <c r="P9" s="4139" t="s">
        <v>3624</v>
      </c>
      <c r="Q9" s="4139" t="str">
        <f t="shared" si="3"/>
        <v>100/102</v>
      </c>
      <c r="R9" s="4139" t="str">
        <f t="shared" si="4"/>
        <v>100/102</v>
      </c>
      <c r="S9" s="4139" t="str">
        <f t="shared" si="5"/>
        <v>100/102</v>
      </c>
    </row>
    <row r="10" spans="1:19" ht="74.25" thickBot="1">
      <c r="A10" s="4145" t="s">
        <v>3588</v>
      </c>
      <c r="B10" s="4141" t="s">
        <v>3626</v>
      </c>
      <c r="C10" s="4141" t="s">
        <v>3642</v>
      </c>
      <c r="D10" s="4143">
        <v>100</v>
      </c>
      <c r="E10" s="4141" t="s">
        <v>3645</v>
      </c>
      <c r="F10" s="4143">
        <v>100</v>
      </c>
      <c r="G10" s="4141" t="s">
        <v>3650</v>
      </c>
      <c r="H10" s="4143">
        <v>104</v>
      </c>
      <c r="I10" s="4141" t="s">
        <v>3654</v>
      </c>
      <c r="J10" s="4143">
        <v>104</v>
      </c>
      <c r="L10" s="4140">
        <f t="shared" si="0"/>
        <v>1</v>
      </c>
      <c r="M10" s="4140">
        <f t="shared" si="1"/>
        <v>0.96153846153846156</v>
      </c>
      <c r="N10" s="4140">
        <f t="shared" si="2"/>
        <v>0.96153846153846156</v>
      </c>
      <c r="P10" s="4139" t="s">
        <v>3624</v>
      </c>
      <c r="Q10" s="4139" t="str">
        <f t="shared" si="3"/>
        <v>100/100</v>
      </c>
      <c r="R10" s="4139" t="str">
        <f t="shared" si="4"/>
        <v>100/104</v>
      </c>
      <c r="S10" s="4139" t="str">
        <f t="shared" si="5"/>
        <v>100/104</v>
      </c>
    </row>
    <row r="11" spans="1:19" ht="95.25" thickBot="1">
      <c r="A11" s="4145" t="s">
        <v>3589</v>
      </c>
      <c r="B11" s="4141" t="s">
        <v>1190</v>
      </c>
      <c r="C11" s="4141" t="s">
        <v>3643</v>
      </c>
      <c r="D11" s="4143">
        <v>100</v>
      </c>
      <c r="E11" s="4141" t="s">
        <v>3646</v>
      </c>
      <c r="F11" s="4143">
        <v>100</v>
      </c>
      <c r="G11" s="4141" t="s">
        <v>3651</v>
      </c>
      <c r="H11" s="4143">
        <v>106</v>
      </c>
      <c r="I11" s="4141" t="s">
        <v>3655</v>
      </c>
      <c r="J11" s="4143">
        <v>106</v>
      </c>
      <c r="L11" s="4140">
        <f t="shared" si="0"/>
        <v>1</v>
      </c>
      <c r="M11" s="4140">
        <f t="shared" si="1"/>
        <v>0.94339622641509435</v>
      </c>
      <c r="N11" s="4140">
        <f t="shared" si="2"/>
        <v>0.94339622641509435</v>
      </c>
      <c r="P11" s="4139" t="s">
        <v>3624</v>
      </c>
      <c r="Q11" s="4139" t="str">
        <f t="shared" si="3"/>
        <v>100/100</v>
      </c>
      <c r="R11" s="4139" t="str">
        <f t="shared" si="4"/>
        <v>100/106</v>
      </c>
      <c r="S11" s="4139" t="str">
        <f t="shared" si="5"/>
        <v>100/106</v>
      </c>
    </row>
    <row r="12" spans="1:19" ht="189.75" thickBot="1">
      <c r="A12" s="4146"/>
      <c r="B12" s="4141" t="s">
        <v>3591</v>
      </c>
      <c r="C12" s="4141" t="s">
        <v>3644</v>
      </c>
      <c r="D12" s="4143">
        <v>100</v>
      </c>
      <c r="E12" s="4141" t="s">
        <v>3647</v>
      </c>
      <c r="F12" s="4143">
        <v>100</v>
      </c>
      <c r="G12" s="4147" t="s">
        <v>3653</v>
      </c>
      <c r="H12" s="4143">
        <v>102</v>
      </c>
      <c r="I12" s="4147" t="s">
        <v>3656</v>
      </c>
      <c r="J12" s="4143">
        <v>100</v>
      </c>
      <c r="L12" s="4140">
        <f t="shared" si="0"/>
        <v>1</v>
      </c>
      <c r="M12" s="4140">
        <f t="shared" si="1"/>
        <v>0.98039215686274506</v>
      </c>
      <c r="N12" s="4140">
        <f t="shared" si="2"/>
        <v>1</v>
      </c>
      <c r="P12" s="4139" t="s">
        <v>3624</v>
      </c>
      <c r="Q12" s="4139" t="str">
        <f t="shared" si="3"/>
        <v>100/100</v>
      </c>
      <c r="R12" s="4139" t="str">
        <f t="shared" si="4"/>
        <v>100/102</v>
      </c>
      <c r="S12" s="4139" t="str">
        <f t="shared" si="5"/>
        <v>100/100</v>
      </c>
    </row>
    <row r="13" spans="1:19" ht="21.75" thickBot="1">
      <c r="A13" s="4148"/>
      <c r="B13" s="4141" t="s">
        <v>3593</v>
      </c>
      <c r="C13" s="4141" t="s">
        <v>3595</v>
      </c>
      <c r="D13" s="4143">
        <v>100</v>
      </c>
      <c r="E13" s="4141" t="s">
        <v>3595</v>
      </c>
      <c r="F13" s="4143">
        <v>100</v>
      </c>
      <c r="G13" s="4141" t="s">
        <v>3595</v>
      </c>
      <c r="H13" s="4143">
        <v>100</v>
      </c>
      <c r="I13" s="4141" t="s">
        <v>3595</v>
      </c>
      <c r="J13" s="4143">
        <v>100</v>
      </c>
      <c r="L13" s="4140">
        <f t="shared" si="0"/>
        <v>1</v>
      </c>
      <c r="M13" s="4140">
        <f t="shared" si="1"/>
        <v>1</v>
      </c>
      <c r="N13" s="4140">
        <f t="shared" si="2"/>
        <v>1</v>
      </c>
      <c r="P13" s="4139" t="s">
        <v>3624</v>
      </c>
      <c r="Q13" s="4139" t="str">
        <f t="shared" si="3"/>
        <v>100/100</v>
      </c>
      <c r="R13" s="4139" t="str">
        <f t="shared" si="4"/>
        <v>100/100</v>
      </c>
      <c r="S13" s="4139" t="str">
        <f t="shared" si="5"/>
        <v>100/100</v>
      </c>
    </row>
    <row r="14" spans="1:19" ht="65.25" thickBot="1">
      <c r="A14" s="4149"/>
      <c r="B14" s="4141" t="s">
        <v>1191</v>
      </c>
      <c r="C14" s="4141" t="s">
        <v>3649</v>
      </c>
      <c r="D14" s="4143">
        <v>100</v>
      </c>
      <c r="E14" s="4147" t="s">
        <v>3648</v>
      </c>
      <c r="F14" s="4143">
        <v>100</v>
      </c>
      <c r="G14" s="4141" t="s">
        <v>3652</v>
      </c>
      <c r="H14" s="4143">
        <v>101</v>
      </c>
      <c r="I14" s="4141" t="s">
        <v>3657</v>
      </c>
      <c r="J14" s="4143">
        <v>100</v>
      </c>
      <c r="L14" s="4140">
        <f t="shared" si="0"/>
        <v>1</v>
      </c>
      <c r="M14" s="4140">
        <f t="shared" si="1"/>
        <v>0.99009900990099009</v>
      </c>
      <c r="N14" s="4140">
        <f t="shared" si="2"/>
        <v>1</v>
      </c>
      <c r="P14" s="4139" t="s">
        <v>3624</v>
      </c>
      <c r="Q14" s="4139" t="str">
        <f t="shared" si="3"/>
        <v>100/100</v>
      </c>
      <c r="R14" s="4139" t="str">
        <f t="shared" si="4"/>
        <v>100/101</v>
      </c>
      <c r="S14" s="4139" t="str">
        <f t="shared" si="5"/>
        <v>100/100</v>
      </c>
    </row>
    <row r="15" spans="1:19" ht="21">
      <c r="A15" s="4145" t="s">
        <v>3599</v>
      </c>
      <c r="B15" s="4150" t="s">
        <v>3636</v>
      </c>
      <c r="C15" s="4152">
        <v>754</v>
      </c>
      <c r="D15" s="4152">
        <v>100</v>
      </c>
      <c r="E15" s="4152">
        <v>600</v>
      </c>
      <c r="F15" s="4152">
        <v>100</v>
      </c>
      <c r="G15" s="4152">
        <v>1050</v>
      </c>
      <c r="H15" s="4152">
        <v>96</v>
      </c>
      <c r="I15" s="4152">
        <v>350</v>
      </c>
      <c r="J15" s="4152">
        <v>100</v>
      </c>
      <c r="L15" s="4140">
        <f t="shared" si="0"/>
        <v>1</v>
      </c>
      <c r="M15" s="4140">
        <f t="shared" si="1"/>
        <v>1.0416666666666667</v>
      </c>
      <c r="N15" s="4140">
        <f t="shared" si="2"/>
        <v>1</v>
      </c>
      <c r="P15" s="4139" t="s">
        <v>3624</v>
      </c>
      <c r="Q15" s="4139" t="str">
        <f t="shared" si="3"/>
        <v>100/100</v>
      </c>
      <c r="R15" s="4139" t="str">
        <f t="shared" si="4"/>
        <v>100/96</v>
      </c>
      <c r="S15" s="4139" t="str">
        <f t="shared" si="5"/>
        <v>100/100</v>
      </c>
    </row>
    <row r="16" spans="1:19" ht="12" thickBot="1">
      <c r="A16" s="4148"/>
      <c r="B16" s="4141" t="s">
        <v>3627</v>
      </c>
      <c r="C16" s="4141" t="s">
        <v>3637</v>
      </c>
      <c r="D16" s="4143">
        <v>100</v>
      </c>
      <c r="E16" s="4141" t="s">
        <v>3637</v>
      </c>
      <c r="F16" s="4143">
        <v>100</v>
      </c>
      <c r="G16" s="4141" t="s">
        <v>3334</v>
      </c>
      <c r="H16" s="4143">
        <v>100</v>
      </c>
      <c r="I16" s="4141" t="s">
        <v>3637</v>
      </c>
      <c r="J16" s="4143">
        <v>100</v>
      </c>
      <c r="L16" s="4140">
        <f t="shared" si="0"/>
        <v>1</v>
      </c>
      <c r="M16" s="4140">
        <f t="shared" si="1"/>
        <v>1</v>
      </c>
      <c r="N16" s="4140">
        <f t="shared" si="2"/>
        <v>1</v>
      </c>
      <c r="P16" s="4139" t="s">
        <v>3624</v>
      </c>
      <c r="Q16" s="4139" t="str">
        <f t="shared" si="3"/>
        <v>100/100</v>
      </c>
      <c r="R16" s="4139" t="str">
        <f t="shared" si="4"/>
        <v>100/100</v>
      </c>
      <c r="S16" s="4139" t="str">
        <f t="shared" si="5"/>
        <v>100/100</v>
      </c>
    </row>
    <row r="17" spans="1:19" ht="21.75" thickBot="1">
      <c r="A17" s="4148"/>
      <c r="B17" s="4141" t="s">
        <v>3628</v>
      </c>
      <c r="C17" s="4141" t="s">
        <v>3639</v>
      </c>
      <c r="D17" s="4143">
        <v>100</v>
      </c>
      <c r="E17" s="4141" t="s">
        <v>3639</v>
      </c>
      <c r="F17" s="4143">
        <v>100</v>
      </c>
      <c r="G17" s="4141" t="s">
        <v>3348</v>
      </c>
      <c r="H17" s="4143">
        <v>100</v>
      </c>
      <c r="I17" s="4141" t="s">
        <v>3639</v>
      </c>
      <c r="J17" s="4143">
        <v>100</v>
      </c>
      <c r="L17" s="4140">
        <f t="shared" si="0"/>
        <v>1</v>
      </c>
      <c r="M17" s="4140">
        <f t="shared" si="1"/>
        <v>1</v>
      </c>
      <c r="N17" s="4140">
        <f t="shared" si="2"/>
        <v>1</v>
      </c>
      <c r="P17" s="4139" t="s">
        <v>3624</v>
      </c>
      <c r="Q17" s="4139" t="str">
        <f t="shared" si="3"/>
        <v>100/100</v>
      </c>
      <c r="R17" s="4139" t="str">
        <f t="shared" si="4"/>
        <v>100/100</v>
      </c>
      <c r="S17" s="4139" t="str">
        <f t="shared" si="5"/>
        <v>100/100</v>
      </c>
    </row>
    <row r="18" spans="1:19" ht="12" thickBot="1">
      <c r="A18" s="4148"/>
      <c r="B18" s="4141" t="s">
        <v>3602</v>
      </c>
      <c r="C18" s="4143" t="s">
        <v>3640</v>
      </c>
      <c r="D18" s="4143">
        <v>100</v>
      </c>
      <c r="E18" s="4143" t="s">
        <v>3638</v>
      </c>
      <c r="F18" s="4143">
        <v>99</v>
      </c>
      <c r="G18" s="4143" t="s">
        <v>3638</v>
      </c>
      <c r="H18" s="4143">
        <v>99</v>
      </c>
      <c r="I18" s="4143" t="s">
        <v>3638</v>
      </c>
      <c r="J18" s="4143">
        <v>99</v>
      </c>
      <c r="L18" s="4140">
        <f t="shared" si="0"/>
        <v>1.0101010101010102</v>
      </c>
      <c r="M18" s="4140">
        <f t="shared" si="1"/>
        <v>1.0101010101010102</v>
      </c>
      <c r="N18" s="4140">
        <f t="shared" si="2"/>
        <v>1.0101010101010102</v>
      </c>
      <c r="P18" s="4139" t="s">
        <v>3624</v>
      </c>
      <c r="Q18" s="4139" t="str">
        <f t="shared" si="3"/>
        <v>100/99</v>
      </c>
      <c r="R18" s="4139" t="str">
        <f t="shared" si="4"/>
        <v>100/99</v>
      </c>
      <c r="S18" s="4139" t="str">
        <f t="shared" si="5"/>
        <v>100/99</v>
      </c>
    </row>
    <row r="19" spans="1:19" ht="12" thickBot="1">
      <c r="A19" s="4149"/>
      <c r="B19" s="4141" t="s">
        <v>3629</v>
      </c>
      <c r="C19" s="4141" t="s">
        <v>3641</v>
      </c>
      <c r="D19" s="4143">
        <v>100</v>
      </c>
      <c r="E19" s="4141" t="s">
        <v>3641</v>
      </c>
      <c r="F19" s="4143">
        <v>100</v>
      </c>
      <c r="G19" s="4141" t="s">
        <v>3630</v>
      </c>
      <c r="H19" s="4143">
        <v>100</v>
      </c>
      <c r="I19" s="4141" t="s">
        <v>3641</v>
      </c>
      <c r="J19" s="4143">
        <v>100</v>
      </c>
      <c r="L19" s="4140">
        <f t="shared" si="0"/>
        <v>1</v>
      </c>
      <c r="M19" s="4140">
        <f t="shared" si="1"/>
        <v>1</v>
      </c>
      <c r="N19" s="4140">
        <f t="shared" si="2"/>
        <v>1</v>
      </c>
      <c r="P19" s="4139" t="s">
        <v>3624</v>
      </c>
      <c r="Q19" s="4139" t="str">
        <f t="shared" si="3"/>
        <v>100/100</v>
      </c>
      <c r="R19" s="4139" t="str">
        <f t="shared" si="4"/>
        <v>100/100</v>
      </c>
      <c r="S19" s="4139" t="str">
        <f t="shared" si="5"/>
        <v>100/100</v>
      </c>
    </row>
    <row r="20" spans="1:19" ht="11.25">
      <c r="A20" s="4151"/>
      <c r="L20" s="4140">
        <f>PRODUCT(L4:L19)</f>
        <v>0.9902951079421668</v>
      </c>
      <c r="M20" s="4140">
        <f t="shared" ref="M20:N20" si="6">PRODUCT(M4:M19)</f>
        <v>0.90830697770088598</v>
      </c>
      <c r="N20" s="4140">
        <f t="shared" si="6"/>
        <v>0.89830833449035452</v>
      </c>
      <c r="P20" s="4139"/>
      <c r="Q20" s="4139"/>
      <c r="R20" s="4139"/>
      <c r="S20" s="4139"/>
    </row>
    <row r="21" spans="1:19" ht="11.25">
      <c r="L21" s="4140">
        <v>2.8</v>
      </c>
      <c r="M21" s="4140">
        <v>3</v>
      </c>
      <c r="N21" s="4140">
        <v>2.9</v>
      </c>
      <c r="P21" s="4139"/>
      <c r="Q21" s="4139"/>
      <c r="R21" s="4139"/>
      <c r="S21" s="4139"/>
    </row>
    <row r="22" spans="1:19" ht="11.25">
      <c r="L22" s="4140">
        <f>ROUND(L20*L21,1)</f>
        <v>2.8</v>
      </c>
      <c r="M22" s="4140">
        <f t="shared" ref="M22:N22" si="7">ROUND(M20*M21,1)</f>
        <v>2.7</v>
      </c>
      <c r="N22" s="4140">
        <f t="shared" si="7"/>
        <v>2.6</v>
      </c>
      <c r="P22" s="4139"/>
      <c r="Q22" s="4139"/>
      <c r="R22" s="4139"/>
      <c r="S22" s="4139"/>
    </row>
    <row r="23" spans="1:19">
      <c r="M23" s="4140">
        <f>ROUND(AVERAGE(L22:N22),1)</f>
        <v>2.7</v>
      </c>
    </row>
    <row r="27" spans="1:19">
      <c r="K27" s="4140">
        <v>2.8</v>
      </c>
      <c r="L27" s="4140">
        <v>3</v>
      </c>
      <c r="M27" s="4140">
        <v>2.9</v>
      </c>
    </row>
    <row r="28" spans="1:19">
      <c r="K28" s="4140">
        <v>2.8</v>
      </c>
      <c r="L28" s="4140">
        <v>2.7</v>
      </c>
      <c r="M28" s="4140">
        <v>2.6</v>
      </c>
    </row>
    <row r="29" spans="1:19">
      <c r="L29" s="4140">
        <v>2.7</v>
      </c>
    </row>
  </sheetData>
  <mergeCells count="13">
    <mergeCell ref="A9:B9"/>
    <mergeCell ref="C1:D5"/>
    <mergeCell ref="G1:H5"/>
    <mergeCell ref="E1:F5"/>
    <mergeCell ref="I1:J5"/>
    <mergeCell ref="A7:B7"/>
    <mergeCell ref="A8:B8"/>
    <mergeCell ref="A1:B1"/>
    <mergeCell ref="A2:B2"/>
    <mergeCell ref="A3:B3"/>
    <mergeCell ref="A4:B4"/>
    <mergeCell ref="A5:B5"/>
    <mergeCell ref="A6:B6"/>
  </mergeCells>
  <phoneticPr fontId="22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G5"/>
  <sheetViews>
    <sheetView workbookViewId="0">
      <selection activeCell="A4" sqref="A4"/>
    </sheetView>
  </sheetViews>
  <sheetFormatPr defaultColWidth="8.875" defaultRowHeight="13.5"/>
  <cols>
    <col min="1" max="1" width="15.125" style="4126" customWidth="1"/>
    <col min="2" max="2" width="6.5" style="4126" customWidth="1"/>
    <col min="3" max="3" width="7.125" style="4126" customWidth="1"/>
    <col min="4" max="4" width="5.375" style="4126" bestFit="1" customWidth="1"/>
    <col min="5" max="5" width="6.125" style="4126" customWidth="1"/>
  </cols>
  <sheetData>
    <row r="1" spans="1:7">
      <c r="A1" s="4125" t="s">
        <v>3429</v>
      </c>
      <c r="B1" s="4125" t="s">
        <v>3431</v>
      </c>
      <c r="C1" s="4125" t="s">
        <v>3433</v>
      </c>
      <c r="D1" s="4125"/>
      <c r="E1" s="4125" t="s">
        <v>3565</v>
      </c>
      <c r="F1" s="2932" t="s">
        <v>3435</v>
      </c>
      <c r="G1" s="4030" t="s">
        <v>3561</v>
      </c>
    </row>
    <row r="2" spans="1:7">
      <c r="A2" s="4048" t="s">
        <v>3659</v>
      </c>
      <c r="B2" s="4049">
        <v>600</v>
      </c>
      <c r="C2" s="4049">
        <v>2.8</v>
      </c>
      <c r="D2" s="4048" t="s">
        <v>3570</v>
      </c>
      <c r="E2" s="4048" t="s">
        <v>3571</v>
      </c>
      <c r="F2" s="4030" t="s">
        <v>3560</v>
      </c>
    </row>
    <row r="3" spans="1:7">
      <c r="A3" s="4048" t="s">
        <v>3660</v>
      </c>
      <c r="B3" s="4049">
        <v>1050</v>
      </c>
      <c r="C3" s="4049">
        <v>3</v>
      </c>
      <c r="D3" s="4048" t="s">
        <v>3567</v>
      </c>
      <c r="E3" s="4048" t="s">
        <v>3572</v>
      </c>
      <c r="F3" s="4030" t="s">
        <v>3562</v>
      </c>
    </row>
    <row r="4" spans="1:7">
      <c r="A4" s="4048" t="s">
        <v>3661</v>
      </c>
      <c r="B4" s="4049">
        <v>350</v>
      </c>
      <c r="C4" s="4049">
        <v>2.9</v>
      </c>
      <c r="D4" s="4048" t="s">
        <v>3569</v>
      </c>
      <c r="E4" s="4048" t="s">
        <v>3572</v>
      </c>
      <c r="F4" s="4030" t="s">
        <v>3564</v>
      </c>
    </row>
    <row r="5" spans="1:7">
      <c r="A5" s="4125" t="s">
        <v>3563</v>
      </c>
      <c r="B5" s="4126">
        <v>1000</v>
      </c>
      <c r="C5" s="4126">
        <v>2</v>
      </c>
      <c r="D5" s="4125" t="s">
        <v>3568</v>
      </c>
      <c r="E5" s="4125" t="s">
        <v>3573</v>
      </c>
      <c r="F5" s="4030" t="s">
        <v>3566</v>
      </c>
    </row>
  </sheetData>
  <phoneticPr fontId="224" type="noConversion"/>
  <hyperlinks>
    <hyperlink ref="F2" r:id="rId1" xr:uid="{00000000-0004-0000-3700-000000000000}"/>
    <hyperlink ref="G1" r:id="rId2" xr:uid="{00000000-0004-0000-3700-000001000000}"/>
    <hyperlink ref="F3" r:id="rId3" xr:uid="{00000000-0004-0000-3700-000002000000}"/>
    <hyperlink ref="F4" r:id="rId4" xr:uid="{00000000-0004-0000-3700-000003000000}"/>
    <hyperlink ref="F5" r:id="rId5" xr:uid="{00000000-0004-0000-3700-000004000000}"/>
  </hyperlinks>
  <pageMargins left="0.7" right="0.7" top="0.75" bottom="0.75" header="0.3" footer="0.3"/>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2"/>
  <sheetViews>
    <sheetView zoomScale="85" zoomScaleNormal="85" workbookViewId="0">
      <selection activeCell="J9" sqref="J9"/>
    </sheetView>
  </sheetViews>
  <sheetFormatPr defaultRowHeight="13.5"/>
  <cols>
    <col min="1" max="1" width="7.5" customWidth="1"/>
    <col min="2" max="2" width="40.375" customWidth="1"/>
    <col min="3" max="7" width="15.125" customWidth="1"/>
  </cols>
  <sheetData>
    <row r="1" spans="1:8" ht="16.5">
      <c r="A1" s="4540" t="s">
        <v>1727</v>
      </c>
      <c r="B1" s="4540" t="s">
        <v>3662</v>
      </c>
      <c r="C1" s="4153" t="s">
        <v>3182</v>
      </c>
      <c r="D1" s="4153" t="s">
        <v>2733</v>
      </c>
      <c r="E1" s="4153" t="s">
        <v>1212</v>
      </c>
      <c r="F1" s="4153" t="s">
        <v>2731</v>
      </c>
      <c r="G1" s="4540" t="s">
        <v>3665</v>
      </c>
    </row>
    <row r="2" spans="1:8" ht="16.5">
      <c r="A2" s="4541"/>
      <c r="B2" s="4541"/>
      <c r="C2" s="4154" t="s">
        <v>3663</v>
      </c>
      <c r="D2" s="4154" t="s">
        <v>3663</v>
      </c>
      <c r="E2" s="4154" t="s">
        <v>3663</v>
      </c>
      <c r="F2" s="4154" t="s">
        <v>3663</v>
      </c>
      <c r="G2" s="4541"/>
    </row>
    <row r="3" spans="1:8" ht="17.25" thickBot="1">
      <c r="A3" s="4542"/>
      <c r="B3" s="4542"/>
      <c r="C3" s="4155" t="s">
        <v>3664</v>
      </c>
      <c r="D3" s="4155" t="s">
        <v>3664</v>
      </c>
      <c r="E3" s="4155" t="s">
        <v>3664</v>
      </c>
      <c r="F3" s="4155" t="s">
        <v>3664</v>
      </c>
      <c r="G3" s="4542"/>
    </row>
    <row r="4" spans="1:8" ht="33.75" thickBot="1">
      <c r="A4" s="4155">
        <v>1</v>
      </c>
      <c r="B4" s="4157" t="s">
        <v>3669</v>
      </c>
      <c r="C4" s="4155">
        <v>18670</v>
      </c>
      <c r="D4" s="4156" t="s">
        <v>877</v>
      </c>
      <c r="E4" s="4156" t="s">
        <v>877</v>
      </c>
      <c r="F4" s="4156" t="s">
        <v>877</v>
      </c>
      <c r="G4" s="4158">
        <v>43313</v>
      </c>
      <c r="H4" s="2932" t="s">
        <v>3668</v>
      </c>
    </row>
    <row r="5" spans="1:8" ht="33.75" thickBot="1">
      <c r="A5" s="4156">
        <v>2</v>
      </c>
      <c r="B5" s="4157" t="s">
        <v>3666</v>
      </c>
      <c r="C5" s="4156">
        <v>18534</v>
      </c>
      <c r="D5" s="4156">
        <v>8376</v>
      </c>
      <c r="E5" s="4156" t="s">
        <v>877</v>
      </c>
      <c r="F5" s="4156" t="s">
        <v>877</v>
      </c>
      <c r="G5" s="4158">
        <v>43556</v>
      </c>
      <c r="H5" s="2932" t="s">
        <v>3667</v>
      </c>
    </row>
    <row r="6" spans="1:8" ht="17.25" thickBot="1">
      <c r="A6" s="4538" t="s">
        <v>3578</v>
      </c>
      <c r="B6" s="4539"/>
      <c r="C6" s="4156">
        <f ca="1">土储要求测算表!J16</f>
        <v>15196</v>
      </c>
      <c r="D6" s="4156">
        <f ca="1">土储要求测算表!J17</f>
        <v>8128</v>
      </c>
      <c r="E6" s="4156" t="s">
        <v>877</v>
      </c>
      <c r="F6" s="4156">
        <f ca="1">土储要求测算表!J18</f>
        <v>3623</v>
      </c>
      <c r="G6" s="4156"/>
    </row>
    <row r="11" spans="1:8" s="4159" customFormat="1" ht="22.5">
      <c r="B11" s="4160"/>
    </row>
    <row r="12" spans="1:8" s="4159" customFormat="1" ht="22.5"/>
  </sheetData>
  <mergeCells count="4">
    <mergeCell ref="A6:B6"/>
    <mergeCell ref="A1:A3"/>
    <mergeCell ref="B1:B3"/>
    <mergeCell ref="G1:G3"/>
  </mergeCells>
  <phoneticPr fontId="224"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D11" sqref="D11"/>
    </sheetView>
  </sheetViews>
  <sheetFormatPr defaultRowHeight="13.5"/>
  <sheetData/>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373" t="s">
        <v>471</v>
      </c>
      <c r="D4" s="4374"/>
      <c r="E4" s="4375" t="s">
        <v>472</v>
      </c>
      <c r="F4" s="4376"/>
      <c r="G4" s="4373" t="s">
        <v>473</v>
      </c>
      <c r="H4" s="4374"/>
      <c r="I4" s="4373" t="s">
        <v>474</v>
      </c>
      <c r="J4" s="4374"/>
      <c r="K4" s="463" t="s">
        <v>475</v>
      </c>
      <c r="L4" s="1822"/>
      <c r="M4" s="1823"/>
      <c r="N4" s="1823"/>
      <c r="O4" s="1823"/>
      <c r="P4" s="4377" t="s">
        <v>476</v>
      </c>
      <c r="Q4" s="4378"/>
      <c r="R4" s="4360" t="s">
        <v>472</v>
      </c>
      <c r="S4" s="4361"/>
      <c r="T4" s="4360" t="s">
        <v>473</v>
      </c>
      <c r="U4" s="4361"/>
      <c r="V4" s="4385" t="s">
        <v>474</v>
      </c>
      <c r="W4" s="4385"/>
      <c r="X4" s="1354"/>
      <c r="Y4" s="4360" t="s">
        <v>476</v>
      </c>
      <c r="Z4" s="4361"/>
      <c r="AA4" s="4355" t="s">
        <v>472</v>
      </c>
      <c r="AB4" s="4356" t="s">
        <v>473</v>
      </c>
      <c r="AC4" s="4355" t="s">
        <v>474</v>
      </c>
    </row>
    <row r="5" spans="1:29" ht="15">
      <c r="A5" s="464"/>
      <c r="B5" s="465"/>
      <c r="C5" s="4366" t="s">
        <v>2186</v>
      </c>
      <c r="D5" s="4367"/>
      <c r="E5" s="4364" t="s">
        <v>2187</v>
      </c>
      <c r="F5" s="4365"/>
      <c r="G5" s="4366" t="s">
        <v>2188</v>
      </c>
      <c r="H5" s="4367"/>
      <c r="I5" s="4366" t="s">
        <v>2189</v>
      </c>
      <c r="J5" s="4367"/>
      <c r="K5" s="463"/>
      <c r="L5" s="1822"/>
      <c r="M5" s="1823"/>
      <c r="N5" s="1823"/>
      <c r="O5" s="1823"/>
      <c r="P5" s="4379"/>
      <c r="Q5" s="4380"/>
      <c r="R5" s="4362"/>
      <c r="S5" s="4363"/>
      <c r="T5" s="4362"/>
      <c r="U5" s="4363"/>
      <c r="V5" s="4385"/>
      <c r="W5" s="4385"/>
      <c r="X5" s="1354"/>
      <c r="Y5" s="4362"/>
      <c r="Z5" s="4363"/>
      <c r="AA5" s="4356"/>
      <c r="AB5" s="4356"/>
      <c r="AC5" s="4356"/>
    </row>
    <row r="6" spans="1:29" ht="15.75" thickBot="1">
      <c r="A6" s="466"/>
      <c r="B6" s="467"/>
      <c r="C6" s="4368" t="s">
        <v>2190</v>
      </c>
      <c r="D6" s="4369"/>
      <c r="E6" s="4370" t="s">
        <v>2190</v>
      </c>
      <c r="F6" s="4371"/>
      <c r="G6" s="4368" t="s">
        <v>2190</v>
      </c>
      <c r="H6" s="4369"/>
      <c r="I6" s="4368" t="s">
        <v>2190</v>
      </c>
      <c r="J6" s="4369"/>
      <c r="K6" s="463" t="s">
        <v>477</v>
      </c>
      <c r="L6" s="1822"/>
      <c r="M6" s="1823"/>
      <c r="N6" s="1823"/>
      <c r="O6" s="1823"/>
      <c r="P6" s="4381"/>
      <c r="Q6" s="4382"/>
      <c r="R6" s="4362"/>
      <c r="S6" s="4363"/>
      <c r="T6" s="4383"/>
      <c r="U6" s="4384"/>
      <c r="V6" s="4385"/>
      <c r="W6" s="4385"/>
      <c r="X6" s="1354"/>
      <c r="Y6" s="4383"/>
      <c r="Z6" s="4384"/>
      <c r="AA6" s="4357"/>
      <c r="AB6" s="4357"/>
      <c r="AC6" s="4357"/>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58" t="s">
        <v>479</v>
      </c>
      <c r="Q7" s="4386"/>
      <c r="R7" s="1355" t="s">
        <v>5</v>
      </c>
      <c r="S7" s="1356">
        <f t="shared" ref="S7:S15" si="0">F7</f>
        <v>0</v>
      </c>
      <c r="T7" s="1355" t="s">
        <v>5</v>
      </c>
      <c r="U7" s="1356">
        <f t="shared" ref="U7:U15" si="1">H7</f>
        <v>0</v>
      </c>
      <c r="V7" s="1355" t="s">
        <v>5</v>
      </c>
      <c r="W7" s="1356">
        <f t="shared" ref="W7:W15" si="2">J7</f>
        <v>0</v>
      </c>
      <c r="X7" s="1357"/>
      <c r="Y7" s="4358" t="s">
        <v>479</v>
      </c>
      <c r="Z7" s="4359"/>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58" t="s">
        <v>482</v>
      </c>
      <c r="Q8" s="4359"/>
      <c r="R8" s="1355" t="s">
        <v>5</v>
      </c>
      <c r="S8" s="1356">
        <f t="shared" si="0"/>
        <v>0</v>
      </c>
      <c r="T8" s="1355" t="s">
        <v>5</v>
      </c>
      <c r="U8" s="1356">
        <f t="shared" si="1"/>
        <v>0</v>
      </c>
      <c r="V8" s="1355" t="s">
        <v>5</v>
      </c>
      <c r="W8" s="1356">
        <f t="shared" si="2"/>
        <v>0</v>
      </c>
      <c r="X8" s="1357"/>
      <c r="Y8" s="4358" t="s">
        <v>482</v>
      </c>
      <c r="Z8" s="4359"/>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372" t="s">
        <v>484</v>
      </c>
      <c r="Q9" s="1027" t="str">
        <f t="shared" ref="Q9:Q15" si="6">B9</f>
        <v>用途</v>
      </c>
      <c r="R9" s="1355" t="s">
        <v>5</v>
      </c>
      <c r="S9" s="1356">
        <f t="shared" si="0"/>
        <v>100</v>
      </c>
      <c r="T9" s="1355" t="s">
        <v>5</v>
      </c>
      <c r="U9" s="1356">
        <f t="shared" si="1"/>
        <v>100</v>
      </c>
      <c r="V9" s="1355" t="s">
        <v>5</v>
      </c>
      <c r="W9" s="1356">
        <f t="shared" si="2"/>
        <v>100</v>
      </c>
      <c r="X9" s="1357"/>
      <c r="Y9" s="4304"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372"/>
      <c r="Q11" s="1027" t="str">
        <f t="shared" si="6"/>
        <v>容积率</v>
      </c>
      <c r="R11" s="1355" t="s">
        <v>5</v>
      </c>
      <c r="S11" s="1356" t="e">
        <f t="shared" si="0"/>
        <v>#N/A</v>
      </c>
      <c r="T11" s="1355" t="s">
        <v>5</v>
      </c>
      <c r="U11" s="1356" t="e">
        <f t="shared" si="1"/>
        <v>#N/A</v>
      </c>
      <c r="V11" s="1355" t="s">
        <v>5</v>
      </c>
      <c r="W11" s="1356" t="e">
        <f t="shared" si="2"/>
        <v>#N/A</v>
      </c>
      <c r="X11" s="1357"/>
      <c r="Y11" s="4304"/>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372"/>
      <c r="Q12" s="1027">
        <f t="shared" si="6"/>
        <v>111</v>
      </c>
      <c r="R12" s="1355" t="s">
        <v>5</v>
      </c>
      <c r="S12" s="1356">
        <f t="shared" si="0"/>
        <v>100</v>
      </c>
      <c r="T12" s="1355" t="s">
        <v>5</v>
      </c>
      <c r="U12" s="1356">
        <f t="shared" si="1"/>
        <v>100</v>
      </c>
      <c r="V12" s="1355" t="s">
        <v>5</v>
      </c>
      <c r="W12" s="1356">
        <f t="shared" si="2"/>
        <v>100</v>
      </c>
      <c r="X12" s="1357"/>
      <c r="Y12" s="4304"/>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372"/>
      <c r="Q13" s="1027">
        <f t="shared" si="6"/>
        <v>111</v>
      </c>
      <c r="R13" s="1355" t="s">
        <v>5</v>
      </c>
      <c r="S13" s="1356">
        <f t="shared" si="0"/>
        <v>100</v>
      </c>
      <c r="T13" s="1355" t="s">
        <v>5</v>
      </c>
      <c r="U13" s="1356">
        <f t="shared" si="1"/>
        <v>100</v>
      </c>
      <c r="V13" s="1355" t="s">
        <v>5</v>
      </c>
      <c r="W13" s="1356">
        <f t="shared" si="2"/>
        <v>100</v>
      </c>
      <c r="X13" s="1357"/>
      <c r="Y13" s="4304"/>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372"/>
      <c r="Q14" s="1027">
        <f t="shared" si="6"/>
        <v>111</v>
      </c>
      <c r="R14" s="1355" t="s">
        <v>5</v>
      </c>
      <c r="S14" s="1356">
        <f t="shared" si="0"/>
        <v>100</v>
      </c>
      <c r="T14" s="1355" t="s">
        <v>5</v>
      </c>
      <c r="U14" s="1356">
        <f t="shared" si="1"/>
        <v>100</v>
      </c>
      <c r="V14" s="1355" t="s">
        <v>5</v>
      </c>
      <c r="W14" s="1356">
        <f t="shared" si="2"/>
        <v>100</v>
      </c>
      <c r="X14" s="1357"/>
      <c r="Y14" s="4304"/>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91" t="s">
        <v>489</v>
      </c>
      <c r="Q15" s="1359" t="str">
        <f t="shared" si="6"/>
        <v>产业集聚程度</v>
      </c>
      <c r="R15" s="1360" t="s">
        <v>5</v>
      </c>
      <c r="S15" s="1361">
        <f t="shared" si="0"/>
        <v>100</v>
      </c>
      <c r="T15" s="1360" t="s">
        <v>5</v>
      </c>
      <c r="U15" s="1361">
        <f t="shared" si="1"/>
        <v>100</v>
      </c>
      <c r="V15" s="1360" t="s">
        <v>5</v>
      </c>
      <c r="W15" s="1361">
        <f t="shared" si="2"/>
        <v>100</v>
      </c>
      <c r="X15" s="1354"/>
      <c r="Y15" s="4391"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392"/>
      <c r="Q16" s="1359"/>
      <c r="R16" s="1360"/>
      <c r="S16" s="1361"/>
      <c r="T16" s="1360"/>
      <c r="U16" s="1361"/>
      <c r="V16" s="1360"/>
      <c r="W16" s="1361"/>
      <c r="X16" s="1354"/>
      <c r="Y16" s="4392"/>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92"/>
      <c r="Q17" s="1359" t="str">
        <f>B17</f>
        <v>交通便捷度</v>
      </c>
      <c r="R17" s="1360" t="s">
        <v>5</v>
      </c>
      <c r="S17" s="1361">
        <f>F17</f>
        <v>100</v>
      </c>
      <c r="T17" s="1360" t="s">
        <v>5</v>
      </c>
      <c r="U17" s="1361">
        <f>H17</f>
        <v>100</v>
      </c>
      <c r="V17" s="1360" t="s">
        <v>5</v>
      </c>
      <c r="W17" s="1361">
        <f>J17</f>
        <v>100</v>
      </c>
      <c r="X17" s="1354"/>
      <c r="Y17" s="4392"/>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392"/>
      <c r="Q18" s="1359"/>
      <c r="R18" s="1360"/>
      <c r="S18" s="1361"/>
      <c r="T18" s="1360"/>
      <c r="U18" s="1361"/>
      <c r="V18" s="1360"/>
      <c r="W18" s="1361"/>
      <c r="X18" s="1354"/>
      <c r="Y18" s="4392"/>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92"/>
      <c r="Q19" s="1359" t="str">
        <f>B19</f>
        <v>公共配套设施</v>
      </c>
      <c r="R19" s="1360" t="s">
        <v>5</v>
      </c>
      <c r="S19" s="1361">
        <f>F19</f>
        <v>100</v>
      </c>
      <c r="T19" s="1360" t="s">
        <v>5</v>
      </c>
      <c r="U19" s="1361">
        <f>H19</f>
        <v>100</v>
      </c>
      <c r="V19" s="1360" t="s">
        <v>5</v>
      </c>
      <c r="W19" s="1361">
        <f>J19</f>
        <v>100</v>
      </c>
      <c r="X19" s="1354"/>
      <c r="Y19" s="4392"/>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392"/>
      <c r="Q20" s="1359"/>
      <c r="R20" s="1360"/>
      <c r="S20" s="1361"/>
      <c r="T20" s="1360"/>
      <c r="U20" s="1361"/>
      <c r="V20" s="1360"/>
      <c r="W20" s="1361"/>
      <c r="X20" s="1354"/>
      <c r="Y20" s="4392"/>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92"/>
      <c r="Q21" s="2157" t="str">
        <f>B21</f>
        <v>基础设施水平</v>
      </c>
      <c r="R21" s="1360" t="s">
        <v>5</v>
      </c>
      <c r="S21" s="1361">
        <f>F21</f>
        <v>100</v>
      </c>
      <c r="T21" s="1360" t="s">
        <v>5</v>
      </c>
      <c r="U21" s="1361">
        <f>H21</f>
        <v>100</v>
      </c>
      <c r="V21" s="1360" t="s">
        <v>5</v>
      </c>
      <c r="W21" s="1361">
        <f>J21</f>
        <v>100</v>
      </c>
      <c r="X21" s="2159"/>
      <c r="Y21" s="4392"/>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392"/>
      <c r="Q22" s="2157"/>
      <c r="R22" s="1360"/>
      <c r="S22" s="1361"/>
      <c r="T22" s="1360"/>
      <c r="U22" s="1361"/>
      <c r="V22" s="1360"/>
      <c r="W22" s="1361"/>
      <c r="X22" s="2159"/>
      <c r="Y22" s="4392"/>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92"/>
      <c r="Q23" s="1359" t="str">
        <f>B23</f>
        <v>环境质量</v>
      </c>
      <c r="R23" s="1360" t="s">
        <v>5</v>
      </c>
      <c r="S23" s="1361">
        <f>F23</f>
        <v>100</v>
      </c>
      <c r="T23" s="1360" t="s">
        <v>5</v>
      </c>
      <c r="U23" s="1361">
        <f>H23</f>
        <v>100</v>
      </c>
      <c r="V23" s="1360" t="s">
        <v>5</v>
      </c>
      <c r="W23" s="1361">
        <f>J23</f>
        <v>100</v>
      </c>
      <c r="X23" s="1354"/>
      <c r="Y23" s="4392"/>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392"/>
      <c r="Q24" s="1359"/>
      <c r="R24" s="1360"/>
      <c r="S24" s="1361"/>
      <c r="T24" s="1360"/>
      <c r="U24" s="1361"/>
      <c r="V24" s="1360"/>
      <c r="W24" s="1361"/>
      <c r="X24" s="1354"/>
      <c r="Y24" s="4392"/>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92"/>
      <c r="Q25" s="1359">
        <f>B25</f>
        <v>111</v>
      </c>
      <c r="R25" s="1360" t="s">
        <v>5</v>
      </c>
      <c r="S25" s="1361">
        <f>F25</f>
        <v>100</v>
      </c>
      <c r="T25" s="1360" t="s">
        <v>5</v>
      </c>
      <c r="U25" s="1361">
        <f>H25</f>
        <v>100</v>
      </c>
      <c r="V25" s="1360" t="s">
        <v>5</v>
      </c>
      <c r="W25" s="1361">
        <f>J25</f>
        <v>100</v>
      </c>
      <c r="X25" s="1354"/>
      <c r="Y25" s="4392"/>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92"/>
      <c r="Q26" s="1359">
        <f t="shared" ref="Q26:Q40" si="8">B26</f>
        <v>111</v>
      </c>
      <c r="R26" s="1360" t="s">
        <v>5</v>
      </c>
      <c r="S26" s="1361">
        <f>F26</f>
        <v>100</v>
      </c>
      <c r="T26" s="1360" t="s">
        <v>5</v>
      </c>
      <c r="U26" s="1361">
        <f>H26</f>
        <v>100</v>
      </c>
      <c r="V26" s="1360" t="s">
        <v>5</v>
      </c>
      <c r="W26" s="1361">
        <f>J26</f>
        <v>100</v>
      </c>
      <c r="X26" s="1354"/>
      <c r="Y26" s="4392"/>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92"/>
      <c r="Q27" s="1027">
        <f t="shared" si="8"/>
        <v>111</v>
      </c>
      <c r="R27" s="1355" t="s">
        <v>5</v>
      </c>
      <c r="S27" s="1356">
        <f>F27</f>
        <v>100</v>
      </c>
      <c r="T27" s="1355" t="s">
        <v>5</v>
      </c>
      <c r="U27" s="1356">
        <f>H27</f>
        <v>100</v>
      </c>
      <c r="V27" s="1355" t="s">
        <v>5</v>
      </c>
      <c r="W27" s="1356">
        <f>J27</f>
        <v>100</v>
      </c>
      <c r="X27" s="1357"/>
      <c r="Y27" s="4392"/>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92"/>
      <c r="Q28" s="1359">
        <f t="shared" si="8"/>
        <v>111</v>
      </c>
      <c r="R28" s="1360" t="s">
        <v>5</v>
      </c>
      <c r="S28" s="1361">
        <f t="shared" ref="S28:S40" si="9">F28</f>
        <v>100</v>
      </c>
      <c r="T28" s="1360" t="s">
        <v>5</v>
      </c>
      <c r="U28" s="1361">
        <f t="shared" ref="U28:U40" si="10">H28</f>
        <v>100</v>
      </c>
      <c r="V28" s="1360" t="s">
        <v>5</v>
      </c>
      <c r="W28" s="1361">
        <f t="shared" ref="W28:W40" si="11">J28</f>
        <v>100</v>
      </c>
      <c r="X28" s="1354"/>
      <c r="Y28" s="4392"/>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93" t="s">
        <v>499</v>
      </c>
      <c r="Q29" s="1359" t="str">
        <f t="shared" si="8"/>
        <v>建筑类型</v>
      </c>
      <c r="R29" s="1360" t="s">
        <v>5</v>
      </c>
      <c r="S29" s="1361">
        <f t="shared" si="9"/>
        <v>100</v>
      </c>
      <c r="T29" s="1360" t="s">
        <v>5</v>
      </c>
      <c r="U29" s="1361">
        <f t="shared" si="10"/>
        <v>100</v>
      </c>
      <c r="V29" s="1360" t="s">
        <v>5</v>
      </c>
      <c r="W29" s="1361">
        <f t="shared" si="11"/>
        <v>100</v>
      </c>
      <c r="X29" s="1354"/>
      <c r="Y29" s="4394"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94"/>
      <c r="Q30" s="1388" t="str">
        <f t="shared" si="8"/>
        <v>项目建筑规模</v>
      </c>
      <c r="R30" s="1364" t="s">
        <v>5</v>
      </c>
      <c r="S30" s="1365" t="e">
        <f t="shared" si="9"/>
        <v>#N/A</v>
      </c>
      <c r="T30" s="1364" t="s">
        <v>5</v>
      </c>
      <c r="U30" s="1365" t="e">
        <f t="shared" si="10"/>
        <v>#N/A</v>
      </c>
      <c r="V30" s="1364" t="s">
        <v>5</v>
      </c>
      <c r="W30" s="1365" t="e">
        <f t="shared" si="11"/>
        <v>#N/A</v>
      </c>
      <c r="X30" s="1366"/>
      <c r="Y30" s="4394"/>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94"/>
      <c r="Q31" s="1359" t="str">
        <f t="shared" si="8"/>
        <v>建筑结构</v>
      </c>
      <c r="R31" s="1360" t="s">
        <v>5</v>
      </c>
      <c r="S31" s="1361">
        <f t="shared" si="9"/>
        <v>100</v>
      </c>
      <c r="T31" s="1360" t="s">
        <v>5</v>
      </c>
      <c r="U31" s="1361">
        <f t="shared" si="10"/>
        <v>100</v>
      </c>
      <c r="V31" s="1360" t="s">
        <v>5</v>
      </c>
      <c r="W31" s="1361">
        <f t="shared" si="11"/>
        <v>100</v>
      </c>
      <c r="X31" s="1354"/>
      <c r="Y31" s="4394"/>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94"/>
      <c r="Q32" s="1359" t="str">
        <f t="shared" si="8"/>
        <v>公共部分装修</v>
      </c>
      <c r="R32" s="1360" t="s">
        <v>5</v>
      </c>
      <c r="S32" s="1361">
        <f t="shared" si="9"/>
        <v>100</v>
      </c>
      <c r="T32" s="1360" t="s">
        <v>5</v>
      </c>
      <c r="U32" s="1361">
        <f t="shared" si="10"/>
        <v>100</v>
      </c>
      <c r="V32" s="1360" t="s">
        <v>5</v>
      </c>
      <c r="W32" s="1361">
        <f t="shared" si="11"/>
        <v>100</v>
      </c>
      <c r="X32" s="1354"/>
      <c r="Y32" s="4394"/>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94"/>
      <c r="Q33" s="1359" t="str">
        <f t="shared" si="8"/>
        <v>成新度</v>
      </c>
      <c r="R33" s="1360" t="s">
        <v>5</v>
      </c>
      <c r="S33" s="1361" t="e">
        <f t="shared" si="9"/>
        <v>#N/A</v>
      </c>
      <c r="T33" s="1360" t="s">
        <v>5</v>
      </c>
      <c r="U33" s="1361" t="e">
        <f t="shared" si="10"/>
        <v>#N/A</v>
      </c>
      <c r="V33" s="1360" t="s">
        <v>5</v>
      </c>
      <c r="W33" s="1361" t="e">
        <f t="shared" si="11"/>
        <v>#N/A</v>
      </c>
      <c r="X33" s="1354"/>
      <c r="Y33" s="4394"/>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94"/>
      <c r="Q34" s="1027" t="str">
        <f t="shared" si="8"/>
        <v>物业管理</v>
      </c>
      <c r="R34" s="1355" t="s">
        <v>5</v>
      </c>
      <c r="S34" s="1356">
        <f t="shared" si="9"/>
        <v>100</v>
      </c>
      <c r="T34" s="1355" t="s">
        <v>5</v>
      </c>
      <c r="U34" s="1356">
        <f t="shared" si="10"/>
        <v>100</v>
      </c>
      <c r="V34" s="1355" t="s">
        <v>5</v>
      </c>
      <c r="W34" s="1356">
        <f t="shared" si="11"/>
        <v>100</v>
      </c>
      <c r="X34" s="1357"/>
      <c r="Y34" s="4394"/>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94" t="s">
        <v>499</v>
      </c>
      <c r="Q35" s="1359" t="str">
        <f t="shared" si="8"/>
        <v>市政基础设施</v>
      </c>
      <c r="R35" s="1360" t="s">
        <v>5</v>
      </c>
      <c r="S35" s="1361">
        <f t="shared" si="9"/>
        <v>100</v>
      </c>
      <c r="T35" s="1360" t="s">
        <v>5</v>
      </c>
      <c r="U35" s="1361">
        <f t="shared" si="10"/>
        <v>100</v>
      </c>
      <c r="V35" s="1360" t="s">
        <v>5</v>
      </c>
      <c r="W35" s="1361">
        <f t="shared" si="11"/>
        <v>100</v>
      </c>
      <c r="X35" s="1354"/>
      <c r="Y35" s="4394"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94"/>
      <c r="Q36" s="1359" t="str">
        <f t="shared" si="8"/>
        <v>内部装修</v>
      </c>
      <c r="R36" s="1360" t="s">
        <v>5</v>
      </c>
      <c r="S36" s="1361">
        <f t="shared" si="9"/>
        <v>100</v>
      </c>
      <c r="T36" s="1360" t="s">
        <v>5</v>
      </c>
      <c r="U36" s="1361">
        <f t="shared" si="10"/>
        <v>100</v>
      </c>
      <c r="V36" s="1360" t="s">
        <v>5</v>
      </c>
      <c r="W36" s="1361">
        <f t="shared" si="11"/>
        <v>100</v>
      </c>
      <c r="X36" s="1354"/>
      <c r="Y36" s="4394"/>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94"/>
      <c r="Q37" s="1359" t="str">
        <f t="shared" si="8"/>
        <v>内部装修状况</v>
      </c>
      <c r="R37" s="1360" t="s">
        <v>5</v>
      </c>
      <c r="S37" s="1361">
        <f t="shared" si="9"/>
        <v>100</v>
      </c>
      <c r="T37" s="1360" t="s">
        <v>5</v>
      </c>
      <c r="U37" s="1361">
        <f t="shared" si="10"/>
        <v>100</v>
      </c>
      <c r="V37" s="1360" t="s">
        <v>5</v>
      </c>
      <c r="W37" s="1361">
        <f t="shared" si="11"/>
        <v>100</v>
      </c>
      <c r="X37" s="1354"/>
      <c r="Y37" s="4394"/>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94"/>
      <c r="Q38" s="1388">
        <f t="shared" si="8"/>
        <v>111</v>
      </c>
      <c r="R38" s="1364" t="s">
        <v>5</v>
      </c>
      <c r="S38" s="1365">
        <f t="shared" si="9"/>
        <v>100</v>
      </c>
      <c r="T38" s="1364" t="s">
        <v>5</v>
      </c>
      <c r="U38" s="1365">
        <f t="shared" si="10"/>
        <v>100</v>
      </c>
      <c r="V38" s="1364" t="s">
        <v>5</v>
      </c>
      <c r="W38" s="1365">
        <f t="shared" si="11"/>
        <v>100</v>
      </c>
      <c r="X38" s="1366"/>
      <c r="Y38" s="4394"/>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94"/>
      <c r="Q39" s="1359">
        <f t="shared" si="8"/>
        <v>111</v>
      </c>
      <c r="R39" s="1360" t="s">
        <v>5</v>
      </c>
      <c r="S39" s="1361">
        <f t="shared" si="9"/>
        <v>100</v>
      </c>
      <c r="T39" s="1360" t="s">
        <v>5</v>
      </c>
      <c r="U39" s="1361">
        <f t="shared" si="10"/>
        <v>100</v>
      </c>
      <c r="V39" s="1360" t="s">
        <v>5</v>
      </c>
      <c r="W39" s="1361">
        <f t="shared" si="11"/>
        <v>100</v>
      </c>
      <c r="X39" s="1354"/>
      <c r="Y39" s="4394"/>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95"/>
      <c r="Q40" s="1359">
        <f t="shared" si="8"/>
        <v>111</v>
      </c>
      <c r="R40" s="1360" t="s">
        <v>5</v>
      </c>
      <c r="S40" s="1361">
        <f t="shared" si="9"/>
        <v>100</v>
      </c>
      <c r="T40" s="1360" t="s">
        <v>5</v>
      </c>
      <c r="U40" s="1361">
        <f t="shared" si="10"/>
        <v>100</v>
      </c>
      <c r="V40" s="1360" t="s">
        <v>5</v>
      </c>
      <c r="W40" s="1361">
        <f t="shared" si="11"/>
        <v>100</v>
      </c>
      <c r="X40" s="1354"/>
      <c r="Y40" s="4395"/>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372" t="str">
        <f>A41</f>
        <v>成交单价（元/平方米）</v>
      </c>
      <c r="Q41" s="4372"/>
      <c r="R41" s="4390">
        <f>E41</f>
        <v>0</v>
      </c>
      <c r="S41" s="4390"/>
      <c r="T41" s="4390">
        <f>G41</f>
        <v>0</v>
      </c>
      <c r="U41" s="4390"/>
      <c r="V41" s="4390">
        <f>I41</f>
        <v>0</v>
      </c>
      <c r="W41" s="4390"/>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372" t="str">
        <f>A42</f>
        <v>比较价格（元/平方米）</v>
      </c>
      <c r="Q42" s="4372"/>
      <c r="R42" s="4390" t="e">
        <f>IF(F1="售价",ROUND(PRODUCT(R41,AA7:AA40),0),ROUND(PRODUCT(R41,AA7:AA40),1))</f>
        <v>#DIV/0!</v>
      </c>
      <c r="S42" s="4390"/>
      <c r="T42" s="4390" t="e">
        <f>IF(F1="售价",ROUND(PRODUCT(T41,AB7:AB40),0),ROUND(PRODUCT(T41,AB7:AB40),1))</f>
        <v>#DIV/0!</v>
      </c>
      <c r="U42" s="4390"/>
      <c r="V42" s="4390" t="e">
        <f>IF(F1="售价",ROUND(PRODUCT(V41,AC7:AC40),0),ROUND(PRODUCT(V41,AC7:AC40),1))</f>
        <v>#DIV/0!</v>
      </c>
      <c r="W42" s="4390"/>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387" t="str">
        <f>A43</f>
        <v>估价对象XX用房的比较价格（楼面单价，元/平方米）</v>
      </c>
      <c r="Q43" s="4388"/>
      <c r="R43" s="4389" t="e">
        <f>IF(F1="售价",ROUND(IF(D42="简单平均",AVERAGE(R42:V42),R42*F42+T42*H42+V42*J42),0),ROUND(IF(D42="简单平均",AVERAGE(R42:V42),R42*F42+T42*H42+V42*J42),1))</f>
        <v>#DIV/0!</v>
      </c>
      <c r="S43" s="4389"/>
      <c r="T43" s="4389"/>
      <c r="U43" s="4389"/>
      <c r="V43" s="4389"/>
      <c r="W43" s="4389"/>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A00-000000000000}">
      <formula1>项目类型</formula1>
    </dataValidation>
    <dataValidation type="list" allowBlank="1" showInputMessage="1" showErrorMessage="1" sqref="C20 G20 I20 E20" xr:uid="{00000000-0002-0000-3A00-000001000000}">
      <formula1>公共配套设施</formula1>
    </dataValidation>
    <dataValidation type="list" allowBlank="1" showInputMessage="1" showErrorMessage="1" sqref="E18 G18 I18 C18" xr:uid="{00000000-0002-0000-3A00-000002000000}">
      <formula1>交通便捷度</formula1>
    </dataValidation>
    <dataValidation type="list" allowBlank="1" showInputMessage="1" showErrorMessage="1" sqref="E24 G24 I24 C24" xr:uid="{00000000-0002-0000-3A00-000003000000}">
      <formula1>环境</formula1>
    </dataValidation>
    <dataValidation type="list" allowBlank="1" showInputMessage="1" showErrorMessage="1" sqref="C8 E8 G8 I8" xr:uid="{00000000-0002-0000-3A00-000004000000}">
      <formula1>工业交易情况</formula1>
    </dataValidation>
    <dataValidation type="list" allowBlank="1" showInputMessage="1" showErrorMessage="1" sqref="E9 G9 I9" xr:uid="{00000000-0002-0000-3A00-000005000000}">
      <formula1>工业用途</formula1>
    </dataValidation>
    <dataValidation type="list" allowBlank="1" showInputMessage="1" showErrorMessage="1" sqref="C29 E29 G29 I29" xr:uid="{00000000-0002-0000-3A00-000006000000}">
      <formula1>工业建筑类型</formula1>
    </dataValidation>
    <dataValidation type="list" allowBlank="1" showInputMessage="1" showErrorMessage="1" sqref="C31 E31 G31 I31" xr:uid="{00000000-0002-0000-3A00-000007000000}">
      <formula1>工业建筑结构</formula1>
    </dataValidation>
    <dataValidation type="list" allowBlank="1" showInputMessage="1" showErrorMessage="1" sqref="C32 E32 G32 I32" xr:uid="{00000000-0002-0000-3A00-000008000000}">
      <formula1>工业公共部分装修</formula1>
    </dataValidation>
    <dataValidation type="list" allowBlank="1" showInputMessage="1" showErrorMessage="1" sqref="C34 E34 G34 I34" xr:uid="{00000000-0002-0000-3A00-000009000000}">
      <formula1>工业物业管理</formula1>
    </dataValidation>
    <dataValidation type="list" allowBlank="1" showInputMessage="1" showErrorMessage="1" sqref="C35 E35 G35 I35" xr:uid="{00000000-0002-0000-3A00-00000A000000}">
      <formula1>工业基础设施水平</formula1>
    </dataValidation>
    <dataValidation type="list" allowBlank="1" showInputMessage="1" showErrorMessage="1" sqref="C36 E36 G36 I36" xr:uid="{00000000-0002-0000-3A00-00000B000000}">
      <formula1>工业内部装修</formula1>
    </dataValidation>
    <dataValidation type="list" allowBlank="1" showInputMessage="1" showErrorMessage="1" sqref="C37 E37 G37 I37" xr:uid="{00000000-0002-0000-3A00-00000C000000}">
      <formula1>内部装修维护情况</formula1>
    </dataValidation>
    <dataValidation type="list" allowBlank="1" showInputMessage="1" showErrorMessage="1" sqref="C16 E16 G16 I16" xr:uid="{00000000-0002-0000-3A00-00000D000000}">
      <formula1>产业集聚程度</formula1>
    </dataValidation>
    <dataValidation type="list" allowBlank="1" showInputMessage="1" showErrorMessage="1" sqref="C22 E22 G22 I22" xr:uid="{00000000-0002-0000-3A00-00000E000000}">
      <formula1>基础设施水平</formula1>
    </dataValidation>
    <dataValidation type="list" allowBlank="1" showInputMessage="1" showErrorMessage="1" sqref="F1" xr:uid="{00000000-0002-0000-3A00-00000F000000}">
      <formula1>"售价,租金"</formula1>
    </dataValidation>
    <dataValidation type="list" allowBlank="1" showInputMessage="1" showErrorMessage="1" sqref="D42" xr:uid="{00000000-0002-0000-3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59" customWidth="1"/>
    <col min="2" max="3" width="21.375" style="1559" customWidth="1"/>
    <col min="4" max="4" width="19.875" style="1559" customWidth="1"/>
    <col min="5" max="16384" width="9" style="1559"/>
  </cols>
  <sheetData>
    <row r="1" spans="1:4">
      <c r="A1" s="4170" t="s">
        <v>1583</v>
      </c>
      <c r="B1" s="4170"/>
      <c r="C1" s="4170"/>
      <c r="D1" s="4170"/>
    </row>
    <row r="2" spans="1:4" ht="47.25" customHeight="1">
      <c r="A2" s="4174" t="str">
        <f>"1.权利限制："&amp;项目基本情况!L24&amp;"未设定租赁等其他他项权利。"</f>
        <v>1.权利限制：根据估价对象《不动产权证书》原件、《国有土地使用权》复印件，截至估价期日，估价对象抵押权未见登记。未设定租赁等其他他项权利。</v>
      </c>
      <c r="B2" s="4174"/>
      <c r="C2" s="4174"/>
      <c r="D2" s="4174"/>
    </row>
    <row r="3" spans="1:4" ht="48" customHeight="1">
      <c r="A3" s="41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70"/>
      <c r="C3" s="4170"/>
      <c r="D3" s="4170"/>
    </row>
    <row r="4" spans="1:4" ht="36.75" customHeight="1">
      <c r="A4" s="4170" t="str">
        <f>"3.估价规划限制条件：详见"&amp;项目基本情况!E21&amp;"。"</f>
        <v>3.估价规划限制条件：详见《建设工程规划许可证》[]、《出让合同》[]。</v>
      </c>
      <c r="B4" s="4170"/>
      <c r="C4" s="4170"/>
      <c r="D4" s="4170"/>
    </row>
    <row r="5" spans="1:4">
      <c r="A5" s="4173" t="s">
        <v>1584</v>
      </c>
      <c r="B5" s="4173"/>
      <c r="C5" s="4173"/>
      <c r="D5" s="4173"/>
    </row>
    <row r="6" spans="1:4">
      <c r="A6" s="4170" t="s">
        <v>1562</v>
      </c>
      <c r="B6" s="4170"/>
      <c r="C6" s="4170"/>
      <c r="D6" s="4170"/>
    </row>
    <row r="7" spans="1:4" ht="33" customHeight="1">
      <c r="A7" s="4170" t="s">
        <v>1855</v>
      </c>
      <c r="B7" s="4170"/>
      <c r="C7" s="4170"/>
      <c r="D7" s="4170"/>
    </row>
    <row r="8" spans="1:4" ht="32.25" customHeight="1">
      <c r="A8" s="41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70"/>
      <c r="C8" s="4170"/>
      <c r="D8" s="4170"/>
    </row>
    <row r="9" spans="1:4" ht="33.75" customHeight="1">
      <c r="A9" s="4170" t="str">
        <f>IF(项目基本情况!B8="抵押","3.抵押双方在办理抵押登记手续时，应使用本公司出具的正式《土地估价报告》，特提请报告使用者注意。","——")</f>
        <v>——</v>
      </c>
      <c r="B9" s="4170"/>
      <c r="C9" s="4170"/>
      <c r="D9" s="4170"/>
    </row>
    <row r="10" spans="1:4">
      <c r="A10" s="4170" t="str">
        <f>IF(项目基本情况!B8="抵押","4.估价师所知悉的法定优先受偿款情况为：","——")</f>
        <v>——</v>
      </c>
      <c r="B10" s="4170"/>
      <c r="C10" s="4170"/>
      <c r="D10" s="4170"/>
    </row>
    <row r="11" spans="1:4" ht="37.5" customHeight="1">
      <c r="A11" s="4172" t="str">
        <f>IF(项目基本情况!B8="抵押","（1）"&amp;CONCATENATE(项目基本情况!L24,项目基本情况!L25,项目基本情况!L26),"——")</f>
        <v>——</v>
      </c>
      <c r="B11" s="4172"/>
      <c r="C11" s="4172"/>
      <c r="D11" s="4172"/>
    </row>
    <row r="12" spans="1:4" ht="168" customHeight="1">
      <c r="A12" s="4173" t="s">
        <v>1586</v>
      </c>
      <c r="B12" s="4173"/>
      <c r="C12" s="4173"/>
      <c r="D12" s="4173"/>
    </row>
    <row r="13" spans="1:4">
      <c r="A13" s="4171" t="s">
        <v>2026</v>
      </c>
      <c r="B13" s="4171"/>
      <c r="C13" s="4171"/>
      <c r="D13" s="4171"/>
    </row>
    <row r="14" spans="1:4">
      <c r="A14" s="4172" t="str">
        <f>IF(项目基本情况!B8="抵押","综上，"&amp;结果表!K47,"——")</f>
        <v>——</v>
      </c>
      <c r="B14" s="4172"/>
      <c r="C14" s="4172"/>
      <c r="D14" s="4172"/>
    </row>
    <row r="15" spans="1:4" ht="58.5" customHeight="1">
      <c r="A15" s="41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70"/>
      <c r="C15" s="4170"/>
      <c r="D15" s="4170"/>
    </row>
    <row r="16" spans="1:4" ht="70.5" customHeight="1">
      <c r="A16" s="41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70"/>
      <c r="C16" s="4170"/>
      <c r="D16" s="4170"/>
    </row>
    <row r="17" spans="1:4">
      <c r="A17" s="4170" t="s">
        <v>1982</v>
      </c>
      <c r="B17" s="4170"/>
      <c r="C17" s="4170"/>
      <c r="D17" s="4170"/>
    </row>
    <row r="18" spans="1:4">
      <c r="A18" s="4170" t="s">
        <v>1974</v>
      </c>
      <c r="B18" s="4170"/>
      <c r="C18" s="4170"/>
      <c r="D18" s="4170"/>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170" t="s">
        <v>1979</v>
      </c>
      <c r="B23" s="4170"/>
      <c r="C23" s="4170"/>
      <c r="D23" s="4170"/>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73" t="s">
        <v>738</v>
      </c>
      <c r="D4" s="4374"/>
      <c r="E4" s="4373" t="s">
        <v>739</v>
      </c>
      <c r="F4" s="4374"/>
      <c r="G4" s="4373" t="s">
        <v>740</v>
      </c>
      <c r="H4" s="4374"/>
      <c r="I4" s="4373" t="s">
        <v>741</v>
      </c>
      <c r="J4" s="4374"/>
      <c r="K4" s="463" t="s">
        <v>742</v>
      </c>
      <c r="L4" s="1822"/>
      <c r="M4" s="1823"/>
      <c r="N4" s="1823"/>
      <c r="O4" s="1823"/>
      <c r="P4" s="4377" t="s">
        <v>743</v>
      </c>
      <c r="Q4" s="4378"/>
      <c r="R4" s="4360" t="s">
        <v>739</v>
      </c>
      <c r="S4" s="4361"/>
      <c r="T4" s="4360" t="s">
        <v>740</v>
      </c>
      <c r="U4" s="4361"/>
      <c r="V4" s="4385" t="s">
        <v>741</v>
      </c>
      <c r="W4" s="4385"/>
      <c r="X4" s="1354"/>
      <c r="Y4" s="4360" t="s">
        <v>743</v>
      </c>
      <c r="Z4" s="4361"/>
      <c r="AA4" s="4355" t="s">
        <v>739</v>
      </c>
      <c r="AB4" s="4356" t="s">
        <v>740</v>
      </c>
      <c r="AC4" s="4355" t="s">
        <v>741</v>
      </c>
    </row>
    <row r="5" spans="1:29" ht="15">
      <c r="A5" s="464"/>
      <c r="B5" s="465"/>
      <c r="C5" s="4366" t="s">
        <v>2186</v>
      </c>
      <c r="D5" s="4367"/>
      <c r="E5" s="4366" t="s">
        <v>2187</v>
      </c>
      <c r="F5" s="4367"/>
      <c r="G5" s="4366" t="s">
        <v>2188</v>
      </c>
      <c r="H5" s="4367"/>
      <c r="I5" s="4366" t="s">
        <v>2189</v>
      </c>
      <c r="J5" s="4367"/>
      <c r="K5" s="463"/>
      <c r="L5" s="1822"/>
      <c r="M5" s="1823"/>
      <c r="N5" s="1823"/>
      <c r="O5" s="1823"/>
      <c r="P5" s="4379"/>
      <c r="Q5" s="4380"/>
      <c r="R5" s="4362"/>
      <c r="S5" s="4363"/>
      <c r="T5" s="4362"/>
      <c r="U5" s="4363"/>
      <c r="V5" s="4385"/>
      <c r="W5" s="4385"/>
      <c r="X5" s="1354"/>
      <c r="Y5" s="4362"/>
      <c r="Z5" s="4363"/>
      <c r="AA5" s="4356"/>
      <c r="AB5" s="4356"/>
      <c r="AC5" s="4356"/>
    </row>
    <row r="6" spans="1:29" ht="15.75" thickBot="1">
      <c r="A6" s="466"/>
      <c r="B6" s="467"/>
      <c r="C6" s="4368" t="s">
        <v>2190</v>
      </c>
      <c r="D6" s="4369"/>
      <c r="E6" s="4438" t="s">
        <v>2190</v>
      </c>
      <c r="F6" s="4439"/>
      <c r="G6" s="4368" t="s">
        <v>2190</v>
      </c>
      <c r="H6" s="4369"/>
      <c r="I6" s="4368" t="s">
        <v>2190</v>
      </c>
      <c r="J6" s="4369"/>
      <c r="K6" s="463" t="s">
        <v>477</v>
      </c>
      <c r="L6" s="1822"/>
      <c r="M6" s="1823"/>
      <c r="N6" s="1823"/>
      <c r="O6" s="1823"/>
      <c r="P6" s="4381"/>
      <c r="Q6" s="4382"/>
      <c r="R6" s="4362"/>
      <c r="S6" s="4363"/>
      <c r="T6" s="4383"/>
      <c r="U6" s="4384"/>
      <c r="V6" s="4385"/>
      <c r="W6" s="4385"/>
      <c r="X6" s="1354"/>
      <c r="Y6" s="4383"/>
      <c r="Z6" s="4384"/>
      <c r="AA6" s="4357"/>
      <c r="AB6" s="4357"/>
      <c r="AC6" s="4357"/>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58" t="s">
        <v>479</v>
      </c>
      <c r="Q7" s="4386"/>
      <c r="R7" s="1355" t="s">
        <v>5</v>
      </c>
      <c r="S7" s="1356">
        <f t="shared" ref="S7:S14" si="0">F7</f>
        <v>0</v>
      </c>
      <c r="T7" s="1355" t="s">
        <v>5</v>
      </c>
      <c r="U7" s="1356">
        <f t="shared" ref="U7:U14" si="1">H7</f>
        <v>0</v>
      </c>
      <c r="V7" s="1355" t="s">
        <v>5</v>
      </c>
      <c r="W7" s="1356">
        <f t="shared" ref="W7:W14" si="2">J7</f>
        <v>0</v>
      </c>
      <c r="X7" s="1357"/>
      <c r="Y7" s="4358" t="s">
        <v>479</v>
      </c>
      <c r="Z7" s="4359"/>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58" t="s">
        <v>482</v>
      </c>
      <c r="Q8" s="4359"/>
      <c r="R8" s="1355" t="s">
        <v>5</v>
      </c>
      <c r="S8" s="1356">
        <f t="shared" si="0"/>
        <v>0</v>
      </c>
      <c r="T8" s="1355" t="s">
        <v>5</v>
      </c>
      <c r="U8" s="1356">
        <f t="shared" si="1"/>
        <v>0</v>
      </c>
      <c r="V8" s="1355" t="s">
        <v>5</v>
      </c>
      <c r="W8" s="1356">
        <f t="shared" si="2"/>
        <v>0</v>
      </c>
      <c r="X8" s="1357"/>
      <c r="Y8" s="4358" t="s">
        <v>482</v>
      </c>
      <c r="Z8" s="4359"/>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372" t="s">
        <v>484</v>
      </c>
      <c r="Q9" s="1027" t="str">
        <f t="shared" ref="Q9:Q14" si="6">B9</f>
        <v>用途</v>
      </c>
      <c r="R9" s="1355" t="s">
        <v>5</v>
      </c>
      <c r="S9" s="1356">
        <f t="shared" si="0"/>
        <v>100</v>
      </c>
      <c r="T9" s="1355" t="s">
        <v>5</v>
      </c>
      <c r="U9" s="1356">
        <f t="shared" si="1"/>
        <v>100</v>
      </c>
      <c r="V9" s="1355" t="s">
        <v>5</v>
      </c>
      <c r="W9" s="1356">
        <f t="shared" si="2"/>
        <v>100</v>
      </c>
      <c r="X9" s="1357"/>
      <c r="Y9" s="4304"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372"/>
      <c r="Q11" s="1027">
        <f t="shared" si="6"/>
        <v>111</v>
      </c>
      <c r="R11" s="1355" t="s">
        <v>5</v>
      </c>
      <c r="S11" s="1356">
        <f t="shared" si="0"/>
        <v>100</v>
      </c>
      <c r="T11" s="1355" t="s">
        <v>5</v>
      </c>
      <c r="U11" s="1356">
        <f t="shared" si="1"/>
        <v>100</v>
      </c>
      <c r="V11" s="1355" t="s">
        <v>5</v>
      </c>
      <c r="W11" s="1356">
        <f t="shared" si="2"/>
        <v>100</v>
      </c>
      <c r="X11" s="1357"/>
      <c r="Y11" s="4304"/>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372"/>
      <c r="Q12" s="1027">
        <f t="shared" si="6"/>
        <v>111</v>
      </c>
      <c r="R12" s="1355" t="s">
        <v>5</v>
      </c>
      <c r="S12" s="1356">
        <f t="shared" si="0"/>
        <v>100</v>
      </c>
      <c r="T12" s="1355" t="s">
        <v>5</v>
      </c>
      <c r="U12" s="1356">
        <f t="shared" si="1"/>
        <v>100</v>
      </c>
      <c r="V12" s="1355" t="s">
        <v>5</v>
      </c>
      <c r="W12" s="1356">
        <f t="shared" si="2"/>
        <v>100</v>
      </c>
      <c r="X12" s="1357"/>
      <c r="Y12" s="4304"/>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372"/>
      <c r="Q13" s="1027">
        <f t="shared" si="6"/>
        <v>111</v>
      </c>
      <c r="R13" s="1355" t="s">
        <v>5</v>
      </c>
      <c r="S13" s="1356">
        <f t="shared" si="0"/>
        <v>100</v>
      </c>
      <c r="T13" s="1355" t="s">
        <v>5</v>
      </c>
      <c r="U13" s="1356">
        <f t="shared" si="1"/>
        <v>100</v>
      </c>
      <c r="V13" s="1355" t="s">
        <v>5</v>
      </c>
      <c r="W13" s="1356">
        <f t="shared" si="2"/>
        <v>100</v>
      </c>
      <c r="X13" s="1357"/>
      <c r="Y13" s="4304"/>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91" t="s">
        <v>489</v>
      </c>
      <c r="Q14" s="1359" t="str">
        <f t="shared" si="6"/>
        <v>交通便捷度</v>
      </c>
      <c r="R14" s="1360" t="s">
        <v>5</v>
      </c>
      <c r="S14" s="1361">
        <f t="shared" si="0"/>
        <v>100</v>
      </c>
      <c r="T14" s="1360" t="s">
        <v>5</v>
      </c>
      <c r="U14" s="1361">
        <f t="shared" si="1"/>
        <v>100</v>
      </c>
      <c r="V14" s="1360" t="s">
        <v>5</v>
      </c>
      <c r="W14" s="1361">
        <f t="shared" si="2"/>
        <v>100</v>
      </c>
      <c r="X14" s="1354"/>
      <c r="Y14" s="4391"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392"/>
      <c r="Q15" s="1359"/>
      <c r="R15" s="1360"/>
      <c r="S15" s="1361"/>
      <c r="T15" s="1360"/>
      <c r="U15" s="1361"/>
      <c r="V15" s="1360"/>
      <c r="W15" s="1361"/>
      <c r="X15" s="1354"/>
      <c r="Y15" s="4392"/>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92"/>
      <c r="Q16" s="1359" t="str">
        <f>B16</f>
        <v>公共配套设施</v>
      </c>
      <c r="R16" s="1360" t="s">
        <v>5</v>
      </c>
      <c r="S16" s="1361">
        <f>F16</f>
        <v>100</v>
      </c>
      <c r="T16" s="1360" t="s">
        <v>5</v>
      </c>
      <c r="U16" s="1361">
        <f>H16</f>
        <v>100</v>
      </c>
      <c r="V16" s="1360" t="s">
        <v>5</v>
      </c>
      <c r="W16" s="1361">
        <f>J16</f>
        <v>100</v>
      </c>
      <c r="X16" s="1354"/>
      <c r="Y16" s="4392"/>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392"/>
      <c r="Q17" s="1359"/>
      <c r="R17" s="1360"/>
      <c r="S17" s="1361"/>
      <c r="T17" s="1360"/>
      <c r="U17" s="1361"/>
      <c r="V17" s="1360"/>
      <c r="W17" s="1361"/>
      <c r="X17" s="1354"/>
      <c r="Y17" s="4392"/>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92"/>
      <c r="Q18" s="2157" t="str">
        <f>B18</f>
        <v>基础设施水平</v>
      </c>
      <c r="R18" s="1360" t="s">
        <v>5</v>
      </c>
      <c r="S18" s="1361">
        <f>F18</f>
        <v>100</v>
      </c>
      <c r="T18" s="1360" t="s">
        <v>5</v>
      </c>
      <c r="U18" s="1361">
        <f>H18</f>
        <v>100</v>
      </c>
      <c r="V18" s="1360" t="s">
        <v>5</v>
      </c>
      <c r="W18" s="1361">
        <f>J18</f>
        <v>100</v>
      </c>
      <c r="X18" s="2159"/>
      <c r="Y18" s="4392"/>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392"/>
      <c r="Q19" s="2157"/>
      <c r="R19" s="1360"/>
      <c r="S19" s="1361"/>
      <c r="T19" s="1360"/>
      <c r="U19" s="1361"/>
      <c r="V19" s="1360"/>
      <c r="W19" s="1361"/>
      <c r="X19" s="2159"/>
      <c r="Y19" s="4392"/>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92"/>
      <c r="Q20" s="1359" t="str">
        <f>B20</f>
        <v>自然及人文环境</v>
      </c>
      <c r="R20" s="1360" t="s">
        <v>5</v>
      </c>
      <c r="S20" s="1361">
        <f>F20</f>
        <v>100</v>
      </c>
      <c r="T20" s="1360" t="s">
        <v>5</v>
      </c>
      <c r="U20" s="1361">
        <f>H20</f>
        <v>100</v>
      </c>
      <c r="V20" s="1360" t="s">
        <v>5</v>
      </c>
      <c r="W20" s="1361">
        <f>J20</f>
        <v>100</v>
      </c>
      <c r="X20" s="1354"/>
      <c r="Y20" s="4392"/>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392"/>
      <c r="Q21" s="1359"/>
      <c r="R21" s="1360"/>
      <c r="S21" s="1361"/>
      <c r="T21" s="1360"/>
      <c r="U21" s="1361"/>
      <c r="V21" s="1360"/>
      <c r="W21" s="1361"/>
      <c r="X21" s="1354"/>
      <c r="Y21" s="4392"/>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92"/>
      <c r="Q22" s="1359" t="str">
        <f>B22</f>
        <v>楼层</v>
      </c>
      <c r="R22" s="1360" t="s">
        <v>5</v>
      </c>
      <c r="S22" s="1361">
        <f>F22</f>
        <v>100</v>
      </c>
      <c r="T22" s="1360" t="s">
        <v>5</v>
      </c>
      <c r="U22" s="1361">
        <f>H22</f>
        <v>100</v>
      </c>
      <c r="V22" s="1360" t="s">
        <v>5</v>
      </c>
      <c r="W22" s="1361">
        <f>J22</f>
        <v>100</v>
      </c>
      <c r="X22" s="1354"/>
      <c r="Y22" s="4392"/>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92"/>
      <c r="Q23" s="1359">
        <f>B23</f>
        <v>111</v>
      </c>
      <c r="R23" s="1360" t="s">
        <v>5</v>
      </c>
      <c r="S23" s="1361">
        <f>F23</f>
        <v>100</v>
      </c>
      <c r="T23" s="1360" t="s">
        <v>5</v>
      </c>
      <c r="U23" s="1361">
        <f>H23</f>
        <v>100</v>
      </c>
      <c r="V23" s="1360" t="s">
        <v>5</v>
      </c>
      <c r="W23" s="1361">
        <f>J23</f>
        <v>100</v>
      </c>
      <c r="X23" s="1354"/>
      <c r="Y23" s="4392"/>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92"/>
      <c r="Q24" s="1359">
        <f t="shared" ref="Q24:Q36" si="8">B24</f>
        <v>111</v>
      </c>
      <c r="R24" s="1360" t="s">
        <v>5</v>
      </c>
      <c r="S24" s="1361">
        <f>F24</f>
        <v>100</v>
      </c>
      <c r="T24" s="1360" t="s">
        <v>5</v>
      </c>
      <c r="U24" s="1361">
        <f>H24</f>
        <v>100</v>
      </c>
      <c r="V24" s="1360" t="s">
        <v>5</v>
      </c>
      <c r="W24" s="1361">
        <f>J24</f>
        <v>100</v>
      </c>
      <c r="X24" s="1354"/>
      <c r="Y24" s="4392"/>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92"/>
      <c r="Q25" s="1027">
        <f t="shared" si="8"/>
        <v>111</v>
      </c>
      <c r="R25" s="1355" t="s">
        <v>5</v>
      </c>
      <c r="S25" s="1356">
        <f>F25</f>
        <v>100</v>
      </c>
      <c r="T25" s="1355" t="s">
        <v>5</v>
      </c>
      <c r="U25" s="1356">
        <f>H25</f>
        <v>100</v>
      </c>
      <c r="V25" s="1355" t="s">
        <v>5</v>
      </c>
      <c r="W25" s="1356">
        <f>J25</f>
        <v>100</v>
      </c>
      <c r="X25" s="1357"/>
      <c r="Y25" s="4392"/>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93"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94"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94"/>
      <c r="Q27" s="1388" t="str">
        <f t="shared" si="8"/>
        <v>项目停车位配比</v>
      </c>
      <c r="R27" s="1364" t="s">
        <v>5</v>
      </c>
      <c r="S27" s="1365">
        <f t="shared" si="9"/>
        <v>100</v>
      </c>
      <c r="T27" s="1364" t="s">
        <v>5</v>
      </c>
      <c r="U27" s="1365">
        <f t="shared" si="10"/>
        <v>100</v>
      </c>
      <c r="V27" s="1364" t="s">
        <v>5</v>
      </c>
      <c r="W27" s="1365">
        <f t="shared" si="11"/>
        <v>100</v>
      </c>
      <c r="X27" s="1366"/>
      <c r="Y27" s="4394"/>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94"/>
      <c r="Q28" s="1359" t="str">
        <f t="shared" si="8"/>
        <v>公共部分装修</v>
      </c>
      <c r="R28" s="1360" t="s">
        <v>5</v>
      </c>
      <c r="S28" s="1361">
        <f t="shared" si="9"/>
        <v>100</v>
      </c>
      <c r="T28" s="1360" t="s">
        <v>5</v>
      </c>
      <c r="U28" s="1361">
        <f t="shared" si="10"/>
        <v>100</v>
      </c>
      <c r="V28" s="1360" t="s">
        <v>5</v>
      </c>
      <c r="W28" s="1361">
        <f t="shared" si="11"/>
        <v>100</v>
      </c>
      <c r="X28" s="1354"/>
      <c r="Y28" s="4394"/>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94"/>
      <c r="Q29" s="1359" t="str">
        <f t="shared" si="8"/>
        <v>成新率</v>
      </c>
      <c r="R29" s="1360" t="s">
        <v>5</v>
      </c>
      <c r="S29" s="1361" t="e">
        <f t="shared" si="9"/>
        <v>#N/A</v>
      </c>
      <c r="T29" s="1360" t="s">
        <v>5</v>
      </c>
      <c r="U29" s="1361" t="e">
        <f t="shared" si="10"/>
        <v>#N/A</v>
      </c>
      <c r="V29" s="1360" t="s">
        <v>5</v>
      </c>
      <c r="W29" s="1361" t="e">
        <f t="shared" si="11"/>
        <v>#N/A</v>
      </c>
      <c r="X29" s="1354"/>
      <c r="Y29" s="4394"/>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94"/>
      <c r="Q30" s="1359" t="str">
        <f t="shared" si="8"/>
        <v>物业等级</v>
      </c>
      <c r="R30" s="1360" t="s">
        <v>5</v>
      </c>
      <c r="S30" s="1361">
        <f t="shared" si="9"/>
        <v>100</v>
      </c>
      <c r="T30" s="1360" t="s">
        <v>5</v>
      </c>
      <c r="U30" s="1361">
        <f t="shared" si="10"/>
        <v>100</v>
      </c>
      <c r="V30" s="1360" t="s">
        <v>5</v>
      </c>
      <c r="W30" s="1361">
        <f t="shared" si="11"/>
        <v>100</v>
      </c>
      <c r="X30" s="1354"/>
      <c r="Y30" s="4394"/>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94"/>
      <c r="Q31" s="1027" t="str">
        <f t="shared" si="8"/>
        <v>停车位面积</v>
      </c>
      <c r="R31" s="1355" t="s">
        <v>5</v>
      </c>
      <c r="S31" s="1356" t="e">
        <f t="shared" si="9"/>
        <v>#N/A</v>
      </c>
      <c r="T31" s="1355" t="s">
        <v>5</v>
      </c>
      <c r="U31" s="1356" t="e">
        <f t="shared" si="10"/>
        <v>#N/A</v>
      </c>
      <c r="V31" s="1355" t="s">
        <v>5</v>
      </c>
      <c r="W31" s="1356" t="e">
        <f t="shared" si="11"/>
        <v>#N/A</v>
      </c>
      <c r="X31" s="1357"/>
      <c r="Y31" s="4394"/>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94" t="s">
        <v>499</v>
      </c>
      <c r="Q32" s="1359" t="str">
        <f t="shared" si="8"/>
        <v>车位类型</v>
      </c>
      <c r="R32" s="1360" t="s">
        <v>5</v>
      </c>
      <c r="S32" s="1361">
        <f t="shared" si="9"/>
        <v>100</v>
      </c>
      <c r="T32" s="1360" t="s">
        <v>5</v>
      </c>
      <c r="U32" s="1361">
        <f t="shared" si="10"/>
        <v>100</v>
      </c>
      <c r="V32" s="1360" t="s">
        <v>5</v>
      </c>
      <c r="W32" s="1361">
        <f t="shared" si="11"/>
        <v>100</v>
      </c>
      <c r="X32" s="1354"/>
      <c r="Y32" s="4394"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94"/>
      <c r="Q33" s="1359" t="str">
        <f t="shared" si="8"/>
        <v>是否直接入户</v>
      </c>
      <c r="R33" s="1360" t="s">
        <v>5</v>
      </c>
      <c r="S33" s="1361">
        <f t="shared" si="9"/>
        <v>100</v>
      </c>
      <c r="T33" s="1360" t="s">
        <v>5</v>
      </c>
      <c r="U33" s="1361">
        <f t="shared" si="10"/>
        <v>100</v>
      </c>
      <c r="V33" s="1360" t="s">
        <v>5</v>
      </c>
      <c r="W33" s="1361">
        <f t="shared" si="11"/>
        <v>100</v>
      </c>
      <c r="X33" s="1354"/>
      <c r="Y33" s="4394"/>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94"/>
      <c r="Q34" s="1359">
        <f t="shared" si="8"/>
        <v>111</v>
      </c>
      <c r="R34" s="1360" t="s">
        <v>5</v>
      </c>
      <c r="S34" s="1361">
        <f t="shared" si="9"/>
        <v>100</v>
      </c>
      <c r="T34" s="1360" t="s">
        <v>5</v>
      </c>
      <c r="U34" s="1361">
        <f t="shared" si="10"/>
        <v>100</v>
      </c>
      <c r="V34" s="1360" t="s">
        <v>5</v>
      </c>
      <c r="W34" s="1361">
        <f t="shared" si="11"/>
        <v>100</v>
      </c>
      <c r="X34" s="1354"/>
      <c r="Y34" s="4394"/>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94"/>
      <c r="Q35" s="1388">
        <f t="shared" si="8"/>
        <v>111</v>
      </c>
      <c r="R35" s="1364" t="s">
        <v>5</v>
      </c>
      <c r="S35" s="1365">
        <f t="shared" si="9"/>
        <v>100</v>
      </c>
      <c r="T35" s="1364" t="s">
        <v>5</v>
      </c>
      <c r="U35" s="1365">
        <f t="shared" si="10"/>
        <v>100</v>
      </c>
      <c r="V35" s="1364" t="s">
        <v>5</v>
      </c>
      <c r="W35" s="1365">
        <f t="shared" si="11"/>
        <v>100</v>
      </c>
      <c r="X35" s="1366"/>
      <c r="Y35" s="4394"/>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94"/>
      <c r="Q36" s="1359">
        <f t="shared" si="8"/>
        <v>111</v>
      </c>
      <c r="R36" s="1360" t="s">
        <v>5</v>
      </c>
      <c r="S36" s="1361">
        <f t="shared" si="9"/>
        <v>100</v>
      </c>
      <c r="T36" s="1360" t="s">
        <v>5</v>
      </c>
      <c r="U36" s="1361">
        <f t="shared" si="10"/>
        <v>100</v>
      </c>
      <c r="V36" s="1360" t="s">
        <v>5</v>
      </c>
      <c r="W36" s="1361">
        <f t="shared" si="11"/>
        <v>100</v>
      </c>
      <c r="X36" s="1354"/>
      <c r="Y36" s="4394"/>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372" t="str">
        <f>A37</f>
        <v>成交单价</v>
      </c>
      <c r="Q37" s="4372"/>
      <c r="R37" s="4390">
        <f>E37</f>
        <v>0</v>
      </c>
      <c r="S37" s="4390"/>
      <c r="T37" s="4390">
        <f>G37</f>
        <v>0</v>
      </c>
      <c r="U37" s="4390"/>
      <c r="V37" s="4390">
        <f>I37</f>
        <v>0</v>
      </c>
      <c r="W37" s="4390"/>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372" t="str">
        <f>A38</f>
        <v>比较价格（元/平方米）</v>
      </c>
      <c r="Q38" s="4372"/>
      <c r="R38" s="4390" t="e">
        <f>IF(F1="售价",ROUND(PRODUCT(R37,AA7:AA36),0),ROUND(PRODUCT(R37,AA7:AA36),1))</f>
        <v>#DIV/0!</v>
      </c>
      <c r="S38" s="4390"/>
      <c r="T38" s="4390" t="e">
        <f>IF(F1="售价",ROUND(PRODUCT(T37,AB7:AB36),0),ROUND(PRODUCT(T37,AB7:AB36),1))</f>
        <v>#DIV/0!</v>
      </c>
      <c r="U38" s="4390"/>
      <c r="V38" s="4390" t="e">
        <f>IF(F1="售价",ROUND(PRODUCT(V37,AC7:AC36),0),ROUND(PRODUCT(V37,AC7:AC36),1))</f>
        <v>#DIV/0!</v>
      </c>
      <c r="W38" s="4390"/>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387" t="str">
        <f>A39</f>
        <v>估价对象XX用房的比较价格（楼面单价，元/平方米）</v>
      </c>
      <c r="Q39" s="4388"/>
      <c r="R39" s="4389" t="e">
        <f>IF(F1="售价",ROUND(IF(D38="简单平均",AVERAGE(R38:W38),R38*F38+T38*H38+V38*J38),0),ROUND(IF(D38="简单平均",AVERAGE(R38:V38),R38*F38+T38*H38+V38*J38),1))</f>
        <v>#DIV/0!</v>
      </c>
      <c r="S39" s="4389"/>
      <c r="T39" s="4389"/>
      <c r="U39" s="4389"/>
      <c r="V39" s="4389"/>
      <c r="W39" s="4389"/>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B00-000000000000}">
      <formula1>项目类型</formula1>
    </dataValidation>
    <dataValidation type="list" allowBlank="1" showInputMessage="1" showErrorMessage="1" sqref="G17 C17 I17 E17" xr:uid="{00000000-0002-0000-3B00-000001000000}">
      <formula1>公共配套设施</formula1>
    </dataValidation>
    <dataValidation type="list" allowBlank="1" showInputMessage="1" showErrorMessage="1" sqref="G15 E15 C15 I15" xr:uid="{00000000-0002-0000-3B00-000002000000}">
      <formula1>交通便捷度</formula1>
    </dataValidation>
    <dataValidation type="list" allowBlank="1" showInputMessage="1" showErrorMessage="1" sqref="C8 E8 G8 I8" xr:uid="{00000000-0002-0000-3B00-000003000000}">
      <formula1>车位交易情况</formula1>
    </dataValidation>
    <dataValidation type="list" allowBlank="1" showInputMessage="1" showErrorMessage="1" sqref="E9 G9 I9" xr:uid="{00000000-0002-0000-3B00-000004000000}">
      <formula1>车位用途</formula1>
    </dataValidation>
    <dataValidation type="list" allowBlank="1" showInputMessage="1" showErrorMessage="1" sqref="C22 E22 G22 I22" xr:uid="{00000000-0002-0000-3B00-000005000000}">
      <formula1>车位楼层</formula1>
    </dataValidation>
    <dataValidation type="list" allowBlank="1" showInputMessage="1" showErrorMessage="1" sqref="C30 E30 G30 I30" xr:uid="{00000000-0002-0000-3B00-000006000000}">
      <formula1>车位物业等级</formula1>
    </dataValidation>
    <dataValidation type="list" allowBlank="1" showInputMessage="1" showErrorMessage="1" sqref="C32 E32 G32 I32" xr:uid="{00000000-0002-0000-3B00-000007000000}">
      <formula1>车位类型</formula1>
    </dataValidation>
    <dataValidation type="list" allowBlank="1" showInputMessage="1" showErrorMessage="1" sqref="C33 E33 G33 I33" xr:uid="{00000000-0002-0000-3B00-000008000000}">
      <formula1>是否直接入户</formula1>
    </dataValidation>
    <dataValidation type="list" allowBlank="1" showInputMessage="1" showErrorMessage="1" sqref="B1" xr:uid="{00000000-0002-0000-3B00-000009000000}">
      <formula1>地类判定</formula1>
    </dataValidation>
    <dataValidation type="list" allowBlank="1" showInputMessage="1" showErrorMessage="1" sqref="I26 E26 G26" xr:uid="{00000000-0002-0000-3B00-00000A000000}">
      <formula1>车位配套类型</formula1>
    </dataValidation>
    <dataValidation type="list" allowBlank="1" showInputMessage="1" showErrorMessage="1" sqref="C28 E28 G28 I28" xr:uid="{00000000-0002-0000-3B00-00000B000000}">
      <formula1>车位公共部分装修</formula1>
    </dataValidation>
    <dataValidation type="list" allowBlank="1" showInputMessage="1" showErrorMessage="1" sqref="B37" xr:uid="{00000000-0002-0000-3B00-00000C000000}">
      <formula1>"元/平方米,元/车位"</formula1>
    </dataValidation>
    <dataValidation type="list" allowBlank="1" showInputMessage="1" showErrorMessage="1" sqref="C21 E21 G21 I21" xr:uid="{00000000-0002-0000-3B00-00000D000000}">
      <formula1>环境</formula1>
    </dataValidation>
    <dataValidation type="list" allowBlank="1" showInputMessage="1" showErrorMessage="1" sqref="C19 E19 G19 I19" xr:uid="{00000000-0002-0000-3B00-00000E000000}">
      <formula1>基础设施水平</formula1>
    </dataValidation>
    <dataValidation type="list" allowBlank="1" showInputMessage="1" showErrorMessage="1" sqref="F1" xr:uid="{00000000-0002-0000-3B00-00000F000000}">
      <formula1>"售价,租金"</formula1>
    </dataValidation>
    <dataValidation type="list" allowBlank="1" showInputMessage="1" showErrorMessage="1" sqref="D38" xr:uid="{00000000-0002-0000-3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73" t="s">
        <v>738</v>
      </c>
      <c r="D4" s="4374"/>
      <c r="E4" s="4375" t="s">
        <v>739</v>
      </c>
      <c r="F4" s="4376"/>
      <c r="G4" s="4373" t="s">
        <v>740</v>
      </c>
      <c r="H4" s="4374"/>
      <c r="I4" s="4373" t="s">
        <v>741</v>
      </c>
      <c r="J4" s="4374"/>
      <c r="K4" s="463" t="s">
        <v>742</v>
      </c>
      <c r="L4" s="1822"/>
      <c r="M4" s="1823"/>
      <c r="N4" s="1823"/>
      <c r="O4" s="1823"/>
      <c r="P4" s="4377" t="s">
        <v>743</v>
      </c>
      <c r="Q4" s="4378"/>
      <c r="R4" s="4360" t="s">
        <v>739</v>
      </c>
      <c r="S4" s="4361"/>
      <c r="T4" s="4360" t="s">
        <v>740</v>
      </c>
      <c r="U4" s="4361"/>
      <c r="V4" s="4385" t="s">
        <v>741</v>
      </c>
      <c r="W4" s="4385"/>
      <c r="X4" s="1354"/>
      <c r="Y4" s="4360" t="s">
        <v>743</v>
      </c>
      <c r="Z4" s="4361"/>
      <c r="AA4" s="4355" t="s">
        <v>739</v>
      </c>
      <c r="AB4" s="4356" t="s">
        <v>740</v>
      </c>
      <c r="AC4" s="4355" t="s">
        <v>741</v>
      </c>
    </row>
    <row r="5" spans="1:29" ht="15">
      <c r="A5" s="464"/>
      <c r="B5" s="465"/>
      <c r="C5" s="4366" t="s">
        <v>2186</v>
      </c>
      <c r="D5" s="4367"/>
      <c r="E5" s="4364" t="s">
        <v>2187</v>
      </c>
      <c r="F5" s="4365"/>
      <c r="G5" s="4366" t="s">
        <v>2188</v>
      </c>
      <c r="H5" s="4367"/>
      <c r="I5" s="4366" t="s">
        <v>2189</v>
      </c>
      <c r="J5" s="4367"/>
      <c r="K5" s="463"/>
      <c r="L5" s="1822"/>
      <c r="M5" s="1823"/>
      <c r="N5" s="1823"/>
      <c r="O5" s="1823"/>
      <c r="P5" s="4379"/>
      <c r="Q5" s="4380"/>
      <c r="R5" s="4362"/>
      <c r="S5" s="4363"/>
      <c r="T5" s="4362"/>
      <c r="U5" s="4363"/>
      <c r="V5" s="4385"/>
      <c r="W5" s="4385"/>
      <c r="X5" s="1354"/>
      <c r="Y5" s="4362"/>
      <c r="Z5" s="4363"/>
      <c r="AA5" s="4356"/>
      <c r="AB5" s="4356"/>
      <c r="AC5" s="4356"/>
    </row>
    <row r="6" spans="1:29" ht="15.75" thickBot="1">
      <c r="A6" s="466"/>
      <c r="B6" s="467"/>
      <c r="C6" s="4368" t="s">
        <v>2190</v>
      </c>
      <c r="D6" s="4369"/>
      <c r="E6" s="4370" t="s">
        <v>2190</v>
      </c>
      <c r="F6" s="4371"/>
      <c r="G6" s="4368" t="s">
        <v>2190</v>
      </c>
      <c r="H6" s="4369"/>
      <c r="I6" s="4368" t="s">
        <v>2190</v>
      </c>
      <c r="J6" s="4369"/>
      <c r="K6" s="463" t="s">
        <v>477</v>
      </c>
      <c r="L6" s="1822"/>
      <c r="M6" s="1823"/>
      <c r="N6" s="1823"/>
      <c r="O6" s="1823"/>
      <c r="P6" s="4381"/>
      <c r="Q6" s="4382"/>
      <c r="R6" s="4362"/>
      <c r="S6" s="4363"/>
      <c r="T6" s="4383"/>
      <c r="U6" s="4384"/>
      <c r="V6" s="4385"/>
      <c r="W6" s="4385"/>
      <c r="X6" s="1354"/>
      <c r="Y6" s="4383"/>
      <c r="Z6" s="4384"/>
      <c r="AA6" s="4357"/>
      <c r="AB6" s="4357"/>
      <c r="AC6" s="4357"/>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58" t="s">
        <v>479</v>
      </c>
      <c r="Q7" s="4386"/>
      <c r="R7" s="1355" t="s">
        <v>5</v>
      </c>
      <c r="S7" s="1356">
        <f t="shared" ref="S7:S14" si="0">F7</f>
        <v>0</v>
      </c>
      <c r="T7" s="1355" t="s">
        <v>5</v>
      </c>
      <c r="U7" s="1356">
        <f t="shared" ref="U7:U14" si="1">H7</f>
        <v>0</v>
      </c>
      <c r="V7" s="1355" t="s">
        <v>5</v>
      </c>
      <c r="W7" s="1356">
        <f t="shared" ref="W7:W14" si="2">J7</f>
        <v>0</v>
      </c>
      <c r="X7" s="1357"/>
      <c r="Y7" s="4358" t="s">
        <v>479</v>
      </c>
      <c r="Z7" s="4359"/>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58" t="s">
        <v>482</v>
      </c>
      <c r="Q8" s="4359"/>
      <c r="R8" s="1355" t="s">
        <v>5</v>
      </c>
      <c r="S8" s="1356">
        <f t="shared" si="0"/>
        <v>0</v>
      </c>
      <c r="T8" s="1355" t="s">
        <v>5</v>
      </c>
      <c r="U8" s="1356">
        <f t="shared" si="1"/>
        <v>0</v>
      </c>
      <c r="V8" s="1355" t="s">
        <v>5</v>
      </c>
      <c r="W8" s="1356">
        <f t="shared" si="2"/>
        <v>0</v>
      </c>
      <c r="X8" s="1357"/>
      <c r="Y8" s="4358" t="s">
        <v>482</v>
      </c>
      <c r="Z8" s="4359"/>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372" t="s">
        <v>484</v>
      </c>
      <c r="Q9" s="1027" t="str">
        <f t="shared" ref="Q9:Q14" si="6">B9</f>
        <v>用途</v>
      </c>
      <c r="R9" s="1355" t="s">
        <v>5</v>
      </c>
      <c r="S9" s="1356">
        <f t="shared" si="0"/>
        <v>100</v>
      </c>
      <c r="T9" s="1355" t="s">
        <v>5</v>
      </c>
      <c r="U9" s="1356">
        <f t="shared" si="1"/>
        <v>100</v>
      </c>
      <c r="V9" s="1355" t="s">
        <v>5</v>
      </c>
      <c r="W9" s="1356">
        <f t="shared" si="2"/>
        <v>100</v>
      </c>
      <c r="X9" s="1357"/>
      <c r="Y9" s="4304"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372"/>
      <c r="Q10" s="1027" t="str">
        <f t="shared" si="6"/>
        <v>土地使用年限（年）</v>
      </c>
      <c r="R10" s="1355" t="s">
        <v>5</v>
      </c>
      <c r="S10" s="1356">
        <f t="shared" si="0"/>
        <v>100</v>
      </c>
      <c r="T10" s="1355" t="s">
        <v>5</v>
      </c>
      <c r="U10" s="1356">
        <f t="shared" si="1"/>
        <v>100</v>
      </c>
      <c r="V10" s="1355" t="s">
        <v>5</v>
      </c>
      <c r="W10" s="1356">
        <f t="shared" si="2"/>
        <v>100</v>
      </c>
      <c r="X10" s="1357"/>
      <c r="Y10" s="4304"/>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372"/>
      <c r="Q11" s="1027">
        <f t="shared" si="6"/>
        <v>111</v>
      </c>
      <c r="R11" s="1355" t="s">
        <v>5</v>
      </c>
      <c r="S11" s="1356">
        <f t="shared" si="0"/>
        <v>100</v>
      </c>
      <c r="T11" s="1355" t="s">
        <v>5</v>
      </c>
      <c r="U11" s="1356">
        <f t="shared" si="1"/>
        <v>100</v>
      </c>
      <c r="V11" s="1355" t="s">
        <v>5</v>
      </c>
      <c r="W11" s="1356">
        <f t="shared" si="2"/>
        <v>100</v>
      </c>
      <c r="X11" s="1357"/>
      <c r="Y11" s="4304"/>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372"/>
      <c r="Q12" s="1027">
        <f t="shared" si="6"/>
        <v>111</v>
      </c>
      <c r="R12" s="1355" t="s">
        <v>5</v>
      </c>
      <c r="S12" s="1356">
        <f t="shared" si="0"/>
        <v>100</v>
      </c>
      <c r="T12" s="1355" t="s">
        <v>5</v>
      </c>
      <c r="U12" s="1356">
        <f t="shared" si="1"/>
        <v>100</v>
      </c>
      <c r="V12" s="1355" t="s">
        <v>5</v>
      </c>
      <c r="W12" s="1356">
        <f t="shared" si="2"/>
        <v>100</v>
      </c>
      <c r="X12" s="1357"/>
      <c r="Y12" s="4304"/>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372"/>
      <c r="Q13" s="1027">
        <f t="shared" si="6"/>
        <v>111</v>
      </c>
      <c r="R13" s="1355" t="s">
        <v>5</v>
      </c>
      <c r="S13" s="1356">
        <f t="shared" si="0"/>
        <v>100</v>
      </c>
      <c r="T13" s="1355" t="s">
        <v>5</v>
      </c>
      <c r="U13" s="1356">
        <f t="shared" si="1"/>
        <v>100</v>
      </c>
      <c r="V13" s="1355" t="s">
        <v>5</v>
      </c>
      <c r="W13" s="1356">
        <f t="shared" si="2"/>
        <v>100</v>
      </c>
      <c r="X13" s="1357"/>
      <c r="Y13" s="4304"/>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91" t="s">
        <v>489</v>
      </c>
      <c r="Q14" s="1359" t="str">
        <f t="shared" si="6"/>
        <v>交通便捷度</v>
      </c>
      <c r="R14" s="1360" t="s">
        <v>5</v>
      </c>
      <c r="S14" s="1361">
        <f t="shared" si="0"/>
        <v>100</v>
      </c>
      <c r="T14" s="1360" t="s">
        <v>5</v>
      </c>
      <c r="U14" s="1361">
        <f t="shared" si="1"/>
        <v>100</v>
      </c>
      <c r="V14" s="1360" t="s">
        <v>5</v>
      </c>
      <c r="W14" s="1361">
        <f t="shared" si="2"/>
        <v>100</v>
      </c>
      <c r="X14" s="1354"/>
      <c r="Y14" s="4391"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392"/>
      <c r="Q15" s="1359"/>
      <c r="R15" s="1360"/>
      <c r="S15" s="1361"/>
      <c r="T15" s="1360"/>
      <c r="U15" s="1361"/>
      <c r="V15" s="1360"/>
      <c r="W15" s="1361"/>
      <c r="X15" s="1354"/>
      <c r="Y15" s="4392"/>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92"/>
      <c r="Q16" s="1359" t="str">
        <f>B16</f>
        <v>公共配套设施</v>
      </c>
      <c r="R16" s="1360" t="s">
        <v>5</v>
      </c>
      <c r="S16" s="1361">
        <f>F16</f>
        <v>100</v>
      </c>
      <c r="T16" s="1360" t="s">
        <v>5</v>
      </c>
      <c r="U16" s="1361">
        <f>H16</f>
        <v>100</v>
      </c>
      <c r="V16" s="1360" t="s">
        <v>5</v>
      </c>
      <c r="W16" s="1361">
        <f>J16</f>
        <v>100</v>
      </c>
      <c r="X16" s="1354"/>
      <c r="Y16" s="4392"/>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392"/>
      <c r="Q17" s="1359"/>
      <c r="R17" s="1360"/>
      <c r="S17" s="1361"/>
      <c r="T17" s="1360"/>
      <c r="U17" s="1361"/>
      <c r="V17" s="1360"/>
      <c r="W17" s="1361"/>
      <c r="X17" s="1354"/>
      <c r="Y17" s="4392"/>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92"/>
      <c r="Q18" s="2157" t="str">
        <f>B18</f>
        <v>基础设施水平</v>
      </c>
      <c r="R18" s="1360" t="s">
        <v>5</v>
      </c>
      <c r="S18" s="1361">
        <f>F18</f>
        <v>100</v>
      </c>
      <c r="T18" s="1360" t="s">
        <v>5</v>
      </c>
      <c r="U18" s="1361">
        <f>H18</f>
        <v>100</v>
      </c>
      <c r="V18" s="1360" t="s">
        <v>5</v>
      </c>
      <c r="W18" s="1361">
        <f>J18</f>
        <v>100</v>
      </c>
      <c r="X18" s="2159"/>
      <c r="Y18" s="4392"/>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392"/>
      <c r="Q19" s="2157"/>
      <c r="R19" s="1360"/>
      <c r="S19" s="1361"/>
      <c r="T19" s="1360"/>
      <c r="U19" s="1361"/>
      <c r="V19" s="1360"/>
      <c r="W19" s="1361"/>
      <c r="X19" s="2159"/>
      <c r="Y19" s="4392"/>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92"/>
      <c r="Q20" s="1359" t="str">
        <f>B20</f>
        <v>自然及人文环境</v>
      </c>
      <c r="R20" s="1360" t="s">
        <v>5</v>
      </c>
      <c r="S20" s="1361">
        <f>F20</f>
        <v>100</v>
      </c>
      <c r="T20" s="1360" t="s">
        <v>5</v>
      </c>
      <c r="U20" s="1361">
        <f>H20</f>
        <v>100</v>
      </c>
      <c r="V20" s="1360" t="s">
        <v>5</v>
      </c>
      <c r="W20" s="1361">
        <f>J20</f>
        <v>100</v>
      </c>
      <c r="X20" s="1354"/>
      <c r="Y20" s="4392"/>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392"/>
      <c r="Q21" s="1359"/>
      <c r="R21" s="1360"/>
      <c r="S21" s="1361"/>
      <c r="T21" s="1360"/>
      <c r="U21" s="1361"/>
      <c r="V21" s="1360"/>
      <c r="W21" s="1361"/>
      <c r="X21" s="1354"/>
      <c r="Y21" s="4392"/>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92"/>
      <c r="Q22" s="1359" t="str">
        <f>B22</f>
        <v>楼层</v>
      </c>
      <c r="R22" s="1360" t="s">
        <v>5</v>
      </c>
      <c r="S22" s="1361">
        <f>F22</f>
        <v>100</v>
      </c>
      <c r="T22" s="1360" t="s">
        <v>5</v>
      </c>
      <c r="U22" s="1361">
        <f>H22</f>
        <v>100</v>
      </c>
      <c r="V22" s="1360" t="s">
        <v>5</v>
      </c>
      <c r="W22" s="1361">
        <f>J22</f>
        <v>100</v>
      </c>
      <c r="X22" s="1354"/>
      <c r="Y22" s="4392"/>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92"/>
      <c r="Q23" s="1359">
        <f>B23</f>
        <v>111</v>
      </c>
      <c r="R23" s="1360" t="s">
        <v>5</v>
      </c>
      <c r="S23" s="1361">
        <f>F23</f>
        <v>100</v>
      </c>
      <c r="T23" s="1360" t="s">
        <v>5</v>
      </c>
      <c r="U23" s="1361">
        <f>H23</f>
        <v>100</v>
      </c>
      <c r="V23" s="1360" t="s">
        <v>5</v>
      </c>
      <c r="W23" s="1361">
        <f>J23</f>
        <v>100</v>
      </c>
      <c r="X23" s="1354"/>
      <c r="Y23" s="4392"/>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92"/>
      <c r="Q24" s="1359">
        <f t="shared" ref="Q24:Q34" si="8">B24</f>
        <v>111</v>
      </c>
      <c r="R24" s="1360" t="s">
        <v>5</v>
      </c>
      <c r="S24" s="1361">
        <f>F24</f>
        <v>100</v>
      </c>
      <c r="T24" s="1360" t="s">
        <v>5</v>
      </c>
      <c r="U24" s="1361">
        <f>H24</f>
        <v>100</v>
      </c>
      <c r="V24" s="1360" t="s">
        <v>5</v>
      </c>
      <c r="W24" s="1361">
        <f>J24</f>
        <v>100</v>
      </c>
      <c r="X24" s="1354"/>
      <c r="Y24" s="4392"/>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92"/>
      <c r="Q25" s="1027">
        <f t="shared" si="8"/>
        <v>111</v>
      </c>
      <c r="R25" s="1355" t="s">
        <v>5</v>
      </c>
      <c r="S25" s="1356">
        <f>F25</f>
        <v>100</v>
      </c>
      <c r="T25" s="1355" t="s">
        <v>5</v>
      </c>
      <c r="U25" s="1356">
        <f>H25</f>
        <v>100</v>
      </c>
      <c r="V25" s="1355" t="s">
        <v>5</v>
      </c>
      <c r="W25" s="1356">
        <f>J25</f>
        <v>100</v>
      </c>
      <c r="X25" s="1357"/>
      <c r="Y25" s="4392"/>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93"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94"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94"/>
      <c r="Q27" s="1388" t="str">
        <f t="shared" si="8"/>
        <v>成新率</v>
      </c>
      <c r="R27" s="1364" t="s">
        <v>5</v>
      </c>
      <c r="S27" s="1365" t="e">
        <f t="shared" si="9"/>
        <v>#N/A</v>
      </c>
      <c r="T27" s="1364" t="s">
        <v>5</v>
      </c>
      <c r="U27" s="1365" t="e">
        <f t="shared" si="10"/>
        <v>#N/A</v>
      </c>
      <c r="V27" s="1364" t="s">
        <v>5</v>
      </c>
      <c r="W27" s="1365" t="e">
        <f t="shared" si="11"/>
        <v>#N/A</v>
      </c>
      <c r="X27" s="1366"/>
      <c r="Y27" s="4394"/>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94"/>
      <c r="Q28" s="1359" t="str">
        <f t="shared" si="8"/>
        <v>物业等级</v>
      </c>
      <c r="R28" s="1360" t="s">
        <v>5</v>
      </c>
      <c r="S28" s="1361">
        <f t="shared" si="9"/>
        <v>100</v>
      </c>
      <c r="T28" s="1360" t="s">
        <v>5</v>
      </c>
      <c r="U28" s="1361">
        <f t="shared" si="10"/>
        <v>100</v>
      </c>
      <c r="V28" s="1360" t="s">
        <v>5</v>
      </c>
      <c r="W28" s="1361">
        <f t="shared" si="11"/>
        <v>100</v>
      </c>
      <c r="X28" s="1354"/>
      <c r="Y28" s="4394"/>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94"/>
      <c r="Q29" s="1359" t="str">
        <f t="shared" si="8"/>
        <v>有无电梯</v>
      </c>
      <c r="R29" s="1360" t="s">
        <v>5</v>
      </c>
      <c r="S29" s="1361">
        <f t="shared" si="9"/>
        <v>100</v>
      </c>
      <c r="T29" s="1360" t="s">
        <v>5</v>
      </c>
      <c r="U29" s="1361">
        <f t="shared" si="10"/>
        <v>100</v>
      </c>
      <c r="V29" s="1360" t="s">
        <v>5</v>
      </c>
      <c r="W29" s="1361">
        <f t="shared" si="11"/>
        <v>100</v>
      </c>
      <c r="X29" s="1354"/>
      <c r="Y29" s="4394"/>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94"/>
      <c r="Q30" s="1359" t="str">
        <f t="shared" si="8"/>
        <v>建筑面积</v>
      </c>
      <c r="R30" s="1360" t="s">
        <v>5</v>
      </c>
      <c r="S30" s="1361" t="e">
        <f t="shared" si="9"/>
        <v>#N/A</v>
      </c>
      <c r="T30" s="1360" t="s">
        <v>5</v>
      </c>
      <c r="U30" s="1361" t="e">
        <f t="shared" si="10"/>
        <v>#N/A</v>
      </c>
      <c r="V30" s="1360" t="s">
        <v>5</v>
      </c>
      <c r="W30" s="1361" t="e">
        <f t="shared" si="11"/>
        <v>#N/A</v>
      </c>
      <c r="X30" s="1354"/>
      <c r="Y30" s="4394"/>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94"/>
      <c r="Q31" s="1027" t="str">
        <f t="shared" si="8"/>
        <v>是否封闭</v>
      </c>
      <c r="R31" s="1355" t="s">
        <v>5</v>
      </c>
      <c r="S31" s="1356">
        <f t="shared" si="9"/>
        <v>100</v>
      </c>
      <c r="T31" s="1355" t="s">
        <v>5</v>
      </c>
      <c r="U31" s="1356">
        <f t="shared" si="10"/>
        <v>100</v>
      </c>
      <c r="V31" s="1355" t="s">
        <v>5</v>
      </c>
      <c r="W31" s="1356">
        <f t="shared" si="11"/>
        <v>100</v>
      </c>
      <c r="X31" s="1357"/>
      <c r="Y31" s="4394"/>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94" t="s">
        <v>499</v>
      </c>
      <c r="Q32" s="1359">
        <f t="shared" si="8"/>
        <v>111</v>
      </c>
      <c r="R32" s="1360" t="s">
        <v>5</v>
      </c>
      <c r="S32" s="1361">
        <f t="shared" si="9"/>
        <v>100</v>
      </c>
      <c r="T32" s="1360" t="s">
        <v>5</v>
      </c>
      <c r="U32" s="1361">
        <f t="shared" si="10"/>
        <v>100</v>
      </c>
      <c r="V32" s="1360" t="s">
        <v>5</v>
      </c>
      <c r="W32" s="1361">
        <f t="shared" si="11"/>
        <v>100</v>
      </c>
      <c r="X32" s="1354"/>
      <c r="Y32" s="4394"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94"/>
      <c r="Q33" s="1359">
        <f t="shared" si="8"/>
        <v>111</v>
      </c>
      <c r="R33" s="1360" t="s">
        <v>5</v>
      </c>
      <c r="S33" s="1361">
        <f t="shared" si="9"/>
        <v>100</v>
      </c>
      <c r="T33" s="1360" t="s">
        <v>5</v>
      </c>
      <c r="U33" s="1361">
        <f t="shared" si="10"/>
        <v>100</v>
      </c>
      <c r="V33" s="1360" t="s">
        <v>5</v>
      </c>
      <c r="W33" s="1361">
        <f t="shared" si="11"/>
        <v>100</v>
      </c>
      <c r="X33" s="1354"/>
      <c r="Y33" s="4394"/>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94"/>
      <c r="Q34" s="1359">
        <f t="shared" si="8"/>
        <v>111</v>
      </c>
      <c r="R34" s="1360" t="s">
        <v>5</v>
      </c>
      <c r="S34" s="1361">
        <f t="shared" si="9"/>
        <v>100</v>
      </c>
      <c r="T34" s="1360" t="s">
        <v>5</v>
      </c>
      <c r="U34" s="1361">
        <f t="shared" si="10"/>
        <v>100</v>
      </c>
      <c r="V34" s="1360" t="s">
        <v>5</v>
      </c>
      <c r="W34" s="1361">
        <f t="shared" si="11"/>
        <v>100</v>
      </c>
      <c r="X34" s="1354"/>
      <c r="Y34" s="4394"/>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372" t="str">
        <f>A35</f>
        <v>成交单价（元/平方米）</v>
      </c>
      <c r="Q35" s="4372"/>
      <c r="R35" s="4390">
        <f>E35</f>
        <v>0</v>
      </c>
      <c r="S35" s="4390"/>
      <c r="T35" s="4390">
        <f>G35</f>
        <v>0</v>
      </c>
      <c r="U35" s="4390"/>
      <c r="V35" s="4390">
        <f>I35</f>
        <v>0</v>
      </c>
      <c r="W35" s="4390"/>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372" t="str">
        <f>A36</f>
        <v>比较价格（元/平方米）</v>
      </c>
      <c r="Q36" s="4372"/>
      <c r="R36" s="4390" t="e">
        <f>IF(F1="售价",ROUND(PRODUCT(R35,AA7:AA34),0),ROUND(PRODUCT(R35,AA7:AA34),1))</f>
        <v>#DIV/0!</v>
      </c>
      <c r="S36" s="4390"/>
      <c r="T36" s="4390" t="e">
        <f>IF(F1="售价",ROUND(PRODUCT(T35,AB7:AB34),0),ROUND(PRODUCT(T35,AB7:AB34),1))</f>
        <v>#DIV/0!</v>
      </c>
      <c r="U36" s="4390"/>
      <c r="V36" s="4390" t="e">
        <f>IF(F1="售价",ROUND(PRODUCT(V35,AC7:AC34),0),ROUND(PRODUCT(V35,AC7:AC34),1))</f>
        <v>#DIV/0!</v>
      </c>
      <c r="W36" s="4390"/>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387" t="str">
        <f>A37</f>
        <v>估价对象XX用房的比较价格（楼面单价，元/平方米）</v>
      </c>
      <c r="Q37" s="4388"/>
      <c r="R37" s="4389" t="e">
        <f>IF(F1="售价",ROUND(IF(D36="简单平均",AVERAGE(R36:W36),R36*F36+T36*H36+V36*J36),0),ROUND(IF(D36="简单平均",AVERAGE(R36:V36),R36*F36+T36*H36+V36*J36),1))</f>
        <v>#DIV/0!</v>
      </c>
      <c r="S37" s="4389"/>
      <c r="T37" s="4389"/>
      <c r="U37" s="4389"/>
      <c r="V37" s="4389"/>
      <c r="W37" s="4389"/>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C00-000000000000}">
      <formula1>交通便捷度</formula1>
    </dataValidation>
    <dataValidation type="list" allowBlank="1" showInputMessage="1" showErrorMessage="1" sqref="G17 C17 I17 E17" xr:uid="{00000000-0002-0000-3C00-000001000000}">
      <formula1>公共配套设施</formula1>
    </dataValidation>
    <dataValidation type="list" allowBlank="1" showInputMessage="1" showErrorMessage="1" sqref="D1" xr:uid="{00000000-0002-0000-3C00-000002000000}">
      <formula1>项目类型</formula1>
    </dataValidation>
    <dataValidation type="list" allowBlank="1" showInputMessage="1" showErrorMessage="1" sqref="C8 E8 G8 I8" xr:uid="{00000000-0002-0000-3C00-000003000000}">
      <formula1>仓储交易情况</formula1>
    </dataValidation>
    <dataValidation type="list" allowBlank="1" showInputMessage="1" showErrorMessage="1" sqref="E9 G9 I9" xr:uid="{00000000-0002-0000-3C00-000004000000}">
      <formula1>仓储用途</formula1>
    </dataValidation>
    <dataValidation type="list" allowBlank="1" showInputMessage="1" showErrorMessage="1" sqref="C21 E21 G21 I21" xr:uid="{00000000-0002-0000-3C00-000005000000}">
      <formula1>环境</formula1>
    </dataValidation>
    <dataValidation type="list" allowBlank="1" showInputMessage="1" showErrorMessage="1" sqref="C22 E22 G22 I22" xr:uid="{00000000-0002-0000-3C00-000006000000}">
      <formula1>仓储楼层</formula1>
    </dataValidation>
    <dataValidation type="list" allowBlank="1" showInputMessage="1" showErrorMessage="1" sqref="C26 E26 G26 I26" xr:uid="{00000000-0002-0000-3C00-000007000000}">
      <formula1>仓储公共部分装修</formula1>
    </dataValidation>
    <dataValidation type="list" allowBlank="1" showInputMessage="1" showErrorMessage="1" sqref="C29 E29 G29 I29" xr:uid="{00000000-0002-0000-3C00-000008000000}">
      <formula1>有无电梯</formula1>
    </dataValidation>
    <dataValidation type="list" allowBlank="1" showInputMessage="1" showErrorMessage="1" sqref="C31 E31 G31 I31" xr:uid="{00000000-0002-0000-3C00-000009000000}">
      <formula1>是否封闭</formula1>
    </dataValidation>
    <dataValidation type="list" allowBlank="1" showInputMessage="1" showErrorMessage="1" sqref="B1" xr:uid="{00000000-0002-0000-3C00-00000A000000}">
      <formula1>地类判定</formula1>
    </dataValidation>
    <dataValidation type="list" allowBlank="1" showInputMessage="1" showErrorMessage="1" sqref="C28 E28 G28 I28" xr:uid="{00000000-0002-0000-3C00-00000B000000}">
      <formula1>仓储物业等级</formula1>
    </dataValidation>
    <dataValidation type="list" allowBlank="1" showInputMessage="1" showErrorMessage="1" sqref="C19 E19 G19 I19" xr:uid="{00000000-0002-0000-3C00-00000C000000}">
      <formula1>基础设施水平</formula1>
    </dataValidation>
    <dataValidation type="list" allowBlank="1" showInputMessage="1" showErrorMessage="1" sqref="F1" xr:uid="{00000000-0002-0000-3C00-00000D000000}">
      <formula1>"售价,租金"</formula1>
    </dataValidation>
    <dataValidation type="list" allowBlank="1" showInputMessage="1" showErrorMessage="1" sqref="D36" xr:uid="{00000000-0002-0000-3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1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546" t="s">
        <v>1661</v>
      </c>
      <c r="D1" s="4547"/>
      <c r="E1" s="4547"/>
      <c r="F1" s="4547"/>
      <c r="G1" s="4547"/>
      <c r="H1" s="4547"/>
      <c r="I1" s="4547"/>
      <c r="J1" s="4547"/>
      <c r="K1" s="4547"/>
      <c r="L1" s="4547"/>
      <c r="M1" s="4547"/>
      <c r="N1" s="4547"/>
      <c r="O1" s="4547"/>
      <c r="P1" s="4547"/>
      <c r="Q1" s="4547"/>
      <c r="R1" s="4547"/>
      <c r="S1" s="4548"/>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543" t="s">
        <v>14</v>
      </c>
      <c r="D22" s="4544"/>
      <c r="E22" s="4544"/>
      <c r="F22" s="4544"/>
      <c r="G22" s="4544"/>
      <c r="H22" s="4544"/>
      <c r="I22" s="4544"/>
      <c r="J22" s="4544"/>
      <c r="K22" s="4544"/>
      <c r="L22" s="4544"/>
      <c r="M22" s="4544"/>
      <c r="N22" s="4544"/>
      <c r="O22" s="4544"/>
      <c r="P22" s="4544"/>
      <c r="Q22" s="4545"/>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D00-000000000000}">
      <formula1>一修多修正项2</formula1>
    </dataValidation>
    <dataValidation type="list" allowBlank="1" showInputMessage="1" showErrorMessage="1" sqref="F24:F524" xr:uid="{00000000-0002-0000-3D00-000001000000}">
      <formula1>一修多修正项3</formula1>
    </dataValidation>
    <dataValidation type="list" allowBlank="1" showInputMessage="1" showErrorMessage="1" sqref="H24:H524" xr:uid="{00000000-0002-0000-3D00-000002000000}">
      <formula1>一修多修正项4</formula1>
    </dataValidation>
    <dataValidation type="list" allowBlank="1" showInputMessage="1" showErrorMessage="1" sqref="J24:J524" xr:uid="{00000000-0002-0000-3D00-000003000000}">
      <formula1>一修多修正项5</formula1>
    </dataValidation>
    <dataValidation type="list" allowBlank="1" showInputMessage="1" showErrorMessage="1" sqref="L24:L524" xr:uid="{00000000-0002-0000-3D00-000004000000}">
      <formula1>一修多修正项6</formula1>
    </dataValidation>
    <dataValidation type="list" allowBlank="1" showInputMessage="1" showErrorMessage="1" sqref="N24:N524" xr:uid="{00000000-0002-0000-3D00-000005000000}">
      <formula1>一修多修正项7</formula1>
    </dataValidation>
    <dataValidation type="list" allowBlank="1" showInputMessage="1" showErrorMessage="1" sqref="P24:P524" xr:uid="{00000000-0002-0000-3D00-000006000000}">
      <formula1>一修多修正项8</formula1>
    </dataValidation>
    <dataValidation type="list" allowBlank="1" showInputMessage="1" showErrorMessage="1" sqref="B23 B2" xr:uid="{00000000-0002-0000-3D00-000007000000}">
      <formula1>"建筑面积,土地面积"</formula1>
    </dataValidation>
  </dataValidation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W72"/>
  <sheetViews>
    <sheetView workbookViewId="0">
      <selection activeCell="F20" sqref="F20"/>
    </sheetView>
  </sheetViews>
  <sheetFormatPr defaultColWidth="8.875" defaultRowHeight="13.5"/>
  <cols>
    <col min="1" max="1" width="4.875" style="2368" customWidth="1"/>
    <col min="2" max="2" width="13.1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625" style="2374" customWidth="1"/>
    <col min="14" max="256" width="9" style="2374"/>
    <col min="257" max="257" width="4.875" style="2366" customWidth="1"/>
    <col min="258" max="258" width="13.1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625" style="2366" customWidth="1"/>
    <col min="270" max="512" width="9" style="2366"/>
    <col min="513" max="513" width="4.875" style="2366" customWidth="1"/>
    <col min="514" max="514" width="13.1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625" style="2366" customWidth="1"/>
    <col min="526" max="768" width="9" style="2366"/>
    <col min="769" max="769" width="4.875" style="2366" customWidth="1"/>
    <col min="770" max="770" width="13.1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625" style="2366" customWidth="1"/>
    <col min="782" max="1024" width="9" style="2366"/>
    <col min="1025" max="1025" width="4.875" style="2366" customWidth="1"/>
    <col min="1026" max="1026" width="13.1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625" style="2366" customWidth="1"/>
    <col min="1038" max="1280" width="9" style="2366"/>
    <col min="1281" max="1281" width="4.875" style="2366" customWidth="1"/>
    <col min="1282" max="1282" width="13.1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625" style="2366" customWidth="1"/>
    <col min="1294" max="1536" width="9" style="2366"/>
    <col min="1537" max="1537" width="4.875" style="2366" customWidth="1"/>
    <col min="1538" max="1538" width="13.1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625" style="2366" customWidth="1"/>
    <col min="1550" max="1792" width="9" style="2366"/>
    <col min="1793" max="1793" width="4.875" style="2366" customWidth="1"/>
    <col min="1794" max="1794" width="13.1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625" style="2366" customWidth="1"/>
    <col min="1806" max="2048" width="9" style="2366"/>
    <col min="2049" max="2049" width="4.875" style="2366" customWidth="1"/>
    <col min="2050" max="2050" width="13.1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625" style="2366" customWidth="1"/>
    <col min="2062" max="2304" width="9" style="2366"/>
    <col min="2305" max="2305" width="4.875" style="2366" customWidth="1"/>
    <col min="2306" max="2306" width="13.1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625" style="2366" customWidth="1"/>
    <col min="2318" max="2560" width="9" style="2366"/>
    <col min="2561" max="2561" width="4.875" style="2366" customWidth="1"/>
    <col min="2562" max="2562" width="13.1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625" style="2366" customWidth="1"/>
    <col min="2574" max="2816" width="9" style="2366"/>
    <col min="2817" max="2817" width="4.875" style="2366" customWidth="1"/>
    <col min="2818" max="2818" width="13.1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625" style="2366" customWidth="1"/>
    <col min="2830" max="3072" width="9" style="2366"/>
    <col min="3073" max="3073" width="4.875" style="2366" customWidth="1"/>
    <col min="3074" max="3074" width="13.1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625" style="2366" customWidth="1"/>
    <col min="3086" max="3328" width="9" style="2366"/>
    <col min="3329" max="3329" width="4.875" style="2366" customWidth="1"/>
    <col min="3330" max="3330" width="13.1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625" style="2366" customWidth="1"/>
    <col min="3342" max="3584" width="9" style="2366"/>
    <col min="3585" max="3585" width="4.875" style="2366" customWidth="1"/>
    <col min="3586" max="3586" width="13.1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625" style="2366" customWidth="1"/>
    <col min="3598" max="3840" width="9" style="2366"/>
    <col min="3841" max="3841" width="4.875" style="2366" customWidth="1"/>
    <col min="3842" max="3842" width="13.1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625" style="2366" customWidth="1"/>
    <col min="3854" max="4096" width="9" style="2366"/>
    <col min="4097" max="4097" width="4.875" style="2366" customWidth="1"/>
    <col min="4098" max="4098" width="13.1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625" style="2366" customWidth="1"/>
    <col min="4110" max="4352" width="9" style="2366"/>
    <col min="4353" max="4353" width="4.875" style="2366" customWidth="1"/>
    <col min="4354" max="4354" width="13.1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625" style="2366" customWidth="1"/>
    <col min="4366" max="4608" width="9" style="2366"/>
    <col min="4609" max="4609" width="4.875" style="2366" customWidth="1"/>
    <col min="4610" max="4610" width="13.1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625" style="2366" customWidth="1"/>
    <col min="4622" max="4864" width="9" style="2366"/>
    <col min="4865" max="4865" width="4.875" style="2366" customWidth="1"/>
    <col min="4866" max="4866" width="13.1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625" style="2366" customWidth="1"/>
    <col min="4878" max="5120" width="9" style="2366"/>
    <col min="5121" max="5121" width="4.875" style="2366" customWidth="1"/>
    <col min="5122" max="5122" width="13.1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625" style="2366" customWidth="1"/>
    <col min="5134" max="5376" width="9" style="2366"/>
    <col min="5377" max="5377" width="4.875" style="2366" customWidth="1"/>
    <col min="5378" max="5378" width="13.1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625" style="2366" customWidth="1"/>
    <col min="5390" max="5632" width="9" style="2366"/>
    <col min="5633" max="5633" width="4.875" style="2366" customWidth="1"/>
    <col min="5634" max="5634" width="13.1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625" style="2366" customWidth="1"/>
    <col min="5646" max="5888" width="9" style="2366"/>
    <col min="5889" max="5889" width="4.875" style="2366" customWidth="1"/>
    <col min="5890" max="5890" width="13.1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625" style="2366" customWidth="1"/>
    <col min="5902" max="6144" width="9" style="2366"/>
    <col min="6145" max="6145" width="4.875" style="2366" customWidth="1"/>
    <col min="6146" max="6146" width="13.1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625" style="2366" customWidth="1"/>
    <col min="6158" max="6400" width="9" style="2366"/>
    <col min="6401" max="6401" width="4.875" style="2366" customWidth="1"/>
    <col min="6402" max="6402" width="13.1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625" style="2366" customWidth="1"/>
    <col min="6414" max="6656" width="9" style="2366"/>
    <col min="6657" max="6657" width="4.875" style="2366" customWidth="1"/>
    <col min="6658" max="6658" width="13.1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625" style="2366" customWidth="1"/>
    <col min="6670" max="6912" width="9" style="2366"/>
    <col min="6913" max="6913" width="4.875" style="2366" customWidth="1"/>
    <col min="6914" max="6914" width="13.1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625" style="2366" customWidth="1"/>
    <col min="6926" max="7168" width="9" style="2366"/>
    <col min="7169" max="7169" width="4.875" style="2366" customWidth="1"/>
    <col min="7170" max="7170" width="13.1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625" style="2366" customWidth="1"/>
    <col min="7182" max="7424" width="9" style="2366"/>
    <col min="7425" max="7425" width="4.875" style="2366" customWidth="1"/>
    <col min="7426" max="7426" width="13.1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625" style="2366" customWidth="1"/>
    <col min="7438" max="7680" width="9" style="2366"/>
    <col min="7681" max="7681" width="4.875" style="2366" customWidth="1"/>
    <col min="7682" max="7682" width="13.1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625" style="2366" customWidth="1"/>
    <col min="7694" max="7936" width="9" style="2366"/>
    <col min="7937" max="7937" width="4.875" style="2366" customWidth="1"/>
    <col min="7938" max="7938" width="13.1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625" style="2366" customWidth="1"/>
    <col min="7950" max="8192" width="9" style="2366"/>
    <col min="8193" max="8193" width="4.875" style="2366" customWidth="1"/>
    <col min="8194" max="8194" width="13.1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625" style="2366" customWidth="1"/>
    <col min="8206" max="8448" width="9" style="2366"/>
    <col min="8449" max="8449" width="4.875" style="2366" customWidth="1"/>
    <col min="8450" max="8450" width="13.1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625" style="2366" customWidth="1"/>
    <col min="8462" max="8704" width="9" style="2366"/>
    <col min="8705" max="8705" width="4.875" style="2366" customWidth="1"/>
    <col min="8706" max="8706" width="13.1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625" style="2366" customWidth="1"/>
    <col min="8718" max="8960" width="9" style="2366"/>
    <col min="8961" max="8961" width="4.875" style="2366" customWidth="1"/>
    <col min="8962" max="8962" width="13.1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625" style="2366" customWidth="1"/>
    <col min="8974" max="9216" width="9" style="2366"/>
    <col min="9217" max="9217" width="4.875" style="2366" customWidth="1"/>
    <col min="9218" max="9218" width="13.1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625" style="2366" customWidth="1"/>
    <col min="9230" max="9472" width="9" style="2366"/>
    <col min="9473" max="9473" width="4.875" style="2366" customWidth="1"/>
    <col min="9474" max="9474" width="13.1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625" style="2366" customWidth="1"/>
    <col min="9486" max="9728" width="9" style="2366"/>
    <col min="9729" max="9729" width="4.875" style="2366" customWidth="1"/>
    <col min="9730" max="9730" width="13.1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625" style="2366" customWidth="1"/>
    <col min="9742" max="9984" width="9" style="2366"/>
    <col min="9985" max="9985" width="4.875" style="2366" customWidth="1"/>
    <col min="9986" max="9986" width="13.1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625" style="2366" customWidth="1"/>
    <col min="9998" max="10240" width="9" style="2366"/>
    <col min="10241" max="10241" width="4.875" style="2366" customWidth="1"/>
    <col min="10242" max="10242" width="13.1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625" style="2366" customWidth="1"/>
    <col min="10254" max="10496" width="9" style="2366"/>
    <col min="10497" max="10497" width="4.875" style="2366" customWidth="1"/>
    <col min="10498" max="10498" width="13.1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625" style="2366" customWidth="1"/>
    <col min="10510" max="10752" width="9" style="2366"/>
    <col min="10753" max="10753" width="4.875" style="2366" customWidth="1"/>
    <col min="10754" max="10754" width="13.1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625" style="2366" customWidth="1"/>
    <col min="10766" max="11008" width="9" style="2366"/>
    <col min="11009" max="11009" width="4.875" style="2366" customWidth="1"/>
    <col min="11010" max="11010" width="13.1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625" style="2366" customWidth="1"/>
    <col min="11022" max="11264" width="9" style="2366"/>
    <col min="11265" max="11265" width="4.875" style="2366" customWidth="1"/>
    <col min="11266" max="11266" width="13.1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625" style="2366" customWidth="1"/>
    <col min="11278" max="11520" width="9" style="2366"/>
    <col min="11521" max="11521" width="4.875" style="2366" customWidth="1"/>
    <col min="11522" max="11522" width="13.1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625" style="2366" customWidth="1"/>
    <col min="11534" max="11776" width="9" style="2366"/>
    <col min="11777" max="11777" width="4.875" style="2366" customWidth="1"/>
    <col min="11778" max="11778" width="13.1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625" style="2366" customWidth="1"/>
    <col min="11790" max="12032" width="9" style="2366"/>
    <col min="12033" max="12033" width="4.875" style="2366" customWidth="1"/>
    <col min="12034" max="12034" width="13.1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625" style="2366" customWidth="1"/>
    <col min="12046" max="12288" width="9" style="2366"/>
    <col min="12289" max="12289" width="4.875" style="2366" customWidth="1"/>
    <col min="12290" max="12290" width="13.1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625" style="2366" customWidth="1"/>
    <col min="12302" max="12544" width="9" style="2366"/>
    <col min="12545" max="12545" width="4.875" style="2366" customWidth="1"/>
    <col min="12546" max="12546" width="13.1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625" style="2366" customWidth="1"/>
    <col min="12558" max="12800" width="9" style="2366"/>
    <col min="12801" max="12801" width="4.875" style="2366" customWidth="1"/>
    <col min="12802" max="12802" width="13.1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625" style="2366" customWidth="1"/>
    <col min="12814" max="13056" width="9" style="2366"/>
    <col min="13057" max="13057" width="4.875" style="2366" customWidth="1"/>
    <col min="13058" max="13058" width="13.1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625" style="2366" customWidth="1"/>
    <col min="13070" max="13312" width="9" style="2366"/>
    <col min="13313" max="13313" width="4.875" style="2366" customWidth="1"/>
    <col min="13314" max="13314" width="13.1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625" style="2366" customWidth="1"/>
    <col min="13326" max="13568" width="9" style="2366"/>
    <col min="13569" max="13569" width="4.875" style="2366" customWidth="1"/>
    <col min="13570" max="13570" width="13.1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625" style="2366" customWidth="1"/>
    <col min="13582" max="13824" width="9" style="2366"/>
    <col min="13825" max="13825" width="4.875" style="2366" customWidth="1"/>
    <col min="13826" max="13826" width="13.1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625" style="2366" customWidth="1"/>
    <col min="13838" max="14080" width="9" style="2366"/>
    <col min="14081" max="14081" width="4.875" style="2366" customWidth="1"/>
    <col min="14082" max="14082" width="13.1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625" style="2366" customWidth="1"/>
    <col min="14094" max="14336" width="9" style="2366"/>
    <col min="14337" max="14337" width="4.875" style="2366" customWidth="1"/>
    <col min="14338" max="14338" width="13.1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625" style="2366" customWidth="1"/>
    <col min="14350" max="14592" width="9" style="2366"/>
    <col min="14593" max="14593" width="4.875" style="2366" customWidth="1"/>
    <col min="14594" max="14594" width="13.1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625" style="2366" customWidth="1"/>
    <col min="14606" max="14848" width="9" style="2366"/>
    <col min="14849" max="14849" width="4.875" style="2366" customWidth="1"/>
    <col min="14850" max="14850" width="13.1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625" style="2366" customWidth="1"/>
    <col min="14862" max="15104" width="9" style="2366"/>
    <col min="15105" max="15105" width="4.875" style="2366" customWidth="1"/>
    <col min="15106" max="15106" width="13.1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625" style="2366" customWidth="1"/>
    <col min="15118" max="15360" width="9" style="2366"/>
    <col min="15361" max="15361" width="4.875" style="2366" customWidth="1"/>
    <col min="15362" max="15362" width="13.1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625" style="2366" customWidth="1"/>
    <col min="15374" max="15616" width="9" style="2366"/>
    <col min="15617" max="15617" width="4.875" style="2366" customWidth="1"/>
    <col min="15618" max="15618" width="13.1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625" style="2366" customWidth="1"/>
    <col min="15630" max="15872" width="9" style="2366"/>
    <col min="15873" max="15873" width="4.875" style="2366" customWidth="1"/>
    <col min="15874" max="15874" width="13.1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625" style="2366" customWidth="1"/>
    <col min="15886" max="16128" width="9" style="2366"/>
    <col min="16129" max="16129" width="4.875" style="2366" customWidth="1"/>
    <col min="16130" max="16130" width="13.1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62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2.5</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82" t="s">
        <v>27</v>
      </c>
      <c r="B15" s="4183" t="s">
        <v>784</v>
      </c>
      <c r="C15" s="4179"/>
    </row>
    <row r="16" spans="1:7" ht="14.25">
      <c r="A16" s="4182"/>
      <c r="B16" s="4180" t="s">
        <v>28</v>
      </c>
      <c r="C16" s="1047" t="s">
        <v>27</v>
      </c>
    </row>
    <row r="17" spans="1:3" ht="14.25">
      <c r="A17" s="4182"/>
      <c r="B17" s="4180"/>
      <c r="C17" s="1047" t="s">
        <v>29</v>
      </c>
    </row>
    <row r="18" spans="1:3" ht="14.25">
      <c r="A18" s="4182"/>
      <c r="B18" s="4180"/>
      <c r="C18" s="1047" t="s">
        <v>30</v>
      </c>
    </row>
    <row r="19" spans="1:3" ht="14.25">
      <c r="A19" s="4182"/>
      <c r="B19" s="4178" t="s">
        <v>31</v>
      </c>
      <c r="C19" s="4179"/>
    </row>
    <row r="20" spans="1:3" ht="14.25">
      <c r="A20" s="1048" t="s">
        <v>32</v>
      </c>
      <c r="B20" s="1049"/>
      <c r="C20" s="1050"/>
    </row>
    <row r="21" spans="1:3" ht="14.25">
      <c r="A21" s="4181" t="s">
        <v>33</v>
      </c>
      <c r="B21" s="4178" t="s">
        <v>34</v>
      </c>
      <c r="C21" s="4179"/>
    </row>
    <row r="22" spans="1:3" ht="14.25">
      <c r="A22" s="4181"/>
      <c r="B22" s="4178" t="s">
        <v>35</v>
      </c>
      <c r="C22" s="4179"/>
    </row>
    <row r="23" spans="1:3" ht="14.25">
      <c r="A23" s="4181"/>
      <c r="B23" s="4178" t="s">
        <v>36</v>
      </c>
      <c r="C23" s="4179"/>
    </row>
    <row r="24" spans="1:3" ht="14.25">
      <c r="A24" s="4181"/>
      <c r="B24" s="4184" t="s">
        <v>37</v>
      </c>
      <c r="C24" s="1051" t="s">
        <v>775</v>
      </c>
    </row>
    <row r="25" spans="1:3" ht="14.25">
      <c r="A25" s="4181"/>
      <c r="B25" s="4185"/>
      <c r="C25" s="1051" t="s">
        <v>776</v>
      </c>
    </row>
    <row r="26" spans="1:3" ht="14.25">
      <c r="A26" s="4181"/>
      <c r="B26" s="4185"/>
      <c r="C26" s="1051" t="s">
        <v>777</v>
      </c>
    </row>
    <row r="27" spans="1:3" ht="14.25">
      <c r="A27" s="4181"/>
      <c r="B27" s="4185"/>
      <c r="C27" s="1051" t="s">
        <v>778</v>
      </c>
    </row>
    <row r="28" spans="1:3" ht="14.25">
      <c r="A28" s="4181"/>
      <c r="B28" s="4185"/>
      <c r="C28" s="1051" t="s">
        <v>779</v>
      </c>
    </row>
    <row r="29" spans="1:3" ht="14.25">
      <c r="A29" s="4181"/>
      <c r="B29" s="4185"/>
      <c r="C29" s="1051" t="s">
        <v>780</v>
      </c>
    </row>
    <row r="30" spans="1:3" ht="14.25">
      <c r="A30" s="4181"/>
      <c r="B30" s="4185"/>
      <c r="C30" s="1051" t="s">
        <v>781</v>
      </c>
    </row>
    <row r="31" spans="1:3" ht="14.25">
      <c r="A31" s="4181"/>
      <c r="B31" s="4185"/>
      <c r="C31" s="1051" t="s">
        <v>782</v>
      </c>
    </row>
    <row r="32" spans="1:3" ht="14.25">
      <c r="A32" s="4181"/>
      <c r="B32" s="4185"/>
      <c r="C32" s="1051" t="s">
        <v>1181</v>
      </c>
    </row>
    <row r="33" spans="1:3" ht="14.25">
      <c r="A33" s="4181"/>
      <c r="B33" s="4175" t="s">
        <v>1187</v>
      </c>
      <c r="C33" s="1051" t="s">
        <v>1182</v>
      </c>
    </row>
    <row r="34" spans="1:3" ht="14.25">
      <c r="A34" s="4181"/>
      <c r="B34" s="4176"/>
      <c r="C34" s="1056" t="s">
        <v>1183</v>
      </c>
    </row>
    <row r="35" spans="1:3" ht="14.25">
      <c r="A35" s="4181"/>
      <c r="B35" s="4176"/>
      <c r="C35" s="1057" t="s">
        <v>1184</v>
      </c>
    </row>
    <row r="36" spans="1:3" ht="14.25">
      <c r="A36" s="4181"/>
      <c r="B36" s="4176"/>
      <c r="C36" s="1057" t="s">
        <v>1185</v>
      </c>
    </row>
    <row r="37" spans="1:3" ht="14.25">
      <c r="A37" s="4181"/>
      <c r="B37" s="4177"/>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topLeftCell="C1" zoomScale="80" zoomScaleNormal="100" zoomScaleSheetLayoutView="80" workbookViewId="0">
      <selection activeCell="E9" sqref="E9"/>
    </sheetView>
  </sheetViews>
  <sheetFormatPr defaultColWidth="22.625" defaultRowHeight="20.25" customHeight="1"/>
  <cols>
    <col min="1" max="1" width="24.625" style="2529" customWidth="1"/>
    <col min="2" max="2" width="22.625" style="2529" bestFit="1" customWidth="1"/>
    <col min="3" max="3" width="25.625" style="2529" bestFit="1" customWidth="1"/>
    <col min="4" max="4" width="22.625" style="2529"/>
    <col min="5" max="5" width="22.62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45097</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89" t="s">
        <v>1448</v>
      </c>
      <c r="B18" s="4190"/>
      <c r="C18" s="4190"/>
      <c r="D18" s="4190"/>
      <c r="E18" s="4190"/>
      <c r="F18" s="4190"/>
      <c r="G18" s="2721"/>
    </row>
    <row r="19" spans="1:7" ht="20.25" customHeight="1">
      <c r="A19" s="4186" t="s">
        <v>1449</v>
      </c>
      <c r="B19" s="4186"/>
      <c r="C19" s="4187"/>
      <c r="D19" s="4188" t="s">
        <v>1450</v>
      </c>
      <c r="E19" s="4186"/>
      <c r="F19" s="4186"/>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3296</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4" priority="151">
      <formula>AND($C5-TODAY()&lt;30,TODAY()&lt;$C5)</formula>
    </cfRule>
  </conditionalFormatting>
  <conditionalFormatting sqref="C21">
    <cfRule type="expression" dxfId="273" priority="150">
      <formula>AND($C21-TODAY()&lt;30,TODAY()&lt;$C21)</formula>
    </cfRule>
  </conditionalFormatting>
  <conditionalFormatting sqref="C21 F4 C5 C13">
    <cfRule type="cellIs" dxfId="272" priority="152" stopIfTrue="1" operator="lessThan">
      <formula>$B$2</formula>
    </cfRule>
  </conditionalFormatting>
  <conditionalFormatting sqref="F5 F7 F9">
    <cfRule type="cellIs" dxfId="271" priority="146" stopIfTrue="1" operator="lessThan">
      <formula>$B$2</formula>
    </cfRule>
  </conditionalFormatting>
  <conditionalFormatting sqref="C17:D17">
    <cfRule type="expression" dxfId="270" priority="144">
      <formula>AND($C17-TODAY()&lt;30,TODAY()&lt;$C17)</formula>
    </cfRule>
  </conditionalFormatting>
  <conditionalFormatting sqref="F6 F8 F10 C17:D17">
    <cfRule type="cellIs" dxfId="269" priority="145" stopIfTrue="1" operator="lessThan">
      <formula>$B$2</formula>
    </cfRule>
  </conditionalFormatting>
  <conditionalFormatting sqref="F14">
    <cfRule type="cellIs" dxfId="268" priority="116" stopIfTrue="1" operator="lessThan">
      <formula>$B$2</formula>
    </cfRule>
  </conditionalFormatting>
  <conditionalFormatting sqref="F13">
    <cfRule type="cellIs" dxfId="267" priority="115" stopIfTrue="1" operator="lessThan">
      <formula>$B$2</formula>
    </cfRule>
  </conditionalFormatting>
  <conditionalFormatting sqref="B4:B11 E4:E11 E13:E16 B13:B16">
    <cfRule type="cellIs" dxfId="266" priority="113" stopIfTrue="1" operator="equal">
      <formula>"已过期"</formula>
    </cfRule>
  </conditionalFormatting>
  <conditionalFormatting sqref="C6">
    <cfRule type="expression" dxfId="265" priority="84">
      <formula>AND($C6-TODAY()&lt;30,TODAY()&lt;$C6)</formula>
    </cfRule>
  </conditionalFormatting>
  <conditionalFormatting sqref="C6">
    <cfRule type="cellIs" dxfId="264" priority="85" stopIfTrue="1" operator="lessThan">
      <formula>$B$2</formula>
    </cfRule>
  </conditionalFormatting>
  <conditionalFormatting sqref="C11 C15:C16">
    <cfRule type="expression" dxfId="263" priority="82">
      <formula>AND($C11-TODAY()&lt;30,TODAY()&lt;$C11)</formula>
    </cfRule>
  </conditionalFormatting>
  <conditionalFormatting sqref="C11 C15:C16">
    <cfRule type="cellIs" dxfId="262" priority="83" stopIfTrue="1" operator="lessThan">
      <formula>$B$2</formula>
    </cfRule>
  </conditionalFormatting>
  <conditionalFormatting sqref="F11">
    <cfRule type="cellIs" dxfId="261" priority="81" stopIfTrue="1" operator="lessThan">
      <formula>$B$2</formula>
    </cfRule>
  </conditionalFormatting>
  <conditionalFormatting sqref="C14">
    <cfRule type="expression" dxfId="260" priority="62">
      <formula>AND($C14-TODAY()&lt;30,TODAY()&lt;$C14)</formula>
    </cfRule>
  </conditionalFormatting>
  <conditionalFormatting sqref="C14">
    <cfRule type="cellIs" dxfId="259" priority="63" stopIfTrue="1" operator="lessThan">
      <formula>$B$2</formula>
    </cfRule>
  </conditionalFormatting>
  <conditionalFormatting sqref="C12">
    <cfRule type="cellIs" dxfId="258" priority="56" stopIfTrue="1" operator="lessThan">
      <formula>$B$2</formula>
    </cfRule>
  </conditionalFormatting>
  <conditionalFormatting sqref="C12">
    <cfRule type="expression" dxfId="257" priority="53">
      <formula>AND($C12-TODAY()&lt;30,TODAY()&lt;$C12)</formula>
    </cfRule>
  </conditionalFormatting>
  <conditionalFormatting sqref="C12">
    <cfRule type="cellIs" dxfId="256" priority="54" stopIfTrue="1" operator="lessThan">
      <formula>$B$2</formula>
    </cfRule>
  </conditionalFormatting>
  <conditionalFormatting sqref="B12">
    <cfRule type="cellIs" dxfId="255" priority="50" stopIfTrue="1" operator="equal">
      <formula>"已过期"</formula>
    </cfRule>
  </conditionalFormatting>
  <conditionalFormatting sqref="E12">
    <cfRule type="cellIs" dxfId="254" priority="40" stopIfTrue="1" operator="equal">
      <formula>"已过期"</formula>
    </cfRule>
  </conditionalFormatting>
  <conditionalFormatting sqref="F12">
    <cfRule type="cellIs" dxfId="253" priority="39" stopIfTrue="1" operator="lessThan">
      <formula>$B$2</formula>
    </cfRule>
  </conditionalFormatting>
  <conditionalFormatting sqref="C9:C10">
    <cfRule type="expression" dxfId="252" priority="35">
      <formula>AND($C9-TODAY()&lt;30,TODAY()&lt;$C9)</formula>
    </cfRule>
  </conditionalFormatting>
  <conditionalFormatting sqref="C9:C10">
    <cfRule type="cellIs" dxfId="251" priority="36" stopIfTrue="1" operator="lessThan">
      <formula>$B$2</formula>
    </cfRule>
  </conditionalFormatting>
  <conditionalFormatting sqref="F22">
    <cfRule type="cellIs" dxfId="250" priority="15" stopIfTrue="1" operator="lessThan">
      <formula>$B$2</formula>
    </cfRule>
  </conditionalFormatting>
  <conditionalFormatting sqref="F22">
    <cfRule type="expression" dxfId="249" priority="16">
      <formula>AND($E22-TODAY()&lt;30,TODAY()&lt;$E22)</formula>
    </cfRule>
  </conditionalFormatting>
  <conditionalFormatting sqref="C7:C8">
    <cfRule type="expression" dxfId="248" priority="7">
      <formula>AND($C7-TODAY()&lt;30,TODAY()&lt;$C7)</formula>
    </cfRule>
  </conditionalFormatting>
  <conditionalFormatting sqref="C7:C8">
    <cfRule type="cellIs" dxfId="247" priority="8" stopIfTrue="1" operator="lessThan">
      <formula>$B$2</formula>
    </cfRule>
  </conditionalFormatting>
  <conditionalFormatting sqref="C7:C8">
    <cfRule type="expression" dxfId="246" priority="5">
      <formula>AND($C7-TODAY()&lt;30,TODAY()&lt;$C7)</formula>
    </cfRule>
  </conditionalFormatting>
  <conditionalFormatting sqref="C7:C8">
    <cfRule type="cellIs" dxfId="245" priority="6" stopIfTrue="1" operator="lessThan">
      <formula>$B$2</formula>
    </cfRule>
  </conditionalFormatting>
  <conditionalFormatting sqref="C4">
    <cfRule type="expression" dxfId="244" priority="3">
      <formula>AND($C4-TODAY()&lt;30,TODAY()&lt;$C4)</formula>
    </cfRule>
  </conditionalFormatting>
  <conditionalFormatting sqref="C4">
    <cfRule type="cellIs" dxfId="243" priority="4" stopIfTrue="1" operator="lessThan">
      <formula>$B$2</formula>
    </cfRule>
  </conditionalFormatting>
  <conditionalFormatting sqref="F21">
    <cfRule type="cellIs" dxfId="242" priority="1" stopIfTrue="1" operator="lessThan">
      <formula>$B$2</formula>
    </cfRule>
  </conditionalFormatting>
  <conditionalFormatting sqref="F21">
    <cfRule type="expression" dxfId="241"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E15" sqref="E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1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3290</v>
      </c>
      <c r="C22" s="1345"/>
    </row>
    <row r="23" spans="1:3">
      <c r="A23" s="6" t="s">
        <v>92</v>
      </c>
      <c r="B23" s="6" t="s">
        <v>3291</v>
      </c>
      <c r="C23" s="1345"/>
    </row>
    <row r="24" spans="1:3">
      <c r="A24" s="6" t="s">
        <v>9</v>
      </c>
      <c r="B24" s="6" t="s">
        <v>3292</v>
      </c>
      <c r="C24" s="1345"/>
    </row>
    <row r="25" spans="1:3">
      <c r="A25" s="6" t="s">
        <v>93</v>
      </c>
      <c r="B25" s="1025" t="s">
        <v>3293</v>
      </c>
      <c r="C25" s="1345"/>
    </row>
    <row r="26" spans="1:3">
      <c r="A26" s="6" t="s">
        <v>94</v>
      </c>
      <c r="B26" s="2491" t="s">
        <v>3294</v>
      </c>
      <c r="C26" s="1345"/>
    </row>
    <row r="27" spans="1:3">
      <c r="A27" s="6" t="s">
        <v>1177</v>
      </c>
      <c r="B27" s="2491" t="s">
        <v>3295</v>
      </c>
      <c r="C27" s="1345"/>
    </row>
    <row r="28" spans="1:3">
      <c r="A28" s="6" t="s">
        <v>1177</v>
      </c>
      <c r="B28" s="4006" t="s">
        <v>3332</v>
      </c>
      <c r="C28" s="1345"/>
    </row>
    <row r="29" spans="1:3">
      <c r="A29" s="6" t="s">
        <v>1177</v>
      </c>
      <c r="B29" s="2491" t="s">
        <v>3336</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91"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91"/>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91"/>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91"/>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91"/>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178</vt:i4>
      </vt:variant>
    </vt:vector>
  </HeadingPairs>
  <TitlesOfParts>
    <vt:vector size="24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 (终版)</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Sheet2</vt:lpstr>
      <vt:lpstr>住宅案例</vt:lpstr>
      <vt:lpstr>基准地价商业</vt:lpstr>
      <vt:lpstr>剩余法商业(待)</vt:lpstr>
      <vt:lpstr>不动产比较法-商业售价</vt:lpstr>
      <vt:lpstr>Sheet1</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Sheet3</vt:lpstr>
      <vt:lpstr>办公租金案例</vt:lpstr>
      <vt:lpstr>Sheet4</vt:lpstr>
      <vt:lpstr>Sheet5</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2023-06-20T07:19:19Z</dcterms:modified>
</cp:coreProperties>
</file>