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sheetId="21"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16" i="66"/>
  <c r="G15"/>
  <c r="E11" i="68" l="1"/>
  <c r="J15"/>
  <c r="K2"/>
  <c r="L6"/>
  <c r="F19" i="6" l="1"/>
  <c r="L3" i="68"/>
  <c r="L4"/>
  <c r="L5"/>
  <c r="L7"/>
  <c r="L8"/>
  <c r="L9"/>
  <c r="L10"/>
  <c r="L2"/>
  <c r="K3"/>
  <c r="K4"/>
  <c r="K5"/>
  <c r="K6"/>
  <c r="K7"/>
  <c r="K8"/>
  <c r="K9"/>
  <c r="K10"/>
  <c r="J11"/>
  <c r="I7" i="21" l="1"/>
  <c r="G7"/>
  <c r="E7"/>
  <c r="C12" i="39"/>
  <c r="C40" l="1"/>
  <c r="AN17" i="3"/>
  <c r="AD15"/>
  <c r="AL16"/>
  <c r="K14"/>
  <c r="A3"/>
  <c r="H7" i="68"/>
  <c r="B7" i="4"/>
  <c r="D3"/>
  <c r="D7" i="59" l="1"/>
  <c r="AH5" l="1"/>
  <c r="AG5"/>
  <c r="AE5"/>
  <c r="AF5" s="1"/>
  <c r="AD5"/>
  <c r="Q5"/>
  <c r="P5"/>
  <c r="O5"/>
  <c r="N5"/>
  <c r="I3" l="1"/>
  <c r="L3"/>
  <c r="K3"/>
  <c r="J3"/>
  <c r="AE6" l="1"/>
  <c r="AF6" s="1"/>
  <c r="AG6"/>
  <c r="AH6"/>
  <c r="AD6"/>
  <c r="Q6" l="1"/>
  <c r="AB5" s="1"/>
  <c r="P6"/>
  <c r="AA5" s="1"/>
  <c r="O6"/>
  <c r="Y5" s="1"/>
  <c r="Z5" s="1"/>
  <c r="N6"/>
  <c r="X5" s="1"/>
  <c r="N7" l="1"/>
  <c r="Q7"/>
  <c r="P7"/>
  <c r="O7"/>
  <c r="K59" i="15" l="1"/>
  <c r="P62" s="1"/>
  <c r="P75" l="1"/>
  <c r="Q74" i="44" l="1"/>
  <c r="Q61"/>
  <c r="Q60"/>
  <c r="Q53"/>
  <c r="J51"/>
  <c r="J52" s="1"/>
  <c r="M48"/>
  <c r="A16" i="55" l="1"/>
  <c r="A15"/>
  <c r="A11"/>
  <c r="A10"/>
  <c r="A9"/>
  <c r="A8"/>
  <c r="A6" i="54"/>
  <c r="A8"/>
  <c r="A7"/>
  <c r="A28" i="51"/>
  <c r="A27"/>
  <c r="D5" i="46" l="1"/>
  <c r="Q8" i="59" l="1"/>
  <c r="AB6" s="1"/>
  <c r="O8"/>
  <c r="Y6" s="1"/>
  <c r="Z6" s="1"/>
  <c r="N9"/>
  <c r="O9"/>
  <c r="P9"/>
  <c r="Q9"/>
  <c r="N8"/>
  <c r="X6" s="1"/>
  <c r="P8"/>
  <c r="AA6" s="1"/>
  <c r="B10"/>
  <c r="C10"/>
  <c r="D10" s="1"/>
  <c r="E10"/>
  <c r="F10"/>
  <c r="E12" i="67"/>
  <c r="B11"/>
  <c r="B10"/>
  <c r="E13"/>
  <c r="F9"/>
  <c r="B12"/>
  <c r="F12"/>
  <c r="E8"/>
  <c r="B13"/>
  <c r="F10"/>
  <c r="B8"/>
  <c r="B9"/>
  <c r="E11"/>
  <c r="F14"/>
  <c r="E14"/>
  <c r="F11"/>
  <c r="F8"/>
  <c r="F13"/>
  <c r="E10"/>
  <c r="E9"/>
  <c r="B14"/>
  <c r="K75" i="9" l="1"/>
  <c r="K6" i="4"/>
  <c r="O76" i="9" s="1"/>
  <c r="L76" l="1"/>
  <c r="K76"/>
  <c r="K77" s="1"/>
  <c r="K79" s="1"/>
  <c r="K81" s="1"/>
  <c r="B22" i="31"/>
  <c r="E15" i="66" l="1"/>
  <c r="F15"/>
  <c r="E16"/>
  <c r="F16"/>
  <c r="E17"/>
  <c r="F17"/>
  <c r="E18"/>
  <c r="F18"/>
  <c r="E19"/>
  <c r="F19"/>
  <c r="E20"/>
  <c r="F20"/>
  <c r="E21"/>
  <c r="F21"/>
  <c r="E22"/>
  <c r="F22"/>
  <c r="E23"/>
  <c r="F23"/>
  <c r="B3"/>
  <c r="M19" i="46" l="1"/>
  <c r="V10" i="59" l="1"/>
  <c r="U10"/>
  <c r="T10"/>
  <c r="S10"/>
  <c r="B9" l="1"/>
  <c r="B8" s="1"/>
  <c r="B6" s="1"/>
  <c r="E9"/>
  <c r="E8" s="1"/>
  <c r="E6" s="1"/>
  <c r="C9"/>
  <c r="F9"/>
  <c r="F8" s="1"/>
  <c r="F6" s="1"/>
  <c r="F5" l="1"/>
  <c r="V6"/>
  <c r="E5"/>
  <c r="U6"/>
  <c r="B5"/>
  <c r="S6"/>
  <c r="D9"/>
  <c r="C8"/>
  <c r="AD3"/>
  <c r="AE3"/>
  <c r="AF3" s="1"/>
  <c r="AG3"/>
  <c r="AH3"/>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H21"/>
  <c r="AG21"/>
  <c r="AE21"/>
  <c r="AF21" s="1"/>
  <c r="AD21"/>
  <c r="AD22"/>
  <c r="AE22"/>
  <c r="AF22"/>
  <c r="AG22"/>
  <c r="AH22"/>
  <c r="X11"/>
  <c r="Y11"/>
  <c r="Z11" s="1"/>
  <c r="AA11"/>
  <c r="AB11"/>
  <c r="X12"/>
  <c r="Y12"/>
  <c r="Z12"/>
  <c r="AA12"/>
  <c r="AB12"/>
  <c r="X13"/>
  <c r="Y13"/>
  <c r="Z13" s="1"/>
  <c r="AA13"/>
  <c r="AB13"/>
  <c r="X14"/>
  <c r="Y14"/>
  <c r="Z14"/>
  <c r="AA14"/>
  <c r="AB14"/>
  <c r="X15"/>
  <c r="Y15"/>
  <c r="Z15" s="1"/>
  <c r="AA15"/>
  <c r="AB15"/>
  <c r="X16"/>
  <c r="Y16"/>
  <c r="Z16"/>
  <c r="AA16"/>
  <c r="AB16"/>
  <c r="X17"/>
  <c r="Y17"/>
  <c r="Z17" s="1"/>
  <c r="AA17"/>
  <c r="AB17"/>
  <c r="X18"/>
  <c r="Y18"/>
  <c r="Z18"/>
  <c r="AA18"/>
  <c r="AB18"/>
  <c r="X19"/>
  <c r="Y19"/>
  <c r="Z19" s="1"/>
  <c r="AA19"/>
  <c r="AB19"/>
  <c r="AB20"/>
  <c r="AA20"/>
  <c r="Y20"/>
  <c r="X20"/>
  <c r="D8" l="1"/>
  <c r="S2" i="31"/>
  <c r="M2"/>
  <c r="N2"/>
  <c r="O2"/>
  <c r="P2"/>
  <c r="Q2"/>
  <c r="R2"/>
  <c r="C6" i="59" l="1"/>
  <c r="C3" i="65"/>
  <c r="C1"/>
  <c r="N1" s="1"/>
  <c r="N7"/>
  <c r="C5" i="59" l="1"/>
  <c r="D5" s="1"/>
  <c r="T6"/>
  <c r="D6"/>
  <c r="H1" i="65"/>
  <c r="B76" i="63"/>
  <c r="I4" i="65"/>
  <c r="J7"/>
  <c r="J4"/>
  <c r="J5"/>
  <c r="N6"/>
  <c r="I6"/>
  <c r="N4"/>
  <c r="I3"/>
  <c r="J6"/>
  <c r="N3"/>
  <c r="I5"/>
  <c r="I7"/>
  <c r="J3"/>
  <c r="N5"/>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P20"/>
  <c r="O20"/>
  <c r="N20"/>
  <c r="Q19"/>
  <c r="F20" s="1"/>
  <c r="P19"/>
  <c r="E20" s="1"/>
  <c r="E21" s="1"/>
  <c r="E22" s="1"/>
  <c r="U22" s="1"/>
  <c r="O19"/>
  <c r="C20" s="1"/>
  <c r="N19"/>
  <c r="B20" s="1"/>
  <c r="B21" s="1"/>
  <c r="B22" s="1"/>
  <c r="S22" s="1"/>
  <c r="D19"/>
  <c r="Q18"/>
  <c r="P18"/>
  <c r="O18"/>
  <c r="N18"/>
  <c r="Q17"/>
  <c r="P17"/>
  <c r="O17"/>
  <c r="N17"/>
  <c r="Q16"/>
  <c r="P16"/>
  <c r="O16"/>
  <c r="N16"/>
  <c r="Q15"/>
  <c r="F16" s="1"/>
  <c r="P15"/>
  <c r="E16" s="1"/>
  <c r="E17" s="1"/>
  <c r="E18" s="1"/>
  <c r="U18" s="1"/>
  <c r="O15"/>
  <c r="C16" s="1"/>
  <c r="N15"/>
  <c r="B16" s="1"/>
  <c r="B17" s="1"/>
  <c r="B18" s="1"/>
  <c r="S18" s="1"/>
  <c r="D15"/>
  <c r="Q14"/>
  <c r="P14"/>
  <c r="O14"/>
  <c r="N14"/>
  <c r="Q13"/>
  <c r="P13"/>
  <c r="O13"/>
  <c r="N13"/>
  <c r="Q12"/>
  <c r="P12"/>
  <c r="O12"/>
  <c r="N12"/>
  <c r="Q11"/>
  <c r="F12" s="1"/>
  <c r="P11"/>
  <c r="O11"/>
  <c r="C12" s="1"/>
  <c r="N11"/>
  <c r="B12" s="1"/>
  <c r="D11"/>
  <c r="X3" l="1"/>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P47" i="59" l="1"/>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T42" i="59" l="1"/>
  <c r="D42"/>
  <c r="T14"/>
  <c r="D14"/>
  <c r="T22"/>
  <c r="D22"/>
  <c r="T26"/>
  <c r="D26"/>
  <c r="T34"/>
  <c r="D34"/>
  <c r="T38"/>
  <c r="D38"/>
  <c r="T46"/>
  <c r="D46"/>
  <c r="T18"/>
  <c r="D18"/>
  <c r="O48"/>
  <c r="D48"/>
  <c r="O47"/>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c r="F117" s="1"/>
  <c r="G117" s="1"/>
  <c r="D115"/>
  <c r="E115" s="1"/>
  <c r="F115" s="1"/>
  <c r="G115" s="1"/>
  <c r="H115" s="1"/>
  <c r="I115" s="1"/>
  <c r="J115" s="1"/>
  <c r="K115" s="1"/>
  <c r="L115" s="1"/>
  <c r="M115" s="1"/>
  <c r="D113"/>
  <c r="E113" s="1"/>
  <c r="F113" s="1"/>
  <c r="G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A38" i="21"/>
  <c r="AC35"/>
  <c r="C29" i="39"/>
  <c r="C23"/>
  <c r="U36"/>
  <c r="S42"/>
  <c r="H32" i="33"/>
  <c r="AB32"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S10" i="21"/>
  <c r="W40" i="33"/>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A36" i="21"/>
  <c r="S39" i="33"/>
  <c r="F43"/>
  <c r="AA43" s="1"/>
  <c r="AA23" i="37"/>
  <c r="S10" i="35"/>
  <c r="AB44" i="33"/>
  <c r="G107" i="37"/>
  <c r="H107" s="1"/>
  <c r="I107" s="1"/>
  <c r="J107" s="1"/>
  <c r="K107" s="1"/>
  <c r="L107" s="1"/>
  <c r="M10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F9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U39"/>
  <c r="W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AB10"/>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27" i="43"/>
  <c r="F66" i="9"/>
  <c r="P72" s="1"/>
  <c r="F71"/>
  <c r="F72"/>
  <c r="AC14" i="40"/>
  <c r="W35"/>
  <c r="S33"/>
  <c r="AB32"/>
  <c r="S47" i="39"/>
  <c r="U37" i="34"/>
  <c r="AB37"/>
  <c r="AC41" i="40"/>
  <c r="W41"/>
  <c r="U41"/>
  <c r="J23"/>
  <c r="AC23" s="1"/>
  <c r="G92"/>
  <c r="F23"/>
  <c r="S23" s="1"/>
  <c r="AC15"/>
  <c r="W15"/>
  <c r="S23" i="39"/>
  <c r="W14"/>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6" i="40"/>
  <c r="W34"/>
  <c r="AB34"/>
  <c r="AB42"/>
  <c r="U42"/>
  <c r="AC16"/>
  <c r="W32"/>
  <c r="H25"/>
  <c r="AB25" s="1"/>
  <c r="F94"/>
  <c r="G94" s="1"/>
  <c r="U47" i="39"/>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U34"/>
  <c r="AB46"/>
  <c r="AB44"/>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E2" i="65"/>
  <c r="H113" i="21" l="1"/>
  <c r="F37"/>
  <c r="S37" s="1"/>
  <c r="J37"/>
  <c r="W37" s="1"/>
  <c r="H37"/>
  <c r="U37" s="1"/>
  <c r="A14" i="55"/>
  <c r="B65" i="63" s="1"/>
  <c r="U42" i="21"/>
  <c r="W42"/>
  <c r="U43"/>
  <c r="AB36"/>
  <c r="U40"/>
  <c r="AC40"/>
  <c r="U19"/>
  <c r="S19"/>
  <c r="U17"/>
  <c r="AA9"/>
  <c r="U9"/>
  <c r="W43" i="39"/>
  <c r="AC47"/>
  <c r="AA33"/>
  <c r="AC33"/>
  <c r="AB29"/>
  <c r="AB17"/>
  <c r="U27"/>
  <c r="W27"/>
  <c r="AB25"/>
  <c r="S17"/>
  <c r="W15"/>
  <c r="AB16"/>
  <c r="U40"/>
  <c r="C18" i="9"/>
  <c r="A30" i="64"/>
  <c r="A30" i="51"/>
  <c r="G14" i="3"/>
  <c r="C10" i="15"/>
  <c r="C52"/>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A4" i="64"/>
  <c r="A4" i="51"/>
  <c r="B6" i="63" s="1"/>
  <c r="C51" i="10"/>
  <c r="H58" i="46"/>
  <c r="H61"/>
  <c r="H62"/>
  <c r="H71"/>
  <c r="H75"/>
  <c r="H76"/>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F43"/>
  <c r="F40"/>
  <c r="J17" i="44"/>
  <c r="M9" i="15"/>
  <c r="F28" i="44"/>
  <c r="J15" i="15"/>
  <c r="F37"/>
  <c r="M26" i="44"/>
  <c r="M24" i="15"/>
  <c r="F11" i="44"/>
  <c r="F36" i="15"/>
  <c r="F38" i="44"/>
  <c r="L49"/>
  <c r="F10"/>
  <c r="M28" i="15"/>
  <c r="F8"/>
  <c r="M8" i="44"/>
  <c r="F26" i="15"/>
  <c r="F9" i="44"/>
  <c r="M29"/>
  <c r="M24"/>
  <c r="M6" i="15"/>
  <c r="J36"/>
  <c r="F13"/>
  <c r="M31" i="44"/>
  <c r="F42" i="15"/>
  <c r="F43" i="44"/>
  <c r="M23" i="15"/>
  <c r="M10" i="44"/>
  <c r="F9" i="15"/>
  <c r="L47"/>
  <c r="F6"/>
  <c r="M29"/>
  <c r="M8"/>
  <c r="F16"/>
  <c r="F18" i="44"/>
  <c r="F8"/>
  <c r="L48"/>
  <c r="M30"/>
  <c r="F40"/>
  <c r="M26" i="15"/>
  <c r="M11" i="44"/>
  <c r="L48" i="15"/>
  <c r="F15" i="44"/>
  <c r="F45"/>
  <c r="F7" i="15"/>
  <c r="F39" i="44"/>
  <c r="F38" i="15"/>
  <c r="M22"/>
  <c r="M25" i="44"/>
  <c r="M27" i="15"/>
  <c r="M28" i="44"/>
  <c r="E413" i="3" l="1"/>
  <c r="C33" i="21"/>
  <c r="G3" i="46"/>
  <c r="H22" s="1"/>
  <c r="C11" i="21"/>
  <c r="C13" i="39"/>
  <c r="AC23" i="21"/>
  <c r="AB11" i="46"/>
  <c r="AB13" s="1"/>
  <c r="G6" i="1"/>
  <c r="L58" i="15"/>
  <c r="Q74" s="1"/>
  <c r="L59"/>
  <c r="Q75" s="1"/>
  <c r="J53"/>
  <c r="F1" s="1"/>
  <c r="I54"/>
  <c r="I55" i="44"/>
  <c r="J54"/>
  <c r="L60"/>
  <c r="Q63" s="1"/>
  <c r="L59"/>
  <c r="Q75" s="1"/>
  <c r="J60"/>
  <c r="J58"/>
  <c r="J56" s="1"/>
  <c r="J59" s="1"/>
  <c r="Q52" s="1"/>
  <c r="L57"/>
  <c r="J61"/>
  <c r="Q50" s="1"/>
  <c r="E86" i="3"/>
  <c r="AE11" i="46"/>
  <c r="AE13" s="1"/>
  <c r="F29" i="6"/>
  <c r="F28"/>
  <c r="Q73"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A9" i="64"/>
  <c r="A9" i="51"/>
  <c r="B9" i="63" s="1"/>
  <c r="T8" i="46"/>
  <c r="V8" s="1"/>
  <c r="T10"/>
  <c r="V10" s="1"/>
  <c r="T12"/>
  <c r="V12" s="1"/>
  <c r="T14"/>
  <c r="V14" s="1"/>
  <c r="T16"/>
  <c r="V16" s="1"/>
  <c r="T9"/>
  <c r="V9" s="1"/>
  <c r="T11"/>
  <c r="V11" s="1"/>
  <c r="T13"/>
  <c r="V13" s="1"/>
  <c r="T15"/>
  <c r="V15" s="1"/>
  <c r="E34"/>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7"/>
  <c r="AE6"/>
  <c r="F31" i="15"/>
  <c r="F58"/>
  <c r="M17"/>
  <c r="M19" i="44"/>
  <c r="F33"/>
  <c r="C18"/>
  <c r="F41" i="15"/>
  <c r="F46" i="44"/>
  <c r="C16" i="15"/>
  <c r="J11" i="21" l="1"/>
  <c r="F11"/>
  <c r="H11"/>
  <c r="J33"/>
  <c r="F33"/>
  <c r="H33"/>
  <c r="F13" i="39"/>
  <c r="H13"/>
  <c r="J13"/>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L52" i="44"/>
  <c r="F7" i="67"/>
  <c r="AB13" i="39" l="1"/>
  <c r="U13"/>
  <c r="U33" i="21"/>
  <c r="AB33"/>
  <c r="W33"/>
  <c r="AC33"/>
  <c r="S11"/>
  <c r="AA11"/>
  <c r="AC13" i="39"/>
  <c r="W13"/>
  <c r="AA13"/>
  <c r="S13"/>
  <c r="AA33" i="21"/>
  <c r="S33"/>
  <c r="U11"/>
  <c r="AB11"/>
  <c r="W11"/>
  <c r="AC1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9" i="44"/>
  <c r="E7" i="67"/>
  <c r="C17" i="15"/>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6" i="44"/>
  <c r="C14" i="15"/>
  <c r="B2" i="21" l="1"/>
  <c r="C10" i="12" s="1"/>
  <c r="C6" s="1"/>
  <c r="C8"/>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3" i="44"/>
  <c r="F37"/>
  <c r="M21" i="15"/>
  <c r="C29" i="12" l="1"/>
  <c r="C24"/>
  <c r="C21" i="44"/>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35" s="1"/>
  <c r="C33" s="1"/>
  <c r="C19" i="43"/>
  <c r="C22" s="1"/>
  <c r="C21" s="1"/>
  <c r="K67" i="40"/>
  <c r="L65"/>
  <c r="K72" i="39"/>
  <c r="L70"/>
  <c r="C33" i="44" l="1"/>
  <c r="J21"/>
  <c r="J19" s="1"/>
  <c r="Q51"/>
  <c r="C15"/>
  <c r="C38"/>
  <c r="J16"/>
  <c r="J15" s="1"/>
  <c r="J25" s="1"/>
  <c r="J19" i="15"/>
  <c r="J17" s="1"/>
  <c r="J14"/>
  <c r="J22" s="1"/>
  <c r="C56"/>
  <c r="C63" s="1"/>
  <c r="Q50"/>
  <c r="C13"/>
  <c r="J35" s="1"/>
  <c r="C36"/>
  <c r="C28" i="12"/>
  <c r="C26" s="1"/>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C44" i="44" l="1"/>
  <c r="C45" s="1"/>
  <c r="B2" s="1"/>
  <c r="B4" s="1"/>
  <c r="C30" i="15"/>
  <c r="C39" s="1"/>
  <c r="Q70" s="1"/>
  <c r="Q69" s="1"/>
  <c r="C58"/>
  <c r="C57" s="1"/>
  <c r="C66" s="1"/>
  <c r="C67" s="1"/>
  <c r="C70" s="1"/>
  <c r="Q70" i="44"/>
  <c r="Q49"/>
  <c r="Q55" s="1"/>
  <c r="Q58"/>
  <c r="Q64" s="1"/>
  <c r="B3" i="12"/>
  <c r="B4"/>
  <c r="L44" i="9"/>
  <c r="B5" i="12"/>
  <c r="B3" i="43"/>
  <c r="B5"/>
  <c r="B4"/>
  <c r="J9" i="40"/>
  <c r="F9"/>
  <c r="H9"/>
  <c r="J9" i="39"/>
  <c r="H9"/>
  <c r="F9"/>
  <c r="D20" i="9"/>
  <c r="D21"/>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G20" l="1"/>
  <c r="G21"/>
  <c r="C45"/>
  <c r="H14" i="66" s="1"/>
  <c r="B7" s="1"/>
  <c r="G22" i="9"/>
  <c r="N43"/>
  <c r="D7" i="66" l="1"/>
  <c r="C7"/>
  <c r="C42" i="9"/>
  <c r="O38"/>
  <c r="K25" s="1"/>
  <c r="C34"/>
  <c r="C33"/>
  <c r="O43"/>
  <c r="C35"/>
  <c r="F42" s="1"/>
  <c r="C44" l="1"/>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<sst xmlns="http://schemas.openxmlformats.org/spreadsheetml/2006/main" count="7000" uniqueCount="3093">
  <si>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</si>
  <si>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</si>
  <si>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</si>
  <si>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</si>
  <si>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</si>
  <si>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</si>
  <si>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</si>
  <si>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</si>
  <si>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</si>
  <si>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</si>
  <si>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</si>
  <si>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</si>
  <si>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</si>
  <si>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</si>
  <si>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</si>
  <si>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</si>
  <si>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</si>
  <si>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</si>
  <si>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</si>
  <si>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</si>
  <si>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</si>
  <si>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</si>
  <si>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</si>
  <si>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</si>
  <si>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</si>
  <si>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</si>
  <si>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</si>
  <si>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</si>
  <si>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</si>
  <si>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</si>
  <si>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</si>
  <si>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</si>
  <si>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</si>
  <si>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</si>
  <si>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</si>
  <si>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</si>
  <si>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</si>
  <si>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</si>
  <si>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</si>
  <si>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</si>
  <si>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</si>
  <si>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</si>
  <si>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</si>
  <si>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</si>
  <si>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</si>
  <si>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</si>
  <si>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</si>
  <si>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</si>
  <si>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</si>
  <si>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</si>
  <si>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</si>
  <si>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</si>
  <si>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</si>
  <si>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</si>
  <si>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</si>
  <si>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</si>
  <si>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</si>
  <si>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</si>
  <si>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</si>
  <si>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</si>
  <si>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</si>
  <si>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</si>
  <si>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</si>
  <si>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</si>
  <si>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</si>
  <si>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</si>
  <si>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</si>
  <si>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</si>
  <si>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</si>
  <si>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</si>
  <si>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</si>
  <si>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</si>
  <si>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</si>
  <si>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</si>
  <si>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</si>
  <si>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</si>
  <si>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</si>
  <si>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</si>
  <si>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</si>
  <si>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</si>
  <si>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</si>
  <si>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</si>
  <si>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</si>
  <si>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</si>
  <si>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</si>
  <si>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</si>
  <si>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</si>
  <si>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</si>
  <si>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</si>
  <si>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</si>
  <si>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</si>
  <si>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</si>
  <si>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</si>
  <si>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</si>
  <si>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</si>
  <si>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</si>
  <si>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</si>
  <si>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</si>
  <si>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</si>
  <si>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</si>
  <si>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</si>
  <si>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</si>
  <si>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</si>
  <si>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</si>
  <si>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</si>
  <si>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</si>
  <si>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</si>
  <si>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</si>
  <si>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</si>
  <si>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</si>
  <si>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</si>
  <si>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</si>
  <si>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</si>
  <si>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</si>
  <si>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</si>
  <si>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</si>
  <si>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</si>
  <si>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</si>
  <si>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</si>
  <si>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</si>
  <si>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</si>
  <si>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</si>
  <si>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</si>
  <si>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</si>
  <si>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</si>
  <si>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</si>
  <si>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</si>
  <si>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</si>
  <si>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</si>
  <si>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</si>
  <si>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</si>
  <si>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</si>
  <si>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</si>
  <si>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</si>
  <si>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</si>
  <si>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</si>
  <si>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</si>
  <si>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</si>
  <si>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</si>
  <si>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</si>
  <si>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</si>
  <si>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</si>
  <si>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</si>
  <si>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</si>
  <si>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</si>
  <si>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</si>
  <si>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</si>
  <si>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</si>
  <si>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</si>
  <si>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</si>
  <si>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</si>
  <si>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</si>
  <si>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</si>
  <si>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</si>
  <si>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</si>
  <si>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</si>
  <si>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</si>
  <si>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</si>
  <si>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</si>
  <si>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</si>
  <si>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</si>
  <si>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</si>
  <si>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</si>
  <si>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</si>
  <si>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</si>
  <si>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</si>
  <si>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</si>
  <si>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</si>
  <si>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</si>
  <si>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</si>
  <si>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</si>
  <si>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</si>
  <si>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</si>
  <si>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</si>
  <si>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</si>
  <si>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</si>
  <si>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</si>
  <si>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</si>
  <si>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</si>
  <si>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</si>
  <si>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</si>
  <si>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</si>
  <si>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</si>
  <si>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</si>
  <si>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</si>
  <si>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</si>
  <si>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</si>
  <si>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</si>
  <si>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</si>
  <si>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</si>
  <si>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</si>
  <si>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</si>
  <si>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</si>
  <si>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</si>
  <si>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</si>
  <si>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</si>
  <si>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</si>
  <si>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</si>
  <si>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</si>
  <si>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</si>
  <si>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</si>
  <si>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</si>
  <si>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</si>
  <si>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</si>
  <si>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</si>
  <si>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</si>
  <si>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</si>
  <si>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</si>
  <si>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</si>
  <si>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</si>
  <si>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</si>
  <si>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</si>
  <si>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</si>
  <si>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</si>
  <si>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</si>
  <si>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</si>
  <si>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</si>
  <si>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</si>
  <si>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</si>
  <si>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</si>
  <si>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</si>
  <si>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</si>
  <si>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</si>
  <si>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</si>
  <si>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</si>
  <si>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</si>
  <si>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</si>
  <si>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</si>
  <si>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</si>
  <si>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</si>
  <si>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</si>
  <si>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</si>
  <si>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</si>
  <si>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</si>
  <si>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</si>
  <si>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</si>
  <si>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</si>
  <si>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</si>
  <si>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</si>
  <si>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</si>
  <si>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</si>
  <si>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</si>
  <si>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</si>
  <si>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</si>
  <si>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</si>
  <si>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</si>
  <si>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</si>
  <si>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</si>
  <si>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</si>
  <si>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</si>
  <si>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</si>
  <si>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</si>
  <si>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</si>
  <si>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</si>
  <si>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</si>
  <si>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</si>
  <si>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</si>
  <si>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</si>
  <si>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</si>
  <si>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</si>
  <si>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</si>
  <si>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</si>
  <si>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</si>
  <si>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</si>
  <si>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</si>
  <si>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</si>
  <si>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</si>
  <si>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</si>
  <si>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</si>
  <si>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</si>
  <si>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</si>
  <si>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</si>
  <si>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</si>
  <si>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</si>
  <si>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</si>
  <si>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</si>
  <si>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</si>
  <si>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</si>
  <si>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</si>
  <si>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</si>
  <si>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</si>
  <si>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</si>
  <si>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</si>
  <si>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</si>
  <si>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</si>
  <si>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</si>
  <si>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</si>
  <si>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</si>
  <si>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</si>
  <si>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</si>
  <si>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</si>
  <si>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</si>
  <si>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</si>
  <si>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</si>
  <si>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</si>
  <si>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</si>
  <si>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</si>
  <si>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</si>
  <si>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</si>
  <si>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</si>
  <si>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</si>
  <si>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</si>
  <si>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</si>
  <si>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</si>
  <si>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</si>
  <si>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</si>
  <si>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</si>
  <si>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</si>
  <si>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</si>
  <si>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</si>
  <si>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</si>
  <si>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</si>
  <si>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</si>
  <si>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</si>
  <si>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</si>
  <si>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</si>
  <si>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</si>
  <si>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</si>
  <si>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</si>
  <si>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</si>
  <si>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</si>
  <si>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</si>
  <si>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</si>
  <si>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</si>
  <si>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</si>
  <si>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</si>
  <si>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</si>
  <si>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</si>
  <si>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</si>
  <si>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</si>
  <si>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</si>
  <si>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</si>
  <si>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</si>
  <si>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</si>
  <si>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</si>
  <si>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</si>
  <si>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</si>
  <si>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</si>
  <si>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</si>
  <si>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</si>
  <si>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</si>
  <si>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</si>
  <si>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</si>
  <si>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</si>
  <si>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</si>
  <si>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</si>
  <si>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</si>
  <si>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</si>
  <si>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</si>
  <si>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</si>
  <si>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</si>
  <si>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</si>
  <si>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</si>
  <si>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</si>
  <si>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</si>
  <si>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</si>
  <si>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</si>
  <si>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</si>
  <si>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</si>
  <si>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</si>
  <si>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</si>
  <si>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</si>
  <si>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</si>
  <si>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</si>
  <si>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</si>
  <si>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</si>
  <si>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</si>
  <si>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</si>
  <si>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</si>
  <si>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</si>
  <si>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</si>
  <si>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</si>
  <si>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</si>
  <si>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</si>
  <si>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</si>
  <si>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</si>
  <si>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</si>
  <si>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</si>
  <si>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</si>
  <si>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</si>
  <si>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</si>
  <si>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</si>
  <si>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</si>
  <si>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</si>
  <si>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</si>
  <si>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</si>
  <si>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</si>
  <si>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</si>
  <si>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</si>
  <si>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</si>
  <si>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</si>
  <si>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</si>
  <si>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</si>
  <si>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</si>
  <si>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</si>
  <si>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</si>
  <si>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</si>
  <si>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</si>
  <si>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</si>
  <si>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</si>
  <si>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</si>
  <si>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</si>
  <si>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</si>
  <si>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</si>
  <si>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</si>
  <si>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</si>
  <si>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</si>
  <si>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</si>
  <si>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</si>
  <si>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</si>
  <si>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</si>
  <si>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</si>
  <si>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</si>
  <si>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</si>
  <si>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</si>
  <si>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</si>
  <si>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</si>
  <si>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</si>
  <si>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</si>
  <si>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</si>
  <si>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</si>
  <si>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</si>
  <si>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</si>
  <si>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</si>
  <si>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</si>
  <si>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</si>
  <si>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</si>
  <si>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</si>
  <si>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</si>
  <si>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</si>
  <si>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</si>
  <si>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</si>
  <si>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</si>
  <si>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</si>
  <si>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</si>
  <si>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</si>
  <si>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</si>
  <si>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</si>
  <si>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</si>
  <si>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</si>
  <si>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</si>
  <si>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</si>
  <si>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</si>
  <si>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</si>
  <si>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</si>
  <si>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</si>
  <si>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</si>
  <si>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</si>
  <si>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</si>
  <si>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</si>
  <si>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</si>
  <si>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</si>
  <si>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</si>
  <si>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</si>
  <si>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</si>
  <si>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</si>
  <si>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</si>
  <si>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</si>
  <si>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</si>
  <si>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</si>
  <si>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</si>
  <si>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</si>
  <si>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</si>
  <si>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</si>
  <si>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</si>
  <si>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</si>
  <si>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</si>
  <si>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</si>
  <si>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</si>
  <si>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</si>
  <si>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</si>
  <si>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</si>
  <si>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</si>
  <si>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</si>
  <si>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</si>
  <si>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</si>
  <si>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</si>
  <si>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</si>
  <si>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</si>
  <si>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</si>
  <si>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</si>
  <si>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</si>
  <si>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</si>
  <si>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</si>
  <si>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</si>
  <si>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</si>
  <si>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</si>
  <si>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</si>
  <si>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</si>
  <si>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</si>
  <si>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</si>
  <si>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</si>
  <si>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</si>
  <si>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</si>
  <si>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</si>
  <si>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</si>
  <si>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</si>
  <si>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</si>
  <si>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</si>
  <si>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</si>
  <si>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</si>
  <si>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</si>
  <si>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</si>
  <si>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</si>
  <si>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</si>
  <si>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</si>
  <si>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</si>
  <si>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</si>
  <si>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</si>
  <si>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</si>
  <si>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</si>
  <si>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</si>
  <si>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</si>
  <si>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</si>
  <si>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</si>
  <si>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</si>
  <si>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</si>
  <si>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</si>
  <si>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</si>
  <si>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</si>
  <si>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</si>
  <si>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</si>
  <si>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</si>
  <si>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</si>
  <si>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</si>
  <si>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</si>
  <si>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</si>
  <si>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</si>
  <si>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</si>
  <si>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</si>
  <si>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</si>
  <si>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</si>
  <si>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</si>
  <si>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</si>
  <si>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</si>
  <si>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</si>
  <si>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</si>
  <si>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</si>
  <si>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</si>
  <si>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</si>
  <si>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</si>
  <si>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</si>
  <si>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</si>
  <si>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</si>
  <si>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</si>
  <si>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</si>
  <si>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</si>
  <si>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</si>
  <si>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</si>
  <si>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</si>
  <si>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</si>
  <si>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</si>
  <si>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</si>
  <si>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</si>
  <si>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</si>
  <si>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</si>
  <si>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</si>
  <si>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</si>
  <si>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</si>
  <si>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</si>
  <si>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</si>
  <si>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</si>
  <si>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</si>
  <si>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</si>
  <si>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</si>
  <si>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</si>
  <si>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</si>
  <si>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</si>
  <si>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</si>
  <si>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</si>
  <si>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</si>
  <si>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</si>
  <si>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</si>
  <si>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</si>
  <si>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</si>
  <si>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</si>
  <si>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</si>
  <si>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</si>
  <si>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</si>
  <si>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</si>
  <si>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</si>
  <si>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</si>
  <si>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</si>
  <si>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</si>
  <si>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</si>
  <si>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</si>
  <si>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</si>
  <si>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</si>
  <si>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</si>
  <si>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</si>
  <si>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</si>
  <si>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</si>
  <si>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</si>
  <si>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</si>
  <si>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</si>
  <si>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</si>
  <si>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</si>
  <si>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</si>
  <si>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</si>
  <si>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</si>
  <si>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</si>
  <si>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</si>
  <si>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</si>
  <si>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</si>
  <si>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</si>
  <si>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</si>
  <si>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</si>
  <si>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</si>
  <si>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</si>
  <si>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</si>
  <si>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</si>
  <si>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</si>
  <si>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</si>
  <si>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</si>
  <si>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</si>
  <si>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</si>
  <si>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</si>
  <si>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</si>
  <si>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</si>
  <si>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</si>
  <si>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</si>
  <si>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</si>
  <si>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</si>
  <si>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</si>
  <si>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</si>
  <si>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</si>
  <si>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</si>
  <si>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</si>
  <si>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</si>
  <si>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</si>
  <si>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</si>
  <si>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</si>
  <si>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</si>
  <si>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</si>
  <si>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</si>
  <si>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</si>
  <si>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</si>
  <si>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</si>
  <si>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</si>
  <si>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</si>
  <si>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</si>
  <si>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</si>
  <si>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</si>
  <si>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</si>
  <si>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</si>
  <si>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</si>
  <si>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</si>
  <si>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</si>
  <si>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</si>
  <si>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</si>
  <si>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</si>
  <si>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</si>
  <si>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</si>
  <si>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</si>
  <si>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</si>
  <si>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</si>
  <si>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</si>
  <si>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</si>
  <si>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</si>
  <si>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</si>
  <si>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</si>
  <si>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</si>
  <si>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</si>
  <si>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</si>
  <si>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</si>
  <si>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</si>
  <si>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</si>
  <si>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</si>
  <si>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</si>
  <si>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</si>
  <si>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</si>
  <si>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</si>
  <si>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</si>
  <si>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</si>
  <si>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</si>
  <si>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</si>
  <si>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</si>
  <si>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</si>
  <si>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</si>
  <si>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</si>
  <si>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</si>
  <si>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</si>
  <si>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</si>
  <si>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</si>
  <si>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</si>
  <si>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</si>
  <si>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</si>
  <si>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</si>
  <si>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</si>
  <si>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</si>
  <si>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</si>
  <si>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</si>
  <si>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</si>
  <si>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</si>
  <si>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</si>
  <si>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</si>
  <si>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</si>
  <si>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</si>
  <si>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</si>
  <si>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</si>
  <si>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</si>
  <si>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</si>
  <si>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</si>
  <si>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</si>
  <si>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</si>
  <si>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</si>
  <si>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</si>
  <si>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</si>
  <si>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</si>
  <si>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</si>
  <si>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</si>
  <si>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</si>
  <si>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</si>
  <si>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</si>
  <si>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</si>
  <si>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</si>
  <si>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</si>
  <si>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</si>
  <si>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</si>
  <si>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</si>
  <si>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</si>
  <si>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</si>
  <si>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</si>
  <si>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</si>
  <si>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</si>
  <si>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</si>
  <si>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</si>
  <si>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</si>
  <si>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</si>
  <si>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</si>
  <si>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</si>
  <si>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</si>
  <si>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</si>
  <si>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</si>
  <si>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</si>
  <si>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</si>
  <si>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</si>
  <si>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</si>
  <si>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</si>
  <si>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</si>
  <si>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</si>
  <si>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</si>
  <si>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</si>
  <si>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</si>
  <si>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</si>
  <si>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</si>
  <si>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</si>
  <si>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</si>
  <si>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</si>
  <si>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</si>
  <si>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</si>
  <si>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</si>
  <si>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</si>
  <si>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</si>
  <si>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</si>
  <si>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</si>
  <si>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</si>
  <si>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</si>
  <si>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</si>
  <si>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</si>
  <si>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</si>
  <si>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</si>
  <si>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</si>
  <si>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</si>
  <si>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</si>
  <si>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</si>
  <si>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</si>
  <si>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</si>
  <si>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</si>
  <si>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</si>
  <si>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</si>
  <si>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</si>
  <si>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</si>
  <si>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</si>
  <si>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</si>
  <si>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</si>
  <si>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</si>
  <si>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</si>
  <si>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</si>
  <si>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</si>
  <si>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</si>
  <si>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</si>
  <si>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</si>
  <si>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</si>
  <si>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</si>
  <si>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</si>
  <si>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</si>
  <si>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</si>
  <si>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</si>
  <si>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</si>
  <si>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</si>
  <si>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</si>
  <si>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</si>
  <si>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</si>
  <si>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</si>
  <si>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</si>
  <si>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</si>
  <si>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</si>
  <si>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</si>
  <si>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</si>
  <si>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</si>
  <si>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</si>
  <si>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</si>
  <si>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</si>
  <si>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</si>
  <si>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</si>
  <si>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</si>
  <si>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</si>
  <si>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</si>
  <si>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</si>
  <si>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</si>
  <si>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</si>
  <si>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</si>
  <si>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</si>
  <si>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</si>
  <si>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</si>
  <si>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</si>
  <si>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</si>
  <si>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</si>
  <si>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</si>
  <si>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</si>
  <si>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</si>
  <si>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</si>
  <si>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</si>
  <si>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</si>
  <si>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</si>
  <si>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</si>
  <si>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</si>
  <si>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</si>
  <si>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</si>
  <si>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</si>
  <si>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</si>
  <si>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</si>
  <si>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</si>
  <si>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</si>
  <si>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</si>
  <si>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</si>
  <si>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</si>
  <si>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</si>
  <si>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</si>
  <si>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</si>
  <si>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</si>
  <si>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</si>
  <si>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</si>
  <si>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</si>
  <si>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</si>
  <si>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</si>
  <si>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</si>
  <si>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</si>
  <si>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</si>
  <si>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</si>
  <si>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</si>
  <si>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</si>
  <si>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</si>
  <si>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</si>
  <si>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</si>
  <si>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</si>
  <si>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</si>
  <si>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</si>
  <si>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</si>
  <si>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</si>
  <si>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</si>
  <si>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</si>
  <si>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</si>
  <si>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</si>
  <si>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</si>
  <si>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</si>
  <si>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</si>
  <si>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</si>
  <si>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</si>
  <si>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</si>
  <si>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</si>
  <si>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</si>
  <si>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</si>
  <si>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</si>
  <si>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</si>
  <si>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</si>
  <si>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</si>
  <si>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</si>
  <si>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</si>
  <si>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</si>
  <si>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</si>
  <si>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</si>
  <si>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</si>
  <si>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</si>
  <si>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</si>
  <si>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</si>
  <si>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</si>
  <si>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</si>
  <si>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</si>
  <si>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</si>
  <si>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</si>
  <si>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</si>
  <si>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</si>
  <si>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</si>
  <si>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</si>
  <si>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</si>
  <si>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</si>
  <si>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</si>
  <si>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</si>
  <si>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</si>
  <si>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</si>
  <si>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</si>
  <si>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</si>
  <si>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</si>
  <si>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</si>
  <si>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</si>
  <si>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</si>
  <si>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</si>
  <si>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</si>
  <si>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</si>
  <si>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</si>
  <si>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</si>
  <si>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</si>
  <si>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</si>
  <si>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</si>
  <si>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</si>
  <si>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</si>
  <si>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</si>
  <si>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</si>
  <si>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</si>
  <si>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</si>
  <si>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</si>
  <si>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</si>
  <si>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</si>
  <si>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</si>
  <si>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</si>
  <si>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</si>
  <si>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</si>
  <si>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</si>
  <si>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</si>
  <si>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</si>
  <si>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</si>
  <si>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</si>
  <si>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</si>
  <si>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</si>
  <si>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</si>
  <si>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</si>
  <si>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</si>
  <si>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</si>
  <si>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</si>
  <si>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</si>
  <si>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</si>
  <si>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</si>
  <si>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</si>
  <si>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</si>
  <si>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</si>
  <si>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</si>
  <si>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</si>
  <si>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</si>
  <si>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</si>
  <si>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</si>
  <si>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</si>
  <si>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</si>
  <si>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</si>
  <si>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</si>
  <si>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</si>
  <si>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</si>
  <si>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</si>
  <si>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</si>
  <si>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</si>
  <si>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</si>
  <si>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</si>
  <si>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</si>
  <si>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</si>
  <si>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</si>
  <si>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</si>
  <si>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</si>
  <si>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</si>
  <si>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</si>
  <si>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</si>
  <si>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</si>
  <si>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</si>
  <si>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</si>
  <si>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</si>
  <si>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</si>
  <si>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</si>
  <si>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</si>
  <si>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</si>
  <si>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</si>
  <si>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</si>
  <si>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</si>
  <si>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</si>
  <si>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</si>
  <si>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</si>
  <si>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</si>
  <si>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</si>
  <si>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</si>
  <si>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</si>
  <si>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</si>
  <si>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</si>
  <si>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</si>
  <si>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</si>
  <si>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</si>
  <si>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</si>
  <si>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</si>
  <si>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</si>
  <si>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</si>
  <si>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</si>
  <si>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</si>
  <si>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</si>
  <si>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</si>
  <si>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</si>
  <si>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</si>
  <si>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</si>
  <si>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</si>
  <si>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</si>
  <si>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</si>
  <si>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</si>
  <si>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</si>
  <si>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</si>
  <si>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</si>
  <si>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</si>
  <si>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</si>
  <si>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</si>
  <si>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</si>
  <si>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</si>
  <si>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</si>
  <si>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</si>
  <si>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</si>
  <si>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</si>
  <si>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</si>
  <si>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</si>
  <si>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</si>
  <si>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</si>
  <si>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</si>
  <si>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</si>
  <si>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</si>
  <si>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</si>
  <si>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</si>
  <si>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</si>
  <si>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</si>
  <si>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</si>
  <si>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</si>
  <si>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</si>
  <si>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</si>
  <si>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</si>
  <si>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</si>
  <si>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</si>
  <si>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</si>
  <si>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</si>
  <si>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</si>
  <si>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</si>
  <si>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</si>
  <si>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</si>
  <si>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</si>
  <si>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</si>
  <si>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</si>
  <si>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</si>
  <si>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</si>
  <si>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</si>
  <si>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</si>
  <si>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</si>
  <si>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</si>
  <si>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</si>
  <si>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</si>
  <si>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</si>
  <si>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</si>
  <si>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</si>
  <si>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</si>
  <si>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</si>
  <si>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</si>
  <si>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</si>
  <si>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</si>
  <si>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</si>
  <si>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</si>
  <si>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</si>
  <si>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</si>
  <si>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</si>
  <si>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</si>
  <si>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</si>
  <si>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</si>
  <si>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</si>
  <si>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</si>
  <si>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</si>
  <si>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</si>
  <si>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</si>
  <si>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</si>
  <si>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</si>
  <si>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</si>
  <si>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</si>
  <si>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</si>
  <si>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</si>
  <si>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</si>
  <si>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</si>
  <si>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</si>
  <si>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</si>
  <si>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</si>
  <si>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</si>
  <si>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</si>
  <si>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</si>
  <si>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</si>
  <si>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</si>
  <si>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</si>
  <si>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</si>
  <si>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</si>
  <si>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</si>
  <si>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</si>
  <si>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</si>
  <si>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</si>
  <si>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</si>
  <si>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</si>
  <si>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</si>
  <si>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</si>
  <si>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</si>
  <si>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</si>
  <si>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</si>
  <si>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</si>
  <si>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</si>
  <si>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</si>
  <si>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</si>
  <si>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</si>
  <si>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</si>
  <si>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</si>
  <si>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</si>
  <si>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</si>
  <si>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</si>
  <si>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</si>
  <si>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</si>
  <si>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</si>
  <si>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</si>
  <si>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</si>
  <si>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</si>
  <si>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</si>
  <si>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</si>
  <si>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</si>
  <si>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</si>
  <si>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</si>
  <si>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</si>
  <si>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</si>
  <si>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</si>
  <si>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</si>
  <si>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</si>
  <si>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</si>
  <si>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</si>
  <si>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</si>
  <si>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</si>
  <si>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</si>
  <si>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</si>
  <si>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</si>
  <si>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</si>
  <si>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</si>
  <si>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</si>
  <si>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</si>
  <si>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</si>
  <si>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</si>
  <si>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</si>
  <si>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</si>
  <si>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</si>
  <si>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</si>
  <si>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</si>
  <si>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</si>
  <si>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</si>
  <si>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</si>
  <si>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</si>
  <si>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</si>
  <si>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</si>
  <si>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</si>
  <si>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</si>
  <si>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</si>
  <si>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</si>
  <si>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</si>
  <si>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</si>
  <si>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</si>
  <si>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</si>
  <si>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</si>
  <si>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</si>
  <si>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</si>
  <si>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</si>
  <si>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</si>
  <si>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</si>
  <si>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</si>
  <si>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</si>
  <si>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</si>
  <si>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</si>
  <si>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</si>
  <si>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</si>
  <si>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</si>
  <si>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</si>
  <si>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</si>
  <si>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</si>
  <si>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</si>
  <si>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</si>
  <si>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</si>
  <si>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</si>
  <si>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</si>
  <si>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</si>
  <si>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</si>
  <si>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</si>
  <si>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</si>
  <si>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</si>
  <si>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</si>
  <si>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</si>
  <si>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</si>
  <si>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</si>
  <si>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</si>
  <si>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</si>
  <si>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</si>
  <si>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</si>
  <si>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</si>
  <si>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</si>
  <si>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</si>
  <si>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</si>
  <si>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</si>
  <si>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</si>
  <si>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</si>
  <si>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</si>
  <si>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</si>
  <si>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</si>
  <si>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</si>
  <si>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</si>
  <si>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</si>
  <si>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</si>
  <si>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</si>
  <si>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</si>
  <si>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</si>
  <si>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</si>
  <si>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</si>
  <si>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</si>
  <si>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</si>
  <si>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</si>
  <si>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</si>
  <si>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</si>
  <si>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</si>
  <si>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</si>
  <si>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</si>
  <si>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</si>
  <si>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</si>
  <si>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</si>
  <si>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</si>
  <si>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</si>
  <si>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</si>
  <si>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</si>
  <si>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</si>
  <si>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</si>
  <si>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</si>
  <si>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</si>
  <si>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</si>
  <si>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</si>
  <si>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</si>
  <si>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</si>
  <si>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</si>
  <si>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</si>
  <si>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</si>
  <si>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</si>
  <si>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</si>
  <si>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</si>
  <si>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</si>
  <si>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</si>
  <si>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</si>
  <si>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</si>
  <si>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</si>
  <si>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</si>
  <si>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</si>
  <si>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</si>
  <si>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</si>
  <si>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</si>
  <si>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</si>
  <si>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</si>
  <si>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</si>
  <si>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</si>
  <si>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</si>
  <si>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</si>
  <si>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</si>
  <si>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</si>
  <si>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</si>
  <si>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</si>
  <si>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</si>
  <si>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</si>
  <si>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</si>
  <si>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</si>
  <si>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</si>
  <si>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</si>
  <si>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</si>
  <si>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</si>
  <si>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</si>
  <si>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</si>
  <si>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</si>
  <si>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</si>
  <si>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</si>
  <si>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</si>
  <si>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</si>
  <si>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</si>
  <si>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</si>
  <si>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</si>
  <si>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</si>
  <si>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</si>
  <si>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</si>
  <si>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</si>
  <si>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</si>
  <si>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</si>
  <si>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</si>
  <si>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</si>
  <si>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</si>
  <si>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</si>
  <si>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</si>
  <si>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</si>
  <si>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</si>
  <si>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</si>
  <si>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</si>
  <si>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</si>
  <si>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</si>
  <si>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</si>
  <si>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</si>
  <si>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</si>
  <si>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</si>
  <si>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</si>
  <si>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</si>
  <si>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</si>
  <si>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</si>
  <si>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</si>
  <si>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</si>
  <si>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</si>
  <si>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</si>
  <si>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</si>
  <si>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</si>
  <si>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</si>
  <si>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</si>
  <si>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</si>
  <si>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</si>
  <si>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</si>
  <si>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</si>
  <si>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</si>
  <si>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</si>
  <si>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</si>
  <si>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</si>
  <si>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</si>
  <si>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</si>
  <si>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</si>
  <si>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</si>
  <si>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</si>
  <si>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</si>
  <si>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</si>
  <si>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</si>
  <si>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</si>
  <si>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</si>
  <si>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</si>
  <si>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</si>
  <si>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</si>
  <si>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</si>
  <si>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</si>
  <si>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</si>
  <si>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</si>
  <si>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</si>
  <si>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</si>
  <si>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</si>
  <si>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</si>
  <si>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</si>
  <si>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</si>
  <si>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</si>
  <si>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</si>
  <si>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</si>
  <si>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</si>
  <si>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</si>
  <si>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</si>
  <si>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</si>
  <si>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</si>
  <si>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</si>
  <si>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</si>
  <si>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</si>
  <si>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</si>
  <si>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</si>
  <si>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</si>
  <si>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</si>
  <si>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</si>
  <si>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</si>
  <si>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</si>
  <si>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</si>
  <si>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</si>
  <si>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</si>
  <si>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</si>
  <si>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</si>
  <si>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</si>
  <si>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</si>
  <si>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</si>
  <si>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</si>
  <si>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</si>
  <si>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</si>
  <si>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</si>
  <si>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</si>
  <si>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</si>
  <si>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</si>
  <si>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</si>
  <si>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</si>
  <si>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</si>
  <si>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</si>
  <si>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</si>
  <si>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</si>
  <si>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</si>
  <si>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</si>
  <si>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</si>
  <si>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</si>
  <si>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</si>
  <si>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</si>
  <si>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</si>
  <si>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</si>
  <si>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</si>
  <si>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</si>
  <si>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</si>
  <si>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</si>
  <si>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</si>
  <si>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</si>
  <si>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</si>
  <si>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</si>
  <si>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</si>
  <si>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</si>
  <si>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</si>
  <si>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</si>
  <si>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</si>
  <si>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</si>
  <si>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</si>
  <si>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</si>
  <si>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</si>
  <si>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</si>
  <si>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</si>
  <si>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</si>
  <si>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</si>
  <si>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</si>
  <si>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</si>
  <si>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</si>
  <si>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</si>
  <si>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</si>
  <si>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</si>
  <si>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</si>
  <si>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</si>
  <si>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</si>
  <si>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</si>
  <si>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</si>
  <si>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</si>
  <si>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</si>
  <si>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</si>
  <si>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</si>
  <si>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</si>
  <si>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</si>
  <si>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</si>
  <si>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</si>
  <si>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</si>
  <si>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</si>
  <si>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</si>
  <si>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</si>
  <si>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</si>
  <si>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</si>
  <si>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</si>
  <si>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</si>
  <si>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</si>
  <si>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</si>
  <si>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</si>
  <si>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</si>
  <si>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</si>
  <si>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</si>
  <si>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</si>
  <si>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</si>
  <si>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</si>
  <si>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</si>
  <si>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</si>
  <si>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</si>
  <si>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</si>
  <si>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</si>
  <si>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</si>
  <si>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</si>
  <si>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</si>
  <si>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</si>
  <si>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</si>
  <si>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</si>
  <si>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</si>
  <si>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</si>
  <si>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</si>
  <si>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</si>
  <si>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</si>
  <si>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</si>
  <si>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</si>
  <si>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</si>
  <si>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</si>
  <si>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</si>
  <si>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</si>
  <si>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</si>
  <si>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</si>
  <si>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</si>
  <si>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</si>
  <si>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</si>
  <si>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</si>
  <si>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</si>
  <si>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</si>
  <si>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</si>
  <si>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</si>
  <si>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</si>
  <si>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</si>
  <si>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</si>
  <si>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</si>
  <si>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</si>
  <si>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</si>
  <si>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</si>
  <si>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</si>
  <si>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</si>
  <si>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</si>
  <si>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</si>
  <si>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</si>
  <si>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</si>
  <si>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</si>
  <si>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</si>
  <si>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</si>
  <si>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</si>
  <si>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</si>
  <si>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</si>
  <si>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</si>
  <si>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</si>
  <si>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</si>
  <si>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</si>
  <si>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</si>
  <si>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</si>
  <si>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</si>
  <si>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</si>
  <si>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</si>
  <si>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</si>
  <si>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</si>
  <si>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</si>
  <si>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</si>
  <si>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</si>
  <si>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</si>
  <si>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</si>
  <si>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</si>
  <si>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</si>
  <si>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</si>
  <si>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</si>
  <si>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</si>
  <si>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</si>
  <si>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</si>
  <si>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</si>
  <si>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</si>
  <si>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</si>
  <si>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</si>
  <si>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</si>
  <si>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</si>
  <si>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</si>
  <si>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</si>
  <si>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</si>
  <si>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</si>
  <si>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</si>
  <si>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</si>
  <si>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</si>
  <si>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</si>
  <si>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</si>
  <si>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</si>
  <si>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</si>
  <si>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</si>
  <si>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</si>
  <si>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</si>
  <si>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</si>
  <si>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</si>
  <si>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</si>
  <si>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</si>
  <si>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</si>
  <si>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</si>
  <si>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</si>
  <si>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</si>
  <si>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</si>
  <si>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</si>
  <si>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</si>
  <si>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</si>
  <si>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</si>
  <si>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</si>
  <si>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</si>
  <si>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</si>
  <si>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</si>
  <si>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</si>
  <si>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</si>
  <si>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</si>
  <si>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</si>
  <si>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</si>
  <si>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</si>
  <si>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</si>
  <si>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</si>
  <si>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</si>
  <si>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</si>
  <si>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</si>
  <si>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</si>
  <si>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</si>
  <si>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</si>
  <si>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</si>
  <si>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</si>
  <si>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</si>
  <si>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</si>
  <si>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</si>
  <si>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</si>
  <si>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</si>
  <si>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</si>
  <si>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</si>
  <si>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</si>
  <si>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</si>
  <si>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</si>
  <si>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</si>
  <si>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</si>
  <si>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</si>
  <si>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</si>
  <si>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</si>
  <si>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</si>
  <si>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</si>
  <si>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</si>
  <si>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</si>
  <si>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</si>
  <si>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</si>
  <si>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</si>
  <si>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</si>
  <si>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</si>
  <si>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</si>
  <si>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</si>
  <si>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</si>
  <si>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</si>
  <si>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</si>
  <si>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</si>
  <si>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</si>
  <si>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</si>
  <si>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</si>
  <si>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</si>
  <si>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</si>
  <si>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</si>
  <si>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</si>
  <si>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</si>
  <si>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</si>
  <si>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</si>
  <si>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</si>
  <si>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</si>
  <si>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</si>
  <si>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</si>
  <si>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</si>
  <si>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</si>
  <si>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</si>
  <si>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</si>
  <si>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</si>
  <si>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</si>
  <si>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</si>
  <si>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</si>
  <si>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</si>
  <si>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</si>
  <si>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</si>
  <si>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</si>
  <si>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</si>
  <si>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</si>
  <si>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</si>
  <si>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</si>
  <si>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</si>
  <si>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</si>
  <si>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</si>
  <si>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</si>
  <si>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</si>
  <si>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</si>
  <si>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</si>
  <si>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</si>
  <si>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</si>
  <si>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</si>
  <si>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</si>
  <si>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</si>
  <si>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</si>
  <si>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</si>
  <si>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</si>
  <si>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</si>
  <si>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</si>
  <si>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</si>
  <si>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</si>
  <si>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</si>
  <si>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</si>
  <si>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</si>
  <si>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</si>
  <si>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</si>
  <si>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</si>
  <si>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</si>
  <si>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</si>
  <si>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</si>
  <si>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</si>
  <si>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</si>
  <si>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</si>
  <si>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</si>
  <si>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</si>
  <si>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</si>
  <si>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</si>
  <si>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</si>
  <si>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</si>
  <si>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</si>
  <si>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</si>
  <si>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</si>
  <si>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</si>
  <si>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</si>
  <si>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</si>
  <si>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</si>
  <si>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</si>
  <si>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</si>
  <si>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</si>
  <si>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</si>
  <si>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</si>
  <si>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</si>
  <si>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</si>
  <si>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</si>
  <si>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</si>
  <si>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</si>
  <si>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</si>
  <si>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</si>
  <si>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</si>
  <si>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</si>
  <si>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</si>
  <si>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</si>
  <si>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</si>
  <si>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</si>
  <si>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</si>
  <si>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</si>
  <si>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</si>
  <si>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</si>
  <si>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</si>
  <si>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</si>
  <si>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</si>
  <si>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</si>
  <si>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</si>
  <si>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</si>
  <si>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</si>
  <si>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</si>
  <si>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</si>
  <si>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</si>
  <si>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</si>
  <si>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</si>
  <si>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</si>
  <si>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</si>
  <si>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</si>
  <si>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</si>
  <si>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</si>
  <si>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</si>
  <si>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</si>
  <si>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</si>
  <si>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</si>
  <si>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</si>
  <si>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</si>
  <si>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</si>
  <si>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</si>
  <si>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</si>
  <si>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</si>
  <si>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</si>
  <si>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</si>
  <si>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</si>
  <si>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</si>
  <si>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</si>
  <si>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</si>
  <si>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</si>
  <si>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</si>
  <si>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</si>
  <si>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</si>
  <si>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</si>
  <si>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</si>
  <si>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</si>
  <si>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</si>
  <si>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</si>
  <si>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</si>
  <si>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</si>
  <si>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</si>
  <si>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</si>
  <si>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</si>
  <si>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</si>
  <si>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</si>
  <si>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</si>
  <si>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</si>
  <si>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</si>
  <si>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</si>
  <si>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</si>
  <si>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</si>
  <si>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</si>
  <si>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</si>
  <si>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</si>
  <si>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</si>
  <si>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</si>
  <si>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</si>
  <si>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</si>
  <si>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</si>
  <si>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</si>
  <si>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</si>
  <si>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</si>
  <si>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</si>
  <si>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</si>
  <si>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</si>
  <si>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</si>
  <si>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</si>
  <si>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</si>
  <si>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</si>
  <si>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</si>
  <si>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</si>
  <si>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</si>
  <si>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</si>
  <si>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</si>
  <si>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</si>
  <si>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</si>
  <si>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</si>
  <si>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</si>
  <si>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</si>
  <si>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</si>
  <si>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</si>
  <si>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</si>
  <si>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</si>
  <si>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</si>
  <si>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</si>
  <si>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</si>
  <si>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</si>
  <si>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</si>
  <si>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</si>
  <si>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</si>
  <si>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</si>
  <si>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</si>
  <si>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</si>
  <si>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</si>
  <si>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</si>
  <si>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</si>
  <si>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</si>
  <si>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</si>
  <si>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</si>
  <si>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</si>
  <si>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</si>
  <si>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</si>
  <si>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</si>
  <si>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</si>
  <si>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</si>
  <si>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</si>
  <si>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</si>
  <si>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</si>
  <si>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</si>
  <si>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</si>
  <si>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</si>
  <si>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</si>
  <si>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</si>
  <si>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</si>
  <si>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</si>
  <si>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</si>
  <si>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</si>
  <si>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</si>
  <si>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</si>
  <si>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</si>
  <si>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</si>
  <si>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</si>
  <si>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</si>
  <si>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</si>
  <si>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</si>
  <si>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</si>
  <si>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</si>
  <si>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</si>
  <si>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</si>
  <si>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</si>
  <si>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</si>
  <si>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</si>
  <si>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</si>
  <si>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</si>
  <si>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</si>
  <si>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</si>
  <si>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</si>
  <si>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</si>
  <si>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</si>
  <si>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</si>
  <si>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</si>
  <si>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</si>
  <si>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</si>
  <si>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</si>
  <si>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</si>
  <si>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</si>
  <si>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</si>
  <si>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</si>
  <si>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</si>
  <si>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</si>
  <si>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</si>
  <si>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</si>
  <si>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</si>
  <si>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</si>
  <si>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</si>
  <si>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</si>
  <si>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</si>
  <si>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</si>
  <si>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</si>
  <si>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</si>
  <si>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</si>
  <si>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</si>
  <si>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</si>
  <si>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</si>
  <si>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</si>
  <si>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</si>
  <si>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</si>
  <si>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</si>
  <si>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</si>
  <si>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</si>
  <si>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</si>
  <si>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</si>
  <si>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</si>
  <si>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</si>
  <si>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</si>
  <si>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</si>
  <si>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</si>
  <si>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</si>
  <si>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</si>
  <si>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</si>
  <si>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</si>
  <si>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</si>
  <si>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</si>
  <si>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</si>
  <si>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</si>
  <si>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</si>
  <si>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</si>
  <si>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</si>
  <si>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</si>
  <si>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</si>
  <si>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</si>
  <si>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</si>
  <si>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</si>
  <si>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</si>
  <si>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</si>
  <si>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</si>
  <si>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</si>
  <si>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</si>
  <si>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</si>
  <si>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</si>
  <si>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</si>
  <si>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</si>
  <si>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</si>
  <si>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</si>
  <si>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</si>
  <si>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</si>
  <si>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</si>
  <si>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</si>
  <si>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</si>
  <si>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</si>
  <si>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</si>
  <si>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</si>
  <si>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</si>
  <si>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</si>
  <si>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</si>
  <si>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</si>
  <si>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</si>
  <si>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</si>
  <si>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</si>
  <si>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</si>
  <si>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</si>
  <si>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</si>
  <si>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</si>
  <si>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</si>
  <si>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</si>
  <si>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</si>
  <si>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</si>
  <si>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</si>
  <si>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</si>
  <si>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</si>
  <si>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</si>
  <si>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</si>
  <si>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</si>
  <si>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</si>
  <si>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</si>
  <si>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</si>
  <si>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</si>
  <si>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</si>
  <si>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</si>
  <si>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</si>
  <si>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</si>
  <si>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</si>
  <si>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</si>
  <si>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</si>
  <si>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</si>
  <si>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</si>
  <si>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</si>
  <si>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</si>
  <si>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</si>
  <si>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</si>
  <si>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</si>
  <si>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</si>
  <si>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</si>
  <si>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</si>
  <si>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</si>
  <si>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</si>
  <si>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</si>
  <si>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</si>
  <si>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</si>
  <si>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</si>
  <si>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</si>
  <si>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</si>
  <si>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</si>
  <si>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</si>
  <si>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</si>
  <si>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</si>
  <si>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</si>
  <si>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</si>
  <si>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</si>
  <si>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</si>
  <si>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</si>
  <si>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</si>
  <si>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</si>
  <si>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</si>
  <si>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</si>
  <si>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</si>
  <si>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</si>
  <si>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</si>
  <si>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</si>
  <si>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</si>
  <si>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</si>
  <si>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</si>
  <si>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</si>
  <si>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</si>
  <si>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</si>
  <si>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</si>
  <si>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</si>
  <si>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</si>
  <si>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</si>
  <si>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</si>
  <si>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</si>
  <si>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</si>
  <si>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</si>
  <si>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</si>
  <si>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</si>
  <si>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</si>
  <si>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</si>
  <si>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</si>
  <si>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</si>
  <si>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</si>
  <si>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</si>
  <si>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</si>
  <si>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</si>
  <si>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</si>
  <si>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</si>
  <si>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</si>
  <si>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</si>
  <si>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</si>
  <si>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</si>
  <si>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</si>
  <si>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</si>
  <si>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</si>
  <si>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</si>
  <si>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</si>
  <si>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</si>
  <si>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</si>
  <si>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</si>
  <si>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</si>
  <si>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</si>
  <si>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</si>
  <si>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</si>
  <si>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</si>
  <si>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</si>
  <si>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</si>
  <si>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</si>
  <si>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</si>
  <si>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</si>
  <si>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</si>
  <si>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</si>
  <si>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</si>
  <si>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</si>
  <si>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</si>
  <si>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</si>
  <si>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</si>
  <si>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</si>
  <si>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</si>
  <si>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</si>
  <si>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</si>
  <si>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</si>
  <si>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</si>
  <si>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</si>
  <si>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</si>
  <si>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</si>
  <si>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</si>
  <si>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</si>
  <si>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</si>
  <si>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</si>
  <si>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</si>
  <si>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</si>
  <si>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</si>
  <si>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</si>
  <si>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</si>
  <si>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</si>
  <si>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</si>
  <si>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</si>
  <si>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</si>
  <si>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</si>
  <si>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</si>
  <si>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</si>
  <si>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</si>
  <si>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</si>
  <si>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</si>
  <si>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</si>
  <si>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</si>
  <si>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</si>
  <si>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</si>
  <si>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</si>
  <si>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</si>
  <si>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</si>
  <si>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</si>
  <si>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</si>
  <si>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</si>
  <si>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</si>
  <si>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</si>
  <si>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</si>
  <si>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</si>
  <si>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</si>
  <si>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</si>
  <si>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</si>
  <si>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</si>
  <si>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</si>
  <si>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</si>
  <si>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</si>
  <si>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</si>
  <si>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</si>
  <si>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</si>
  <si>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</si>
  <si>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</si>
  <si>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</si>
  <si>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</si>
  <si>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</si>
  <si>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</si>
  <si>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</si>
  <si>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</si>
  <si>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</si>
  <si>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</si>
  <si>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</si>
  <si>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</si>
  <si>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</si>
  <si>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</si>
  <si>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</si>
  <si>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</si>
  <si>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</si>
  <si>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</si>
  <si>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</si>
  <si>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</si>
  <si>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</si>
  <si>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</si>
  <si>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</si>
  <si>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</si>
  <si>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</si>
  <si>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</si>
  <si>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</si>
  <si>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</si>
  <si>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</si>
  <si>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</si>
  <si>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</si>
  <si>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</si>
  <si>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</si>
  <si>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</si>
  <si>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</si>
  <si>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</si>
  <si>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</si>
  <si>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</si>
  <si>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</si>
  <si>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</si>
  <si>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</si>
  <si>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</si>
  <si>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</si>
  <si>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</si>
  <si>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</si>
  <si>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</si>
  <si>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</si>
  <si>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</si>
  <si>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</si>
  <si>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</si>
  <si>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</si>
  <si>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</si>
  <si>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</si>
  <si>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</si>
  <si>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</si>
  <si>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</si>
  <si>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</si>
  <si>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</si>
  <si>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</si>
  <si>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</si>
  <si>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</si>
  <si>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</si>
  <si>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</si>
  <si>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</si>
  <si>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</si>
  <si>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</si>
  <si>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</si>
  <si>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</si>
  <si>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</si>
  <si>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</si>
  <si>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</si>
  <si>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</si>
  <si>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</si>
  <si>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</si>
  <si>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</si>
  <si>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</si>
  <si>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</si>
  <si>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</si>
  <si>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</si>
  <si>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</si>
  <si>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</si>
  <si>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</si>
  <si>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</si>
  <si>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</si>
  <si>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</si>
  <si>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</si>
  <si>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</si>
  <si>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</si>
  <si>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</si>
  <si>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</si>
  <si>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</si>
  <si>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</si>
  <si>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</si>
  <si>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</si>
  <si>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</si>
  <si>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</si>
  <si>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</si>
  <si>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</si>
  <si>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</si>
  <si>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</si>
  <si>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</si>
  <si>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</si>
  <si>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</si>
  <si>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</si>
  <si>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</si>
  <si>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</si>
  <si>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</si>
  <si>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</si>
  <si>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</si>
  <si>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</si>
  <si>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</si>
  <si>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</si>
  <si>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</si>
  <si>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</si>
  <si>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</si>
  <si>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</si>
  <si>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</si>
  <si>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</si>
  <si>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</si>
  <si>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</si>
  <si>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</si>
  <si>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</si>
  <si>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</si>
  <si>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</si>
  <si>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</si>
  <si>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</si>
  <si>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</si>
  <si>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</si>
  <si>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</si>
  <si>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</si>
  <si>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</si>
  <si>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</si>
  <si>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</si>
  <si>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</si>
  <si>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</si>
  <si>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</si>
  <si>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</si>
  <si>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</si>
  <si>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</si>
  <si>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</si>
  <si>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</si>
  <si>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</si>
  <si>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</si>
  <si>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</si>
  <si>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</si>
  <si>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</si>
  <si>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</si>
  <si>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</si>
  <si>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</si>
  <si>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</si>
  <si>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</si>
  <si>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</si>
  <si>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</si>
  <si>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</si>
  <si>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</si>
  <si>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</si>
  <si>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</si>
  <si>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</si>
  <si>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</si>
  <si>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</si>
  <si>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</si>
  <si>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</si>
  <si>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</si>
  <si>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</si>
  <si>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</si>
  <si>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</si>
  <si>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</si>
  <si>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</si>
  <si>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</si>
  <si>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</si>
  <si>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</si>
  <si>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</si>
  <si>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</si>
  <si>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</si>
  <si>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</si>
  <si>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</si>
  <si>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</si>
  <si>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</si>
  <si>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</si>
  <si>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</si>
  <si>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</si>
  <si>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</si>
  <si>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</si>
  <si>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</si>
  <si>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</si>
  <si>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</si>
  <si>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</si>
  <si>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</si>
  <si>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</si>
  <si>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</si>
  <si>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</si>
  <si>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</si>
  <si>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</si>
  <si>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</si>
  <si>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</si>
  <si>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</si>
  <si>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</si>
  <si>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</si>
  <si>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</si>
  <si>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</si>
  <si>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</si>
  <si>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</si>
  <si>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</si>
  <si>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</si>
  <si>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</si>
  <si>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</si>
  <si>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</si>
  <si>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</si>
  <si>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</si>
  <si>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</si>
  <si>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</si>
  <si>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</si>
  <si>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</si>
  <si>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</si>
  <si>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</si>
  <si>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</si>
  <si>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</si>
  <si>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</si>
  <si>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</si>
  <si>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</si>
  <si>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</si>
  <si>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</si>
  <si>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</si>
  <si>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</si>
  <si>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</si>
  <si>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</si>
  <si>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</si>
  <si>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</si>
  <si>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</si>
  <si>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</si>
  <si>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</si>
  <si>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</si>
  <si>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</si>
  <si>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</si>
  <si>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</si>
  <si>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</si>
  <si>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</si>
  <si>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</si>
  <si>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</si>
  <si>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</si>
  <si>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</si>
  <si>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</si>
  <si>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</si>
  <si>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</si>
  <si>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</si>
  <si>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</si>
  <si>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</si>
  <si>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</si>
  <si>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</si>
  <si>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</si>
  <si>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</si>
  <si>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</si>
  <si>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</si>
  <si>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</si>
  <si>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</si>
  <si>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</si>
  <si>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</si>
  <si>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</si>
  <si>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</si>
  <si>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</si>
  <si>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</si>
  <si>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</si>
  <si>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</si>
  <si>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</si>
  <si>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</si>
  <si>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</si>
  <si>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</si>
  <si>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</si>
  <si>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</si>
  <si>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</si>
  <si>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</si>
  <si>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</si>
  <si>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</si>
  <si>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</si>
  <si>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</si>
  <si>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</si>
  <si>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</si>
  <si>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</si>
  <si>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</si>
  <si>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</si>
  <si>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</si>
  <si>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</si>
  <si>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</si>
  <si>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</si>
  <si>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</si>
  <si>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</si>
  <si>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</si>
  <si>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</si>
  <si>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</si>
  <si>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</si>
  <si>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</si>
  <si>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</si>
  <si>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</si>
  <si>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</si>
  <si>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</si>
  <si>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</si>
  <si>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</si>
  <si>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</si>
  <si>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</si>
  <si>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</si>
  <si>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</si>
  <si>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</si>
  <si>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</si>
  <si>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</si>
  <si>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</si>
  <si>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</si>
  <si>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</si>
  <si>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</si>
  <si>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</si>
  <si>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</si>
  <si>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</si>
  <si>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</si>
  <si>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</si>
  <si>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</si>
  <si>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</si>
  <si>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</si>
  <si>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</si>
  <si>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</si>
  <si>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</si>
  <si>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</si>
  <si>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</si>
  <si>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</si>
  <si>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</si>
  <si>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</si>
  <si>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</si>
  <si>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</si>
  <si>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</si>
  <si>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</si>
  <si>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</si>
  <si>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</si>
  <si>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</si>
  <si>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</si>
  <si>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</si>
  <si>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</si>
  <si>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</si>
  <si>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</si>
  <si>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</si>
  <si>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</si>
  <si>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</si>
  <si>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</si>
  <si>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</si>
  <si>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</si>
  <si>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</si>
  <si>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</si>
  <si>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</si>
  <si>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</si>
  <si>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</si>
  <si>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</si>
  <si>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</si>
  <si>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</si>
  <si>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</si>
  <si>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</si>
  <si>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</si>
  <si>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</si>
  <si>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</si>
  <si>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</si>
  <si>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</si>
  <si>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</si>
  <si>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</si>
  <si>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</si>
  <si>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</si>
  <si>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</si>
  <si>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</si>
  <si>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</si>
  <si>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</si>
  <si>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</si>
  <si>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</si>
  <si>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</si>
  <si>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</si>
  <si>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</si>
  <si>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</si>
  <si>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</si>
  <si>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</si>
  <si>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</si>
  <si>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</si>
  <si>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</si>
  <si>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</si>
  <si>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</si>
  <si>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</si>
  <si>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</si>
  <si>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</si>
  <si>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</si>
  <si>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</si>
  <si>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</si>
  <si>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</si>
  <si>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</si>
  <si>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</si>
  <si>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</si>
  <si>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</si>
  <si>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</si>
  <si>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</si>
  <si>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</si>
  <si>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</si>
  <si>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</si>
  <si>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</si>
  <si>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</si>
  <si>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</si>
  <si>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</si>
  <si>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</si>
  <si>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</si>
  <si>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</si>
  <si>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</si>
  <si>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</si>
  <si>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</si>
  <si>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</si>
  <si>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</si>
  <si>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</si>
  <si>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</si>
  <si>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</si>
  <si>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</si>
  <si>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</si>
  <si>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</si>
  <si>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</si>
  <si>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</si>
  <si>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</si>
  <si>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</si>
  <si>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</si>
  <si>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</si>
  <si>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</si>
  <si>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</si>
  <si>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</si>
  <si>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</si>
  <si>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</si>
  <si>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</si>
  <si>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</si>
  <si>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</si>
  <si>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</si>
  <si>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</si>
  <si>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</si>
  <si>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</si>
  <si>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</si>
  <si>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</si>
  <si>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</si>
  <si>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</si>
  <si>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</si>
  <si>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</si>
  <si>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</si>
  <si>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</si>
  <si>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</si>
  <si>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</si>
  <si>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</si>
  <si>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</si>
  <si>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</si>
  <si>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</si>
  <si>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</si>
  <si>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</si>
  <si>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</si>
  <si>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</si>
  <si>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</si>
  <si>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</si>
  <si>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</si>
  <si>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</si>
  <si>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</si>
  <si>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</si>
  <si>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</si>
  <si>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</si>
  <si>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</si>
  <si>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</si>
  <si>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</si>
  <si>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</si>
  <si>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</si>
  <si>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</si>
  <si>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</si>
  <si>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</si>
  <si>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</si>
  <si>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</si>
  <si>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</si>
  <si>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</si>
  <si>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</si>
  <si>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</si>
  <si>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</si>
  <si>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</si>
  <si>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</si>
  <si>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</si>
  <si>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</si>
  <si>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</si>
  <si>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</si>
  <si>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</si>
  <si>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</si>
  <si>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</si>
  <si>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</si>
  <si>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</si>
  <si>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</si>
  <si>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</si>
  <si>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</si>
  <si>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</si>
  <si>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</si>
  <si>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</si>
  <si>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</si>
  <si>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</si>
  <si>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</si>
  <si>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</si>
  <si>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</si>
  <si>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</si>
  <si>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</si>
  <si>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</si>
  <si>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</si>
  <si>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</si>
  <si>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</si>
  <si>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</si>
  <si>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</si>
  <si>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</si>
  <si>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</si>
  <si>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</si>
  <si>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</si>
  <si>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</si>
  <si>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</si>
  <si>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</si>
  <si>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</si>
  <si>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</si>
  <si>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</si>
  <si>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</si>
  <si>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</si>
  <si>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</si>
  <si>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</si>
  <si>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</si>
  <si>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</si>
  <si>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</si>
  <si>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</si>
  <si>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</si>
  <si>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</si>
  <si>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</si>
  <si>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</si>
  <si>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</si>
  <si>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</si>
  <si>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</si>
  <si>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</si>
  <si>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</si>
  <si>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</si>
  <si>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</si>
  <si>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</si>
  <si>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</si>
  <si>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</si>
  <si>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</si>
  <si>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</si>
  <si>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</si>
  <si>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</si>
  <si>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</si>
  <si>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</si>
  <si>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</si>
  <si>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</si>
  <si>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</si>
  <si>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</si>
  <si>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</si>
  <si>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</si>
  <si>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</si>
  <si>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</si>
  <si>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</si>
  <si>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</si>
  <si>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</si>
  <si>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</si>
  <si>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</si>
  <si>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</si>
  <si>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</si>
  <si>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</si>
  <si>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</si>
  <si>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</si>
  <si>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</si>
  <si>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</si>
  <si>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</si>
  <si>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</si>
  <si>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</si>
  <si>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</si>
  <si>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</si>
  <si>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</si>
  <si>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</si>
  <si>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</si>
  <si>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</si>
  <si>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</si>
  <si>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</si>
  <si>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</si>
  <si>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</si>
  <si>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</si>
  <si>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</si>
  <si>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</si>
  <si>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</si>
  <si>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</si>
  <si>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</si>
  <si>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</si>
  <si>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</si>
  <si>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</si>
  <si>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</si>
  <si>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</si>
  <si>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</si>
  <si>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</si>
  <si>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</si>
  <si>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</si>
  <si>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</si>
  <si>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</si>
  <si>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</si>
  <si>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</si>
  <si>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</si>
  <si>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</si>
  <si>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</si>
  <si>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</si>
  <si>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</si>
  <si>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</si>
  <si>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</si>
  <si>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</si>
  <si>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</si>
  <si>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</si>
  <si>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</si>
  <si>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</si>
  <si>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</si>
  <si>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</si>
  <si>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</si>
  <si>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</si>
  <si>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</si>
  <si>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</si>
  <si>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</si>
  <si>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</si>
  <si>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</si>
  <si>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</si>
  <si>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</si>
  <si>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</si>
  <si>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</si>
  <si>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</si>
  <si>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</si>
  <si>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</si>
  <si>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</si>
  <si>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</si>
  <si>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</si>
  <si>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</si>
  <si>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</si>
  <si>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</si>
  <si>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</si>
  <si>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</si>
  <si>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</si>
  <si>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</si>
  <si>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</si>
  <si>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</si>
  <si>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</si>
  <si>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</si>
  <si>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</si>
  <si>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</si>
  <si>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</si>
  <si>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</si>
  <si>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</si>
  <si>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</si>
  <si>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</si>
  <si>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</si>
  <si>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</si>
  <si>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</si>
  <si>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</si>
  <si>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</si>
  <si>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</si>
  <si>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</si>
  <si>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</si>
  <si>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</si>
  <si>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</si>
  <si>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</si>
  <si>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</si>
  <si>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</si>
  <si>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</si>
  <si>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</si>
  <si>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</si>
  <si>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</si>
  <si>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</si>
  <si>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</si>
  <si>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</si>
  <si>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</si>
  <si>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</si>
  <si>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</si>
  <si>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</si>
  <si>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</si>
  <si>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</si>
  <si>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</si>
  <si>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</si>
  <si>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</si>
  <si>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</si>
  <si>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</si>
  <si>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</si>
  <si>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</si>
  <si>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</si>
  <si>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</si>
  <si>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</si>
  <si>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</si>
  <si>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</si>
  <si>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</si>
  <si>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</si>
  <si>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</si>
  <si>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</si>
  <si>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</si>
  <si>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</si>
  <si>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</si>
  <si>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</si>
  <si>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</si>
  <si>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</si>
  <si>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</si>
  <si>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</si>
  <si>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</si>
  <si>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</si>
  <si>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</si>
  <si>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</si>
  <si>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</si>
  <si>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</si>
  <si>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</si>
  <si>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</si>
  <si>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</si>
  <si>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</si>
  <si>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</si>
  <si>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</si>
  <si>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</si>
  <si>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</si>
  <si>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</si>
  <si>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</si>
  <si>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</si>
  <si>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</si>
  <si>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</si>
  <si>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</si>
  <si>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</si>
  <si>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</si>
  <si>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</si>
  <si>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</si>
  <si>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</si>
  <si>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</si>
  <si>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</si>
  <si>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</si>
  <si>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</si>
  <si>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</si>
  <si>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</si>
  <si>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</si>
  <si>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</si>
  <si>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</si>
  <si>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</si>
  <si>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</si>
  <si>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</si>
  <si>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</si>
  <si>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</si>
  <si>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</si>
  <si>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</si>
  <si>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</si>
  <si>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</si>
  <si>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</si>
  <si>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</si>
  <si>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</si>
  <si>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</si>
  <si>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</si>
  <si>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</si>
  <si>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</si>
  <si>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</si>
  <si>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</si>
  <si>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</si>
  <si>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</si>
  <si>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</si>
  <si>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</si>
  <si>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</si>
  <si>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</si>
  <si>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</si>
  <si>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</si>
  <si>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</si>
  <si>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</si>
  <si>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</si>
  <si>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</si>
  <si>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</si>
  <si>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</si>
  <si>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</si>
  <si>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</si>
  <si>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</si>
  <si>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</si>
  <si>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</si>
  <si>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</si>
  <si>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</si>
  <si>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</si>
  <si>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</si>
  <si>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</si>
  <si>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</si>
  <si>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</si>
  <si>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</si>
  <si>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</si>
  <si>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</si>
  <si>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</si>
  <si>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</si>
  <si>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</si>
  <si>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</si>
  <si>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</si>
  <si>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</si>
  <si>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</si>
  <si>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</si>
  <si>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</si>
  <si>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</si>
  <si>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</si>
  <si>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</si>
  <si>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</si>
  <si>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</si>
  <si>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</si>
  <si>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</si>
  <si>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</si>
  <si>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</si>
  <si>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</si>
  <si>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</si>
  <si>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</si>
  <si>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</si>
  <si>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</si>
  <si>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</si>
  <si>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</si>
  <si>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</si>
  <si>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</si>
  <si>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</si>
  <si>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</si>
  <si>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</si>
  <si>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</si>
  <si>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</si>
  <si>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</si>
  <si>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</si>
  <si>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</si>
  <si>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</si>
  <si>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</si>
  <si>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</si>
  <si>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</si>
  <si>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</si>
  <si>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</si>
  <si>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</si>
  <si>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</si>
  <si>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</si>
  <si>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</si>
  <si>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</si>
  <si>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</si>
  <si>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</si>
  <si>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</si>
  <si>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</si>
  <si>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</si>
  <si>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</si>
  <si>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</si>
  <si>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</si>
  <si>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</si>
  <si>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</si>
  <si>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</si>
  <si>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</si>
  <si>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</si>
  <si>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</si>
  <si>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</si>
  <si>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</si>
  <si>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</si>
  <si>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</si>
  <si>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</si>
  <si>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</si>
  <si>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</si>
  <si>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</si>
  <si>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</si>
  <si>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</si>
  <si>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</si>
  <si>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</si>
  <si>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</si>
  <si>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</si>
  <si>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</si>
  <si>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</si>
  <si>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</si>
  <si>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</si>
  <si>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</si>
  <si>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</si>
  <si>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</si>
  <si>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</si>
  <si>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</si>
  <si>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</si>
  <si>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</si>
  <si>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</si>
  <si>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</si>
  <si>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</si>
  <si>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</si>
  <si>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</si>
  <si>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</si>
  <si>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</si>
  <si>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</si>
  <si>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</si>
  <si>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</si>
  <si>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</si>
  <si>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</si>
  <si>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</si>
  <si>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</si>
  <si>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</si>
  <si>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</si>
  <si>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</si>
  <si>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</si>
  <si>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</si>
  <si>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</si>
  <si>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</si>
  <si>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</si>
  <si>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</si>
  <si>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</si>
  <si>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</si>
  <si>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</si>
  <si>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</si>
  <si>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</si>
  <si>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</si>
  <si>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</si>
  <si>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</si>
  <si>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</si>
  <si>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郑燚</t>
  </si>
  <si>
    <t>王鹏</t>
  </si>
  <si>
    <t>衡水斯凯学园房地产开发有限公司</t>
    <phoneticPr fontId="6" type="noConversion"/>
  </si>
  <si>
    <t>中信信托有限责任公司</t>
    <phoneticPr fontId="6" type="noConversion"/>
  </si>
  <si>
    <t>抵押</t>
  </si>
  <si>
    <t>抵押价格</t>
  </si>
  <si>
    <t>其他：</t>
  </si>
  <si>
    <t>河北省衡水市</t>
    <phoneticPr fontId="6" type="noConversion"/>
  </si>
  <si>
    <t>桃城区人民路南侧、问津街西侧</t>
    <phoneticPr fontId="6" type="noConversion"/>
  </si>
  <si>
    <t>企业</t>
  </si>
  <si>
    <t>商业</t>
  </si>
  <si>
    <t>出让</t>
  </si>
  <si>
    <t>建设用地面积</t>
    <phoneticPr fontId="233" type="noConversion"/>
  </si>
  <si>
    <t>一期</t>
    <phoneticPr fontId="233" type="noConversion"/>
  </si>
  <si>
    <t>二期</t>
    <phoneticPr fontId="233" type="noConversion"/>
  </si>
  <si>
    <t>总计</t>
    <phoneticPr fontId="233" type="noConversion"/>
  </si>
  <si>
    <t>住宅</t>
    <phoneticPr fontId="233" type="noConversion"/>
  </si>
  <si>
    <t>幼儿园</t>
    <phoneticPr fontId="233" type="noConversion"/>
  </si>
  <si>
    <t>公厕</t>
    <phoneticPr fontId="233" type="noConversion"/>
  </si>
  <si>
    <t>风井</t>
    <phoneticPr fontId="233" type="noConversion"/>
  </si>
  <si>
    <t>不计容建筑面</t>
    <phoneticPr fontId="233" type="noConversion"/>
  </si>
  <si>
    <t>车库</t>
  </si>
  <si>
    <t>车库</t>
    <phoneticPr fontId="233" type="noConversion"/>
  </si>
  <si>
    <t>个</t>
    <phoneticPr fontId="233" type="noConversion"/>
  </si>
  <si>
    <t>已建住宅</t>
    <phoneticPr fontId="3" type="noConversion"/>
  </si>
  <si>
    <t>未建住宅</t>
  </si>
  <si>
    <t>未建住宅</t>
    <phoneticPr fontId="3" type="noConversion"/>
  </si>
  <si>
    <t>幼儿园</t>
    <phoneticPr fontId="3" type="noConversion"/>
  </si>
  <si>
    <t>设备用房</t>
    <phoneticPr fontId="3" type="noConversion"/>
  </si>
  <si>
    <t>车库</t>
    <phoneticPr fontId="3" type="noConversion"/>
  </si>
  <si>
    <t>否</t>
  </si>
  <si>
    <t>地上</t>
  </si>
  <si>
    <t>普通住宅</t>
  </si>
  <si>
    <t>地下</t>
  </si>
  <si>
    <t>已建商业</t>
    <phoneticPr fontId="3" type="noConversion"/>
  </si>
  <si>
    <t>已建车库</t>
    <phoneticPr fontId="3" type="noConversion"/>
  </si>
  <si>
    <t>底商</t>
  </si>
  <si>
    <t>未建住宅</t>
    <phoneticPr fontId="7" type="noConversion"/>
  </si>
  <si>
    <t>衡水一级</t>
  </si>
  <si>
    <t>衡水一级</t>
    <phoneticPr fontId="3" type="noConversion"/>
  </si>
  <si>
    <t>项目局部</t>
  </si>
  <si>
    <t>土地</t>
  </si>
  <si>
    <t>比较法-住宅、综合</t>
  </si>
  <si>
    <t>剩余法-待开发</t>
  </si>
  <si>
    <t>储备2015-4号</t>
    <phoneticPr fontId="3" type="noConversion"/>
  </si>
  <si>
    <t>丰收路南、文化街东</t>
    <phoneticPr fontId="3" type="noConversion"/>
  </si>
  <si>
    <t>正常</t>
  </si>
  <si>
    <t>楼面地价</t>
  </si>
  <si>
    <t>育才街西、南环路南</t>
    <phoneticPr fontId="3" type="noConversion"/>
  </si>
  <si>
    <t>2017-桃（三杜庄预留）32号</t>
    <phoneticPr fontId="3" type="noConversion"/>
  </si>
  <si>
    <t>顺平街东、隆兴路北</t>
    <phoneticPr fontId="3" type="noConversion"/>
  </si>
  <si>
    <t>2016-桃18号</t>
    <phoneticPr fontId="3" type="noConversion"/>
  </si>
  <si>
    <t>住宅</t>
    <phoneticPr fontId="26" type="noConversion"/>
  </si>
  <si>
    <t>70</t>
    <phoneticPr fontId="26" type="noConversion"/>
  </si>
  <si>
    <t>较好</t>
  </si>
  <si>
    <t>一般</t>
  </si>
  <si>
    <t>七通</t>
  </si>
  <si>
    <t>较规则</t>
  </si>
  <si>
    <t>较规则</t>
    <phoneticPr fontId="26" type="noConversion"/>
  </si>
  <si>
    <t>较适宜</t>
  </si>
  <si>
    <t>较适宜</t>
    <phoneticPr fontId="26" type="noConversion"/>
  </si>
  <si>
    <t>七通</t>
    <phoneticPr fontId="26" type="noConversion"/>
  </si>
  <si>
    <t>较好</t>
    <phoneticPr fontId="26" type="noConversion"/>
  </si>
  <si>
    <t>售价</t>
  </si>
  <si>
    <t>住宅</t>
    <phoneticPr fontId="21" type="noConversion"/>
  </si>
  <si>
    <t>60-70（含）</t>
  </si>
  <si>
    <t>恒大绿洲</t>
    <phoneticPr fontId="3" type="noConversion"/>
  </si>
  <si>
    <t>中华大街与南环交叉口东北角</t>
    <phoneticPr fontId="3" type="noConversion"/>
  </si>
  <si>
    <t>高板</t>
  </si>
  <si>
    <t>高板</t>
    <phoneticPr fontId="21" type="noConversion"/>
  </si>
  <si>
    <t>钢混</t>
  </si>
  <si>
    <t>钢混</t>
    <phoneticPr fontId="21" type="noConversion"/>
  </si>
  <si>
    <t>高档</t>
  </si>
  <si>
    <t>高档</t>
    <phoneticPr fontId="21" type="noConversion"/>
  </si>
  <si>
    <t>精装</t>
  </si>
  <si>
    <t>精装</t>
    <phoneticPr fontId="21" type="noConversion"/>
  </si>
  <si>
    <t>专业</t>
  </si>
  <si>
    <t>七通</t>
    <phoneticPr fontId="21" type="noConversion"/>
  </si>
  <si>
    <t>平层</t>
  </si>
  <si>
    <t>平层</t>
    <phoneticPr fontId="21" type="noConversion"/>
  </si>
  <si>
    <t>精装</t>
    <phoneticPr fontId="21" type="noConversion"/>
  </si>
  <si>
    <t>普装</t>
    <phoneticPr fontId="21" type="noConversion"/>
  </si>
  <si>
    <t>简装</t>
    <phoneticPr fontId="21" type="noConversion"/>
  </si>
  <si>
    <t>毛坯</t>
  </si>
  <si>
    <t>毛坯</t>
    <phoneticPr fontId="21" type="noConversion"/>
  </si>
  <si>
    <t>在水一方</t>
    <phoneticPr fontId="3" type="noConversion"/>
  </si>
  <si>
    <t>河西区红旗大街与永兴路交叉口东行200米路北</t>
    <phoneticPr fontId="3" type="noConversion"/>
  </si>
  <si>
    <t>保利·拉菲公馆</t>
    <phoneticPr fontId="3" type="noConversion"/>
  </si>
  <si>
    <t>开发区永兴路与顺兴街交口南行300米路西</t>
    <phoneticPr fontId="3" type="noConversion"/>
  </si>
  <si>
    <t>二期分楼面积</t>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</si>
  <si>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</si>
  <si>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</si>
  <si>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t>2-3#</t>
    <phoneticPr fontId="233" type="noConversion"/>
  </si>
  <si>
    <t>2-4#</t>
    <phoneticPr fontId="233" type="noConversion"/>
  </si>
  <si>
    <t>2-5#</t>
    <phoneticPr fontId="233" type="noConversion"/>
  </si>
  <si>
    <t>2-7#</t>
    <phoneticPr fontId="233" type="noConversion"/>
  </si>
  <si>
    <t>2-8#</t>
    <phoneticPr fontId="233" type="noConversion"/>
  </si>
  <si>
    <t>2-9#</t>
    <phoneticPr fontId="233" type="noConversion"/>
  </si>
  <si>
    <t>2-11#</t>
    <phoneticPr fontId="233" type="noConversion"/>
  </si>
  <si>
    <t>幼儿园</t>
    <phoneticPr fontId="233" type="noConversion"/>
  </si>
  <si>
    <t>地库</t>
    <phoneticPr fontId="233" type="noConversion"/>
  </si>
  <si>
    <t>分摊设备用房</t>
    <phoneticPr fontId="233" type="noConversion"/>
  </si>
  <si>
    <t>设备用房</t>
    <phoneticPr fontId="233" type="noConversion"/>
  </si>
  <si>
    <t>合计</t>
    <phoneticPr fontId="233" type="noConversion"/>
  </si>
  <si>
    <t>各楼住宅</t>
    <phoneticPr fontId="233" type="noConversion"/>
  </si>
  <si>
    <t>名牌</t>
  </si>
  <si>
    <t>名牌</t>
    <phoneticPr fontId="21" type="noConversion"/>
  </si>
  <si>
    <t>专业</t>
    <phoneticPr fontId="21" type="noConversion"/>
  </si>
  <si>
    <t>小学安置款</t>
    <phoneticPr fontId="9"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</si>
</sst>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6" borderId="0" xfId="0" applyFont="1" applyFill="1">
      <alignment vertical="center"/>
    </xf>
    <xf numFmtId="0" fontId="0" fillId="6" borderId="0" xfId="0" applyFill="1">
      <alignment vertical="center"/>
    </xf>
    <xf numFmtId="0" fontId="99" fillId="9" borderId="9" xfId="0" applyNumberFormat="1" applyFont="1" applyFill="1" applyBorder="1" applyAlignment="1" applyProtection="1">
      <alignment horizontal="center" vertical="center" wrapText="1"/>
      <protection locked="0"/>
    </xf>
    <xf numFmtId="0" fontId="71" fillId="7" borderId="5" xfId="0" applyFont="1" applyFill="1" applyBorder="1" applyAlignment="1" applyProtection="1">
      <alignment horizontal="center" vertical="center" wrapText="1"/>
    </xf>
    <xf numFmtId="178" fontId="76" fillId="7" borderId="2" xfId="2"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河北省衡水市桃城区人民路南侧、问津街西侧出让国有建设用地使用权抵押价格预评估</v>
      </c>
      <c r="AX2" s="2921"/>
      <c r="AZ2" s="2921"/>
      <c r="BA2" s="2922"/>
      <c r="BC2" s="2922"/>
    </row>
    <row r="3" spans="1:55" s="2923" customFormat="1">
      <c r="A3" s="2902" t="s">
        <v>2664</v>
      </c>
      <c r="B3" s="2905" t="str">
        <f>'预评函-封皮'!B40</f>
        <v>衡水斯凯学园房地产开发有限公司</v>
      </c>
    </row>
    <row r="4" spans="1:55" s="2904" customFormat="1">
      <c r="A4" s="2902" t="s">
        <v>2665</v>
      </c>
      <c r="B4" s="2903" t="str">
        <f>'预评函-封皮'!B46</f>
        <v>郑燚、王鹏</v>
      </c>
      <c r="N4" s="2904" t="str">
        <f>'预评函-1'!A28</f>
        <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受贵公司委托，我公司对河北省衡水市桃城区人民路南侧、问津街西侧出让国有建设用地使用权抵押价格进行了预评估。</v>
      </c>
      <c r="AM6" s="2927"/>
    </row>
    <row r="7" spans="1:55" s="2901" customFormat="1">
      <c r="A7" s="2902" t="s">
        <v>2660</v>
      </c>
      <c r="B7" s="2903" t="str">
        <f>'预评函-1'!A6</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2662</v>
      </c>
      <c r="B10" s="2903" t="str">
        <f>'预评函-1'!A11</f>
        <v>2018年4月25日（评估专业人员勘察现场之日）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根据《国有土地使用证》[]，估价对象（分摊）出让国有建设用地使用权面积为38282.36平方米。根据《建设工程规划许可证》[]、《出让合同》[]，估价对象规划建筑面积为195134.96平方米。</v>
      </c>
    </row>
    <row r="16" spans="1:55" s="2901" customFormat="1">
      <c r="A16" s="2902" t="s">
        <v>2672</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商业2052年11月12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估价期日：2018年4月25日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38282.36</v>
      </c>
    </row>
    <row r="44" spans="1:2">
      <c r="A44" s="2902" t="s">
        <v>2743</v>
      </c>
      <c r="B44" s="2903" t="str">
        <f>'预评函-2'!O3</f>
        <v>规划建筑面积/㎡</v>
      </c>
    </row>
    <row r="45" spans="1:2">
      <c r="A45" s="2902" t="s">
        <v>2725</v>
      </c>
      <c r="B45" s="2903">
        <f>'预评函-2'!O5</f>
        <v>195134.96</v>
      </c>
    </row>
    <row r="46" spans="1:2">
      <c r="A46" s="2902" t="s">
        <v>2726</v>
      </c>
      <c r="B46" s="2903">
        <f ca="1">'预评函-2'!P5</f>
        <v>19183</v>
      </c>
    </row>
    <row r="47" spans="1:2">
      <c r="A47" s="2902" t="s">
        <v>2727</v>
      </c>
      <c r="B47" s="2903">
        <f ca="1">'预评函-2'!Q5</f>
        <v>3763</v>
      </c>
    </row>
    <row r="48" spans="1:2">
      <c r="A48" s="2902" t="s">
        <v>2728</v>
      </c>
      <c r="B48" s="2903">
        <f ca="1">'预评函-2'!R5</f>
        <v>73438</v>
      </c>
    </row>
    <row r="49" spans="1:2">
      <c r="A49" s="2902" t="s">
        <v>2744</v>
      </c>
      <c r="B49" s="2903" t="str">
        <f>'预评函-2'!A6</f>
        <v>抵押价格</v>
      </c>
    </row>
    <row r="50" spans="1:2">
      <c r="A50" s="2902" t="s">
        <v>2729</v>
      </c>
      <c r="B50" s="2903">
        <f ca="1">'预评函-2'!R6</f>
        <v>71838</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综上，本次评估设定估价师知悉的法定优先受偿款为人民币1600万元整。</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郑燚</v>
      </c>
    </row>
    <row r="70" spans="1:2">
      <c r="A70" s="2902" t="s">
        <v>2693</v>
      </c>
      <c r="B70" s="2909">
        <f>'预评函-3'!B20</f>
        <v>2014110011</v>
      </c>
    </row>
    <row r="71" spans="1:2">
      <c r="A71" s="2902" t="s">
        <v>2694</v>
      </c>
      <c r="B71" s="2903" t="str">
        <f>'预评函-3'!A21</f>
        <v>王鹏</v>
      </c>
    </row>
    <row r="72" spans="1:2" s="2917" customFormat="1" ht="15" thickBot="1">
      <c r="A72" s="2924" t="s">
        <v>2694</v>
      </c>
      <c r="B72" s="2930">
        <f ca="1">'预评函-3'!B21</f>
        <v>2002110030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26" t="str">
        <f>IF(B10="北京市","北京市",C10)&amp;F10&amp;B16&amp;"国有建设用地使用权"&amp;B9&amp;"预评估"</f>
        <v>河北省衡水市桃城区人民路南侧、问津街西侧出让国有建设用地使用权抵押价格预评估</v>
      </c>
      <c r="C1" s="3227"/>
      <c r="D1" s="3227"/>
      <c r="E1" s="3227"/>
      <c r="F1" s="3227"/>
      <c r="G1" s="3227"/>
      <c r="H1" s="3227"/>
      <c r="I1" s="3228"/>
      <c r="J1" s="1693"/>
      <c r="K1" s="2479" t="str">
        <f>IF(B10="北京市","北京市",C10)&amp;F10&amp;B16&amp;"国有建设用地使用权"&amp;B9</f>
        <v>河北省衡水市桃城区人民路南侧、问津街西侧出让国有建设用地使用权抵押价格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河北省衡水市桃城区人民路南侧、问津街西侧出让国有建设用地使用权</v>
      </c>
      <c r="L2" s="1722"/>
      <c r="M2" s="1722"/>
      <c r="N2" s="1693"/>
      <c r="O2" s="1694"/>
      <c r="P2" s="1693"/>
      <c r="Q2" s="1693"/>
      <c r="R2" s="1693"/>
      <c r="S2" s="1693"/>
      <c r="T2" s="1693"/>
      <c r="U2" s="1693"/>
    </row>
    <row r="3" spans="1:21">
      <c r="A3" s="1660" t="s">
        <v>1941</v>
      </c>
      <c r="B3" s="1661">
        <v>43215</v>
      </c>
      <c r="C3" s="1662" t="s">
        <v>1997</v>
      </c>
      <c r="D3" s="1661">
        <f>B3</f>
        <v>43215</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2984</v>
      </c>
      <c r="C4" s="1845">
        <f>SUMIF(土地估价师,B4,估价师及机构信息!E3:E24)</f>
        <v>2014110011</v>
      </c>
      <c r="D4" s="1842" t="s">
        <v>2985</v>
      </c>
      <c r="E4" s="1845">
        <f ca="1">SUMIF(土地估价师,D4,估价师及机构信息!E3:E24)</f>
        <v>2002110030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郑燚、王鹏</v>
      </c>
      <c r="L4" s="1722"/>
      <c r="M4" s="1722"/>
      <c r="N4" s="1693"/>
      <c r="O4" s="1694"/>
      <c r="P4" s="1693"/>
      <c r="Q4" s="1693"/>
      <c r="R4" s="1693"/>
      <c r="S4" s="1693"/>
      <c r="T4" s="1693"/>
      <c r="U4" s="1693"/>
    </row>
    <row r="5" spans="1:21" ht="15" thickTop="1">
      <c r="A5" s="1664" t="s">
        <v>1943</v>
      </c>
      <c r="B5" s="1788" t="s">
        <v>2986</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2987</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2710</v>
      </c>
      <c r="B7" s="1788" t="str">
        <f>B5</f>
        <v>衡水斯凯学园房地产开发有限公司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2988</v>
      </c>
      <c r="C8" s="1670"/>
      <c r="D8" s="3232" t="s">
        <v>1946</v>
      </c>
      <c r="E8" s="1843" t="s">
        <v>2989</v>
      </c>
      <c r="F8" s="1671"/>
      <c r="G8" s="1659"/>
      <c r="H8" s="1659"/>
      <c r="I8" s="1706"/>
      <c r="J8" s="1693"/>
      <c r="K8" s="1773"/>
      <c r="L8" s="1722"/>
      <c r="M8" s="1722"/>
      <c r="N8" s="1693"/>
      <c r="O8" s="1694"/>
      <c r="P8" s="1693"/>
      <c r="Q8" s="1693"/>
      <c r="R8" s="1693"/>
      <c r="S8" s="1693"/>
      <c r="T8" s="1693"/>
      <c r="U8" s="1693"/>
    </row>
    <row r="9" spans="1:21" ht="15" thickBot="1">
      <c r="A9" s="1672" t="s">
        <v>1945</v>
      </c>
      <c r="B9" s="1673" t="s">
        <v>2989</v>
      </c>
      <c r="C9" s="1674"/>
      <c r="D9" s="3233"/>
      <c r="E9" s="1673" t="s">
        <v>951</v>
      </c>
      <c r="F9" s="1746"/>
      <c r="G9" s="1741"/>
      <c r="H9" s="1741"/>
      <c r="I9" s="1742"/>
      <c r="J9" s="1693"/>
      <c r="K9" s="1773"/>
      <c r="L9" s="1722"/>
      <c r="M9" s="1722"/>
      <c r="N9" s="1693"/>
      <c r="O9" s="1694"/>
      <c r="P9" s="1693"/>
      <c r="Q9" s="1693"/>
      <c r="R9" s="1693"/>
      <c r="S9" s="1693"/>
      <c r="T9" s="1693"/>
      <c r="U9" s="1693"/>
    </row>
    <row r="10" spans="1:21" ht="15" thickTop="1">
      <c r="A10" s="1743" t="s">
        <v>2001</v>
      </c>
      <c r="B10" s="1718" t="s">
        <v>2990</v>
      </c>
      <c r="C10" s="1675" t="s">
        <v>2991</v>
      </c>
      <c r="D10" s="1666"/>
      <c r="E10" s="1676" t="s">
        <v>1948</v>
      </c>
      <c r="F10" s="1677" t="s">
        <v>2992</v>
      </c>
      <c r="G10" s="1744"/>
      <c r="H10" s="1745"/>
      <c r="I10" s="1666"/>
      <c r="J10" s="1693"/>
      <c r="K10" s="1773"/>
      <c r="L10" s="1722"/>
      <c r="M10" s="1722"/>
      <c r="N10" s="1693"/>
      <c r="O10" s="1694"/>
      <c r="P10" s="1693"/>
      <c r="Q10" s="1693"/>
      <c r="R10" s="1693"/>
      <c r="S10" s="1693"/>
      <c r="T10" s="1693"/>
      <c r="U10" s="1693"/>
    </row>
    <row r="11" spans="1:21">
      <c r="A11" s="1696" t="s">
        <v>2002</v>
      </c>
      <c r="B11" s="1697" t="s">
        <v>2993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29"/>
      <c r="C12" s="3230"/>
      <c r="D12" s="3231"/>
      <c r="E12" s="1698" t="s">
        <v>2063</v>
      </c>
      <c r="F12" s="3247" t="s">
        <v>2892</v>
      </c>
      <c r="G12" s="3248"/>
      <c r="H12" s="3248"/>
      <c r="I12" s="3249"/>
      <c r="J12" s="1693"/>
      <c r="K12" s="1773"/>
      <c r="L12" s="1722"/>
      <c r="M12" s="1722"/>
      <c r="N12" s="1693"/>
      <c r="O12" s="1694"/>
      <c r="P12" s="1693"/>
      <c r="Q12" s="1693"/>
      <c r="R12" s="1693"/>
      <c r="S12" s="1693"/>
      <c r="T12" s="1693"/>
      <c r="U12" s="1693"/>
    </row>
    <row r="13" spans="1:21">
      <c r="A13" s="1686" t="s">
        <v>2061</v>
      </c>
      <c r="B13" s="3229"/>
      <c r="C13" s="3230"/>
      <c r="D13" s="3231"/>
      <c r="E13" s="1698" t="s">
        <v>2063</v>
      </c>
      <c r="F13" s="3247" t="s">
        <v>2893</v>
      </c>
      <c r="G13" s="3248"/>
      <c r="H13" s="3248"/>
      <c r="I13" s="3249"/>
      <c r="J13" s="1693"/>
      <c r="K13" s="1773"/>
      <c r="L13" s="1722"/>
      <c r="M13" s="1722"/>
      <c r="N13" s="1693"/>
      <c r="O13" s="1694"/>
      <c r="P13" s="1693"/>
      <c r="Q13" s="1693"/>
      <c r="R13" s="1693"/>
      <c r="S13" s="1693"/>
      <c r="T13" s="1693"/>
      <c r="U13" s="1693"/>
    </row>
    <row r="14" spans="1:21">
      <c r="A14" s="1660"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2995</v>
      </c>
      <c r="C16" s="1698" t="s">
        <v>1950</v>
      </c>
      <c r="D16" s="2670" t="s">
        <v>1951</v>
      </c>
      <c r="E16" s="1721" t="s">
        <v>2994</v>
      </c>
      <c r="F16" s="1721"/>
      <c r="G16" s="1721"/>
      <c r="H16" s="1721"/>
      <c r="I16" s="1685" t="s">
        <v>1956</v>
      </c>
      <c r="J16" s="1693"/>
      <c r="K16" s="2480" t="str">
        <f>IF(D17="","",D16&amp;TEXT(D17,"yyyy年m月d日;;"))</f>
        <v>住宅2081年1月25日</v>
      </c>
      <c r="L16" s="1698" t="str">
        <f>IF(OR(K16="",M16=""),"","、")</f>
        <v>、</v>
      </c>
      <c r="M16" s="2480" t="str">
        <f>IF(E17="","",E16&amp;TEXT(E17,"yyyy年m月d日;;"))</f>
        <v>商业2052年11月12日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1957</v>
      </c>
      <c r="D17" s="1699">
        <v>66136</v>
      </c>
      <c r="E17" s="1699">
        <v>55835</v>
      </c>
      <c r="F17" s="1699"/>
      <c r="G17" s="1699"/>
      <c r="H17" s="1699"/>
      <c r="I17" s="1699"/>
      <c r="J17" s="1693"/>
      <c r="K17" s="2479" t="str">
        <f>CONCATENATE(K16,L16,M16,N16,O16,P16,Q16,R16,S16,T16,,U16)</f>
        <v>住宅2081年1月25日、商业2052年11月12日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62.79</v>
      </c>
      <c r="E19" s="1684">
        <f>IF(B16="出让",IF(E17="","",ROUNDDOWN(MIN((E17-$D$3)/365,E18),2)),E18)</f>
        <v>34.57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4"/>
      <c r="E20" s="3245"/>
      <c r="F20" s="3245"/>
      <c r="G20" s="3245"/>
      <c r="H20" s="3245"/>
      <c r="I20" s="3246"/>
      <c r="J20" s="1693"/>
      <c r="K20" s="1773"/>
      <c r="L20" s="1722"/>
      <c r="M20" s="1722"/>
      <c r="N20" s="1693"/>
      <c r="O20" s="1694"/>
      <c r="P20" s="1693"/>
      <c r="Q20" s="1693"/>
      <c r="R20" s="1693"/>
      <c r="S20" s="1693"/>
      <c r="T20" s="1693"/>
      <c r="U20" s="1693"/>
    </row>
    <row r="21" spans="1:21">
      <c r="A21" s="1762" t="s">
        <v>1960</v>
      </c>
      <c r="B21" s="1763" t="s">
        <v>1961</v>
      </c>
      <c r="C21" s="1758">
        <f>'数据-汇总表'!E3</f>
        <v>195134.96</v>
      </c>
      <c r="D21" s="1759" t="s">
        <v>1962</v>
      </c>
      <c r="E21" s="3234" t="s">
        <v>2000</v>
      </c>
      <c r="F21" s="3235"/>
      <c r="G21" s="3235"/>
      <c r="H21" s="3235"/>
      <c r="I21" s="3236"/>
      <c r="J21" s="1693"/>
      <c r="K21" s="1773"/>
      <c r="L21" s="1722"/>
      <c r="M21" s="1722"/>
      <c r="N21" s="1693"/>
      <c r="O21" s="1694"/>
      <c r="P21" s="1693"/>
      <c r="Q21" s="1693"/>
      <c r="R21" s="1693"/>
      <c r="S21" s="1693"/>
      <c r="T21" s="1693"/>
      <c r="U21" s="1693"/>
    </row>
    <row r="22" spans="1:21">
      <c r="A22" s="3179" t="s">
        <v>951</v>
      </c>
      <c r="B22" s="1660" t="s">
        <v>1963</v>
      </c>
      <c r="C22" s="1685">
        <f>'数据-汇总表'!D3</f>
        <v>38282.36</v>
      </c>
      <c r="D22" s="1686" t="s">
        <v>1962</v>
      </c>
      <c r="E22" s="3234" t="s">
        <v>2894</v>
      </c>
      <c r="F22" s="3235"/>
      <c r="G22" s="3235"/>
      <c r="H22" s="3235"/>
      <c r="I22" s="3236"/>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7" t="s">
        <v>1968</v>
      </c>
      <c r="C24" s="3238"/>
      <c r="D24" s="3239" t="s">
        <v>1969</v>
      </c>
      <c r="E24" s="3240"/>
      <c r="F24" s="1707" t="s">
        <v>1970</v>
      </c>
      <c r="G24" s="1693"/>
      <c r="H24" s="1693"/>
      <c r="I24" s="1706"/>
      <c r="J24" s="1693"/>
      <c r="K24" s="3225"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2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2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52" t="s">
        <v>2003</v>
      </c>
      <c r="B31" s="1763" t="s">
        <v>2004</v>
      </c>
      <c r="C31" s="3250"/>
      <c r="D31" s="3251"/>
      <c r="E31" s="1693"/>
      <c r="F31" s="1693"/>
      <c r="G31" s="1693"/>
      <c r="H31" s="1693"/>
      <c r="I31" s="1706"/>
      <c r="J31" s="1693"/>
      <c r="K31" s="2482"/>
      <c r="L31" s="1693"/>
      <c r="M31" s="1693"/>
      <c r="N31" s="1693"/>
      <c r="O31" s="1693"/>
      <c r="P31" s="1693"/>
      <c r="Q31" s="1693"/>
      <c r="R31" s="1693"/>
      <c r="S31" s="1693"/>
      <c r="T31" s="1693"/>
      <c r="U31" s="1693"/>
    </row>
    <row r="32" spans="1:21">
      <c r="A32" s="3252"/>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52"/>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53"/>
      <c r="B34" s="1660" t="s">
        <v>2007</v>
      </c>
      <c r="C34" s="3254"/>
      <c r="D34" s="3255"/>
      <c r="E34" s="1693"/>
      <c r="F34" s="1693"/>
      <c r="G34" s="1693"/>
      <c r="H34" s="1693"/>
      <c r="I34" s="1706"/>
      <c r="J34" s="1693"/>
      <c r="K34" s="2482"/>
      <c r="L34" s="1693"/>
      <c r="M34" s="1693"/>
      <c r="N34" s="1693"/>
      <c r="O34" s="1693"/>
      <c r="P34" s="1693"/>
      <c r="Q34" s="1693"/>
      <c r="R34" s="1693"/>
      <c r="S34" s="1693"/>
      <c r="T34" s="1693"/>
      <c r="U34" s="1693"/>
    </row>
    <row r="35" spans="1:21">
      <c r="A35" s="3256" t="s">
        <v>846</v>
      </c>
      <c r="B35" s="1721"/>
      <c r="C35" s="1775" t="str">
        <f>IF(B35="场地平整","——","具体情况：")</f>
        <v>具体情况：</v>
      </c>
      <c r="D35" s="3258"/>
      <c r="E35" s="3259"/>
      <c r="F35" s="3259"/>
      <c r="G35" s="3259"/>
      <c r="H35" s="3259"/>
      <c r="I35" s="3260"/>
      <c r="J35" s="1693"/>
      <c r="K35" s="1774"/>
      <c r="L35" s="1722"/>
      <c r="M35" s="1722"/>
      <c r="N35" s="1693"/>
      <c r="O35" s="1694"/>
      <c r="P35" s="1693"/>
      <c r="Q35" s="1693"/>
      <c r="R35" s="1693"/>
      <c r="S35" s="1693"/>
      <c r="T35" s="1693"/>
      <c r="U35" s="1693"/>
    </row>
    <row r="36" spans="1:21">
      <c r="A36" s="3252"/>
      <c r="B36" s="3261" t="s">
        <v>2056</v>
      </c>
      <c r="C36" s="3262"/>
      <c r="D36" s="1791"/>
      <c r="E36" s="3263"/>
      <c r="F36" s="3263"/>
      <c r="G36" s="1686" t="str">
        <f>IF(B35="场地未平整","估价结果处理","")</f>
        <v/>
      </c>
      <c r="H36" s="3264"/>
      <c r="I36" s="3264"/>
      <c r="J36" s="1693"/>
      <c r="K36" s="1774"/>
      <c r="L36" s="1722"/>
      <c r="M36" s="1722"/>
      <c r="N36" s="1693"/>
      <c r="O36" s="1694"/>
      <c r="P36" s="1693"/>
      <c r="Q36" s="1693"/>
      <c r="R36" s="1693"/>
      <c r="S36" s="1693"/>
      <c r="T36" s="1693"/>
      <c r="U36" s="1693"/>
    </row>
    <row r="37" spans="1:21" ht="28.5">
      <c r="A37" s="3252"/>
      <c r="B37" s="3241"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52"/>
      <c r="B38" s="3242"/>
      <c r="C38" s="1668" t="s">
        <v>849</v>
      </c>
      <c r="D38" s="1790">
        <f>ROUNDDOWN(MIN(('数据-取费表'!$B$2-D37)/365,D34),1)</f>
        <v>118.3</v>
      </c>
      <c r="E38" s="1726" t="s">
        <v>850</v>
      </c>
      <c r="F38" s="1693"/>
      <c r="G38" s="1693"/>
      <c r="H38" s="1693"/>
      <c r="I38" s="1706"/>
      <c r="J38" s="1693"/>
      <c r="K38" s="1774"/>
      <c r="L38" s="1693"/>
      <c r="M38" s="1693"/>
      <c r="N38" s="1693"/>
      <c r="O38" s="1693"/>
      <c r="P38" s="1693"/>
      <c r="Q38" s="1693"/>
      <c r="R38" s="1693"/>
      <c r="S38" s="1693"/>
      <c r="T38" s="1693"/>
      <c r="U38" s="1693"/>
    </row>
    <row r="39" spans="1:21">
      <c r="A39" s="3253"/>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24" t="s">
        <v>1987</v>
      </c>
      <c r="T40" s="1730" t="str">
        <f>NUMBERSTRING(7-K40,1)&amp;"通"</f>
        <v>七通</v>
      </c>
      <c r="U40" s="1693"/>
    </row>
    <row r="41" spans="1:21" ht="28.5">
      <c r="A41" s="1662"/>
      <c r="B41" s="3257" t="s">
        <v>1721</v>
      </c>
      <c r="C41" s="3257"/>
      <c r="D41" s="3257"/>
      <c r="E41" s="3257"/>
      <c r="F41" s="1731" t="str">
        <f>C10</f>
        <v>河北省衡水市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4"/>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tabColor rgb="FFFFFF00"/>
  </sheetPr>
  <dimension ref="A1:L15"/>
  <sheetViews>
    <sheetView workbookViewId="0">
      <selection activeCell="J36" sqref="J36"/>
    </sheetView>
  </sheetViews>
  <sheetFormatPr defaultRowHeight="13.5"/>
  <cols>
    <col min="1" max="1" width="13.5" customWidth="1"/>
    <col min="3" max="3" width="11.875" customWidth="1"/>
    <col min="4" max="4" width="13.5" customWidth="1"/>
    <col min="5" max="5" width="14.5" customWidth="1"/>
    <col min="9" max="9" width="13.5" customWidth="1"/>
    <col min="10" max="10" width="12.625" customWidth="1"/>
    <col min="11" max="11" width="12.875" customWidth="1"/>
  </cols>
  <sheetData>
    <row r="1" spans="1:12">
      <c r="A1" s="3182" t="s">
        <v>2996</v>
      </c>
      <c r="C1" s="3182" t="s">
        <v>2997</v>
      </c>
      <c r="E1" s="3182" t="s">
        <v>2998</v>
      </c>
      <c r="I1" s="3182" t="s">
        <v>3073</v>
      </c>
      <c r="K1" s="3182" t="s">
        <v>3085</v>
      </c>
      <c r="L1" s="3182" t="s">
        <v>3088</v>
      </c>
    </row>
    <row r="2" spans="1:12">
      <c r="A2">
        <v>107054.08</v>
      </c>
      <c r="B2" s="3182" t="s">
        <v>2999</v>
      </c>
      <c r="C2">
        <v>294420.96999999997</v>
      </c>
      <c r="D2" s="3182" t="s">
        <v>2999</v>
      </c>
      <c r="E2">
        <v>155016.75</v>
      </c>
      <c r="I2" s="3182" t="s">
        <v>3074</v>
      </c>
      <c r="J2">
        <v>18042.95</v>
      </c>
      <c r="K2">
        <f>ROUND(J2/156935.22*4452.15,2)</f>
        <v>511.87</v>
      </c>
      <c r="L2">
        <f>J2-K2</f>
        <v>17531.080000000002</v>
      </c>
    </row>
    <row r="3" spans="1:12">
      <c r="D3" s="3182" t="s">
        <v>3000</v>
      </c>
      <c r="E3">
        <v>152483.07</v>
      </c>
      <c r="I3" s="3182" t="s">
        <v>3075</v>
      </c>
      <c r="J3">
        <v>16979.28</v>
      </c>
      <c r="K3">
        <f t="shared" ref="K3:K10" si="0">ROUND(J3/156935.22*4452.15,2)</f>
        <v>481.69</v>
      </c>
      <c r="L3">
        <f t="shared" ref="L3:L10" si="1">J3-K3</f>
        <v>16497.59</v>
      </c>
    </row>
    <row r="4" spans="1:12">
      <c r="D4" s="3182" t="s">
        <v>3001</v>
      </c>
      <c r="E4">
        <v>2223.52</v>
      </c>
      <c r="I4" s="3182" t="s">
        <v>3076</v>
      </c>
      <c r="J4">
        <v>15445.55</v>
      </c>
      <c r="K4">
        <f t="shared" si="0"/>
        <v>438.18</v>
      </c>
      <c r="L4">
        <f t="shared" si="1"/>
        <v>15007.369999999999</v>
      </c>
    </row>
    <row r="5" spans="1:12">
      <c r="D5" s="3182" t="s">
        <v>3002</v>
      </c>
      <c r="E5">
        <v>164.16</v>
      </c>
      <c r="I5" s="3182" t="s">
        <v>3077</v>
      </c>
      <c r="J5">
        <v>18095.02</v>
      </c>
      <c r="K5">
        <f t="shared" si="0"/>
        <v>513.34</v>
      </c>
      <c r="L5">
        <f t="shared" si="1"/>
        <v>17581.68</v>
      </c>
    </row>
    <row r="6" spans="1:12">
      <c r="D6" s="3182" t="s">
        <v>3003</v>
      </c>
      <c r="E6">
        <v>146</v>
      </c>
      <c r="I6" s="3182" t="s">
        <v>3078</v>
      </c>
      <c r="J6">
        <v>15512.17</v>
      </c>
      <c r="K6">
        <f t="shared" si="0"/>
        <v>440.07</v>
      </c>
      <c r="L6">
        <f>J6-K6</f>
        <v>15072.1</v>
      </c>
    </row>
    <row r="7" spans="1:12">
      <c r="C7" s="3182" t="s">
        <v>3004</v>
      </c>
      <c r="D7" s="3182" t="s">
        <v>3006</v>
      </c>
      <c r="E7">
        <v>40118.21</v>
      </c>
      <c r="F7">
        <v>1340</v>
      </c>
      <c r="G7" s="3182" t="s">
        <v>3007</v>
      </c>
      <c r="H7">
        <f>E7/F7</f>
        <v>29.938962686567162</v>
      </c>
      <c r="I7" s="3182" t="s">
        <v>3079</v>
      </c>
      <c r="J7">
        <v>18042.95</v>
      </c>
      <c r="K7">
        <f t="shared" si="0"/>
        <v>511.87</v>
      </c>
      <c r="L7">
        <f t="shared" si="1"/>
        <v>17531.080000000002</v>
      </c>
    </row>
    <row r="8" spans="1:12">
      <c r="C8" s="3182"/>
      <c r="D8" s="3182"/>
      <c r="I8" s="3189" t="s">
        <v>3080</v>
      </c>
      <c r="J8" s="3190">
        <v>18203.46</v>
      </c>
      <c r="K8" s="3190">
        <f t="shared" si="0"/>
        <v>516.41999999999996</v>
      </c>
      <c r="L8" s="3190">
        <f t="shared" si="1"/>
        <v>17687.04</v>
      </c>
    </row>
    <row r="9" spans="1:12">
      <c r="D9" s="3182"/>
      <c r="I9" s="3182" t="s">
        <v>3081</v>
      </c>
      <c r="J9">
        <v>18306.919999999998</v>
      </c>
      <c r="K9">
        <f t="shared" si="0"/>
        <v>519.36</v>
      </c>
      <c r="L9">
        <f t="shared" si="1"/>
        <v>17787.559999999998</v>
      </c>
    </row>
    <row r="10" spans="1:12">
      <c r="D10" s="3182"/>
      <c r="I10" s="3189" t="s">
        <v>3082</v>
      </c>
      <c r="J10" s="3190">
        <v>18306.919999999998</v>
      </c>
      <c r="K10" s="3190">
        <f t="shared" si="0"/>
        <v>519.36</v>
      </c>
      <c r="L10" s="3190">
        <f t="shared" si="1"/>
        <v>17787.559999999998</v>
      </c>
    </row>
    <row r="11" spans="1:12">
      <c r="D11" s="3182"/>
      <c r="E11">
        <f>E7+E2-E5-E6</f>
        <v>194824.8</v>
      </c>
      <c r="I11" s="3182" t="s">
        <v>3087</v>
      </c>
      <c r="J11">
        <f>SUM(J2:J10)</f>
        <v>156935.21999999997</v>
      </c>
    </row>
    <row r="12" spans="1:12">
      <c r="I12" s="3182" t="s">
        <v>3083</v>
      </c>
      <c r="J12">
        <v>2223.52</v>
      </c>
    </row>
    <row r="13" spans="1:12">
      <c r="I13" s="3182" t="s">
        <v>3084</v>
      </c>
      <c r="J13">
        <v>35666.06</v>
      </c>
    </row>
    <row r="15" spans="1:12">
      <c r="I15" s="3182" t="s">
        <v>3086</v>
      </c>
      <c r="J15">
        <f>E7-J13</f>
        <v>4452.1500000000015</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X13" activePane="bottomRight" state="frozen"/>
      <selection pane="topRight" activeCell="E1" sqref="E1"/>
      <selection pane="bottomLeft" activeCell="A12" sqref="A12"/>
      <selection pane="bottomRight" activeCell="AA31" sqref="AA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面积表!A2</f>
        <v>107054.08</v>
      </c>
      <c r="B3" s="22">
        <f>IF(C3="否",G5-AT5,G5)</f>
        <v>545682.01</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545682.01</v>
      </c>
      <c r="H5" s="27">
        <f t="shared" ref="H5:AT5" si="0">SUM(H13:H641)</f>
        <v>446904.04</v>
      </c>
      <c r="I5" s="27">
        <f t="shared" si="0"/>
        <v>270618.96999999997</v>
      </c>
      <c r="J5" s="27">
        <f t="shared" si="0"/>
        <v>0</v>
      </c>
      <c r="K5" s="27">
        <f t="shared" si="0"/>
        <v>152483.07</v>
      </c>
      <c r="L5" s="27">
        <f t="shared" si="0"/>
        <v>0</v>
      </c>
      <c r="M5" s="27">
        <f t="shared" si="0"/>
        <v>0</v>
      </c>
      <c r="N5" s="27">
        <f t="shared" si="0"/>
        <v>0</v>
      </c>
      <c r="O5" s="27">
        <f t="shared" si="0"/>
        <v>23802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98777.97</v>
      </c>
      <c r="AD5" s="27">
        <f t="shared" si="0"/>
        <v>2387.6799999999998</v>
      </c>
      <c r="AE5" s="27">
        <f t="shared" si="0"/>
        <v>0</v>
      </c>
      <c r="AF5" s="27">
        <f t="shared" si="0"/>
        <v>0</v>
      </c>
      <c r="AG5" s="27">
        <f t="shared" si="0"/>
        <v>0</v>
      </c>
      <c r="AH5" s="27">
        <f t="shared" si="0"/>
        <v>0</v>
      </c>
      <c r="AI5" s="27">
        <f t="shared" si="0"/>
        <v>0</v>
      </c>
      <c r="AJ5" s="27">
        <f t="shared" si="0"/>
        <v>0</v>
      </c>
      <c r="AK5" s="27">
        <f t="shared" si="0"/>
        <v>0</v>
      </c>
      <c r="AL5" s="27">
        <f t="shared" si="0"/>
        <v>146</v>
      </c>
      <c r="AM5" s="27">
        <f t="shared" si="0"/>
        <v>0</v>
      </c>
      <c r="AN5" s="27">
        <f t="shared" si="0"/>
        <v>96244.290000000008</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195134.96</v>
      </c>
      <c r="BA5" s="29">
        <f t="shared" si="1"/>
        <v>152483.07</v>
      </c>
      <c r="BB5" s="29">
        <f t="shared" si="1"/>
        <v>0</v>
      </c>
      <c r="BC5" s="29">
        <f t="shared" si="1"/>
        <v>152483.07</v>
      </c>
      <c r="BD5" s="29">
        <f t="shared" si="1"/>
        <v>0</v>
      </c>
      <c r="BE5" s="29">
        <f t="shared" si="1"/>
        <v>0</v>
      </c>
      <c r="BF5" s="29">
        <f t="shared" si="1"/>
        <v>0</v>
      </c>
      <c r="BG5" s="29">
        <f t="shared" si="1"/>
        <v>0</v>
      </c>
      <c r="BH5" s="29">
        <f t="shared" si="1"/>
        <v>0</v>
      </c>
      <c r="BI5" s="29">
        <f t="shared" si="1"/>
        <v>0</v>
      </c>
      <c r="BJ5" s="29">
        <f t="shared" si="1"/>
        <v>0</v>
      </c>
      <c r="BK5" s="29">
        <f t="shared" si="1"/>
        <v>0</v>
      </c>
      <c r="BL5" s="29">
        <f t="shared" si="1"/>
        <v>42651.89</v>
      </c>
      <c r="BM5" s="29">
        <f t="shared" si="1"/>
        <v>2387.6799999999998</v>
      </c>
      <c r="BN5" s="29">
        <f t="shared" si="1"/>
        <v>0</v>
      </c>
      <c r="BO5" s="29">
        <f t="shared" si="1"/>
        <v>0</v>
      </c>
      <c r="BP5" s="29">
        <f t="shared" si="1"/>
        <v>0</v>
      </c>
      <c r="BQ5" s="29">
        <f t="shared" si="1"/>
        <v>146</v>
      </c>
      <c r="BR5" s="29">
        <f t="shared" si="1"/>
        <v>40118.21</v>
      </c>
      <c r="BS5" s="29">
        <f t="shared" si="1"/>
        <v>0</v>
      </c>
      <c r="BT5" s="30">
        <f t="shared" si="1"/>
        <v>0</v>
      </c>
    </row>
    <row r="6" spans="1:72" s="37" customFormat="1" ht="12.75">
      <c r="A6" s="26" t="s">
        <v>169</v>
      </c>
      <c r="B6" s="31"/>
      <c r="C6" s="31"/>
      <c r="D6" s="32"/>
      <c r="E6" s="27">
        <f>H6+AC6+AT6</f>
        <v>107054.07</v>
      </c>
      <c r="F6" s="27" t="s">
        <v>1</v>
      </c>
      <c r="G6" s="27" t="s">
        <v>2</v>
      </c>
      <c r="H6" s="33">
        <f>SUMIF(I$12:AB$12,"总值",I6:AB6)</f>
        <v>87675.420000000013</v>
      </c>
      <c r="I6" s="27">
        <f t="shared" ref="I6:AB6" si="2">ROUND($A$3*I5/$B$3,2)</f>
        <v>53091.11</v>
      </c>
      <c r="J6" s="27">
        <f t="shared" si="2"/>
        <v>0</v>
      </c>
      <c r="K6" s="27">
        <f t="shared" si="2"/>
        <v>29914.74</v>
      </c>
      <c r="L6" s="27">
        <f t="shared" si="2"/>
        <v>0</v>
      </c>
      <c r="M6" s="27">
        <f t="shared" si="2"/>
        <v>0</v>
      </c>
      <c r="N6" s="27">
        <f t="shared" si="2"/>
        <v>0</v>
      </c>
      <c r="O6" s="27">
        <f t="shared" si="2"/>
        <v>4669.57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19378.650000000001</v>
      </c>
      <c r="AD6" s="27">
        <f t="shared" ref="AD6:AS6" si="3">ROUND($A$3*AD5/$B$3,2)</f>
        <v>468.42</v>
      </c>
      <c r="AE6" s="27">
        <f t="shared" si="3"/>
        <v>0</v>
      </c>
      <c r="AF6" s="27">
        <f t="shared" si="3"/>
        <v>0</v>
      </c>
      <c r="AG6" s="27">
        <f t="shared" si="3"/>
        <v>0</v>
      </c>
      <c r="AH6" s="27">
        <f t="shared" si="3"/>
        <v>0</v>
      </c>
      <c r="AI6" s="27">
        <f t="shared" si="3"/>
        <v>0</v>
      </c>
      <c r="AJ6" s="27">
        <f t="shared" si="3"/>
        <v>0</v>
      </c>
      <c r="AK6" s="27">
        <f t="shared" si="3"/>
        <v>0</v>
      </c>
      <c r="AL6" s="27">
        <f t="shared" si="3"/>
        <v>28.64</v>
      </c>
      <c r="AM6" s="27">
        <f t="shared" si="3"/>
        <v>0</v>
      </c>
      <c r="AN6" s="27">
        <f t="shared" si="3"/>
        <v>18881.59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38282.36</v>
      </c>
      <c r="AZ6" s="27" t="s">
        <v>3</v>
      </c>
      <c r="BA6" s="27">
        <f>ROUND($AY$6*BA5/$AZ$5,2)</f>
        <v>29914.74</v>
      </c>
      <c r="BB6" s="27">
        <f>ROUND($AY$6*BB5/$AZ$5,2)</f>
        <v>0</v>
      </c>
      <c r="BC6" s="27">
        <f t="shared" ref="BC6:BH6" si="4">ROUND($AY$6*BC5/$AZ$5,2)</f>
        <v>29914.74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8367.6200000000008</v>
      </c>
      <c r="BM6" s="27">
        <f t="shared" si="5"/>
        <v>468.42</v>
      </c>
      <c r="BN6" s="27">
        <f t="shared" si="5"/>
        <v>0</v>
      </c>
      <c r="BO6" s="27">
        <f t="shared" si="5"/>
        <v>0</v>
      </c>
      <c r="BP6" s="27">
        <f t="shared" si="5"/>
        <v>0</v>
      </c>
      <c r="BQ6" s="27">
        <f t="shared" si="5"/>
        <v>28.64</v>
      </c>
      <c r="BR6" s="27">
        <f t="shared" si="5"/>
        <v>7870.55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3015</v>
      </c>
      <c r="J9" s="51"/>
      <c r="K9" s="3043" t="s">
        <v>3015</v>
      </c>
      <c r="L9" s="51"/>
      <c r="M9" s="3043" t="s">
        <v>3017</v>
      </c>
      <c r="N9" s="51"/>
      <c r="O9" s="59" t="s">
        <v>3015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922</v>
      </c>
      <c r="J10" s="51"/>
      <c r="K10" s="3045" t="s">
        <v>922</v>
      </c>
      <c r="L10" s="51"/>
      <c r="M10" s="3045" t="s">
        <v>3005</v>
      </c>
      <c r="N10" s="51"/>
      <c r="O10" s="66" t="s">
        <v>2994</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3016</v>
      </c>
      <c r="J11" s="71"/>
      <c r="K11" s="3044" t="s">
        <v>3016</v>
      </c>
      <c r="L11" s="71"/>
      <c r="M11" s="70" t="s">
        <v>3005</v>
      </c>
      <c r="N11" s="71"/>
      <c r="O11" s="70" t="s">
        <v>3020</v>
      </c>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普通住宅</v>
      </c>
      <c r="BD12" s="79" t="str">
        <f>M11</f>
        <v>车库</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3008</v>
      </c>
      <c r="D13" s="3039" t="s">
        <v>3014</v>
      </c>
      <c r="E13" s="27">
        <f t="shared" ref="E13:E20" si="6">IF($C$3="是",ROUND($A$3*G13/$B$3,2),ROUND($A$3*(G13-AT13)/$B$3,2))</f>
        <v>53091.11</v>
      </c>
      <c r="F13" s="81"/>
      <c r="G13" s="82">
        <f t="shared" ref="G13:G20" si="7">H13+AC13+AT13</f>
        <v>270618.96999999997</v>
      </c>
      <c r="H13" s="33">
        <f t="shared" ref="H13:H20" si="8">SUMIF(I$12:AB$12,"总值",I13:AB13)</f>
        <v>270618.96999999997</v>
      </c>
      <c r="I13" s="3042">
        <v>270618.96999999997</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已建住宅</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3010</v>
      </c>
      <c r="D14" s="3039" t="s">
        <v>1678</v>
      </c>
      <c r="E14" s="27">
        <f t="shared" si="6"/>
        <v>29914.74</v>
      </c>
      <c r="F14" s="81"/>
      <c r="G14" s="82">
        <f t="shared" si="7"/>
        <v>152483.07</v>
      </c>
      <c r="H14" s="33">
        <f t="shared" si="8"/>
        <v>152483.07</v>
      </c>
      <c r="I14" s="3042"/>
      <c r="J14" s="3042"/>
      <c r="K14" s="3042">
        <f>面积表!E3</f>
        <v>152483.07</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未建住宅</v>
      </c>
      <c r="AY14" s="995">
        <f t="shared" si="11"/>
        <v>29914.74</v>
      </c>
      <c r="AZ14" s="27">
        <f t="shared" si="12"/>
        <v>152483.07</v>
      </c>
      <c r="BA14" s="27">
        <f t="shared" si="13"/>
        <v>152483.07</v>
      </c>
      <c r="BB14" s="27">
        <f t="shared" si="14"/>
        <v>0</v>
      </c>
      <c r="BC14" s="27">
        <f t="shared" si="15"/>
        <v>152483.07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3011</v>
      </c>
      <c r="D15" s="3039" t="s">
        <v>1678</v>
      </c>
      <c r="E15" s="27">
        <f t="shared" si="6"/>
        <v>468.42</v>
      </c>
      <c r="F15" s="81"/>
      <c r="G15" s="82">
        <f t="shared" si="7"/>
        <v>2387.6799999999998</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2387.6799999999998</v>
      </c>
      <c r="AD15" s="3046">
        <f>面积表!E4+面积表!E5</f>
        <v>2387.6799999999998</v>
      </c>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幼儿园</v>
      </c>
      <c r="AY15" s="995">
        <f t="shared" si="11"/>
        <v>468.42</v>
      </c>
      <c r="AZ15" s="27">
        <f t="shared" si="12"/>
        <v>2387.6799999999998</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2387.6799999999998</v>
      </c>
      <c r="BM15" s="27">
        <f t="shared" si="25"/>
        <v>2387.6799999999998</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3012</v>
      </c>
      <c r="D16" s="3039" t="s">
        <v>1678</v>
      </c>
      <c r="E16" s="27">
        <f t="shared" si="6"/>
        <v>28.64</v>
      </c>
      <c r="F16" s="81"/>
      <c r="G16" s="82">
        <f t="shared" si="7"/>
        <v>146</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146</v>
      </c>
      <c r="AD16" s="3046"/>
      <c r="AE16" s="3046"/>
      <c r="AF16" s="3046"/>
      <c r="AG16" s="3046"/>
      <c r="AH16" s="3046"/>
      <c r="AI16" s="3046"/>
      <c r="AJ16" s="3046"/>
      <c r="AK16" s="3046"/>
      <c r="AL16" s="3046">
        <f>面积表!E6</f>
        <v>146</v>
      </c>
      <c r="AM16" s="3046"/>
      <c r="AN16" s="3046"/>
      <c r="AO16" s="3046"/>
      <c r="AP16" s="3046"/>
      <c r="AQ16" s="3046"/>
      <c r="AR16" s="3046"/>
      <c r="AS16" s="3046"/>
      <c r="AT16" s="3047"/>
      <c r="AU16" s="3048"/>
      <c r="AV16" s="17">
        <f t="shared" si="10"/>
        <v>0</v>
      </c>
      <c r="AW16" s="17">
        <f t="shared" si="10"/>
        <v>0</v>
      </c>
      <c r="AX16" s="17" t="str">
        <f t="shared" si="10"/>
        <v>设备用房</v>
      </c>
      <c r="AY16" s="995">
        <f t="shared" si="11"/>
        <v>28.64</v>
      </c>
      <c r="AZ16" s="27">
        <f t="shared" si="12"/>
        <v>146</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146</v>
      </c>
      <c r="BM16" s="27">
        <f t="shared" si="25"/>
        <v>0</v>
      </c>
      <c r="BN16" s="27">
        <f t="shared" si="26"/>
        <v>0</v>
      </c>
      <c r="BO16" s="27">
        <f t="shared" si="27"/>
        <v>0</v>
      </c>
      <c r="BP16" s="27">
        <f t="shared" si="28"/>
        <v>0</v>
      </c>
      <c r="BQ16" s="27">
        <f t="shared" si="29"/>
        <v>146</v>
      </c>
      <c r="BR16" s="27">
        <f t="shared" si="30"/>
        <v>0</v>
      </c>
      <c r="BS16" s="27">
        <f t="shared" si="31"/>
        <v>0</v>
      </c>
      <c r="BT16" s="36">
        <f t="shared" si="32"/>
        <v>0</v>
      </c>
    </row>
    <row r="17" spans="1:72" s="18" customFormat="1" ht="12.75">
      <c r="A17" s="3038"/>
      <c r="B17" s="3038"/>
      <c r="C17" s="3040" t="s">
        <v>3013</v>
      </c>
      <c r="D17" s="3039" t="s">
        <v>1678</v>
      </c>
      <c r="E17" s="27">
        <f t="shared" si="6"/>
        <v>7870.55</v>
      </c>
      <c r="F17" s="81"/>
      <c r="G17" s="82">
        <f t="shared" si="7"/>
        <v>40118.21</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40118.21</v>
      </c>
      <c r="AD17" s="3046"/>
      <c r="AE17" s="3046"/>
      <c r="AF17" s="3046"/>
      <c r="AG17" s="3046"/>
      <c r="AH17" s="3046"/>
      <c r="AI17" s="3046"/>
      <c r="AJ17" s="3046"/>
      <c r="AK17" s="3046"/>
      <c r="AL17" s="3046"/>
      <c r="AM17" s="3046"/>
      <c r="AN17" s="3046">
        <f>面积表!E7</f>
        <v>40118.21</v>
      </c>
      <c r="AO17" s="3046"/>
      <c r="AP17" s="3046"/>
      <c r="AQ17" s="3046"/>
      <c r="AR17" s="3046"/>
      <c r="AS17" s="3046"/>
      <c r="AT17" s="3047"/>
      <c r="AU17" s="3048"/>
      <c r="AV17" s="17">
        <f t="shared" si="10"/>
        <v>0</v>
      </c>
      <c r="AW17" s="17">
        <f t="shared" si="10"/>
        <v>0</v>
      </c>
      <c r="AX17" s="17" t="str">
        <f t="shared" si="10"/>
        <v>车库</v>
      </c>
      <c r="AY17" s="995">
        <f t="shared" si="11"/>
        <v>7870.55</v>
      </c>
      <c r="AZ17" s="27">
        <f t="shared" si="12"/>
        <v>40118.21</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40118.21</v>
      </c>
      <c r="BM17" s="27">
        <f t="shared" si="25"/>
        <v>0</v>
      </c>
      <c r="BN17" s="27">
        <f t="shared" si="26"/>
        <v>0</v>
      </c>
      <c r="BO17" s="27">
        <f t="shared" si="27"/>
        <v>0</v>
      </c>
      <c r="BP17" s="27">
        <f t="shared" si="28"/>
        <v>0</v>
      </c>
      <c r="BQ17" s="27">
        <f t="shared" si="29"/>
        <v>0</v>
      </c>
      <c r="BR17" s="27">
        <f t="shared" si="30"/>
        <v>40118.21</v>
      </c>
      <c r="BS17" s="27">
        <f t="shared" si="31"/>
        <v>0</v>
      </c>
      <c r="BT17" s="36">
        <f t="shared" si="32"/>
        <v>0</v>
      </c>
    </row>
    <row r="18" spans="1:72">
      <c r="A18" s="84"/>
      <c r="B18" s="85"/>
      <c r="C18" s="3183" t="s">
        <v>3018</v>
      </c>
      <c r="D18" s="3041" t="s">
        <v>3014</v>
      </c>
      <c r="E18" s="87">
        <f t="shared" si="6"/>
        <v>4669.57</v>
      </c>
      <c r="F18" s="88"/>
      <c r="G18" s="89">
        <f t="shared" si="7"/>
        <v>23802</v>
      </c>
      <c r="H18" s="90">
        <f t="shared" si="8"/>
        <v>23802</v>
      </c>
      <c r="I18" s="1394"/>
      <c r="J18" s="91"/>
      <c r="K18" s="1394"/>
      <c r="L18" s="91"/>
      <c r="M18" s="91"/>
      <c r="N18" s="91"/>
      <c r="O18" s="91">
        <v>23802</v>
      </c>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t="str">
        <f t="shared" si="10"/>
        <v>已建商业</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t="s">
        <v>3019</v>
      </c>
      <c r="D19" s="80" t="s">
        <v>3014</v>
      </c>
      <c r="E19" s="87">
        <f t="shared" si="6"/>
        <v>11011.04</v>
      </c>
      <c r="F19" s="88"/>
      <c r="G19" s="89">
        <f t="shared" si="7"/>
        <v>56126.080000000002</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56126.080000000002</v>
      </c>
      <c r="AD19" s="92"/>
      <c r="AE19" s="92"/>
      <c r="AF19" s="1394"/>
      <c r="AG19" s="92"/>
      <c r="AH19" s="92"/>
      <c r="AI19" s="92"/>
      <c r="AJ19" s="92"/>
      <c r="AK19" s="92"/>
      <c r="AL19" s="92"/>
      <c r="AM19" s="92"/>
      <c r="AN19" s="1394">
        <v>56126.080000000002</v>
      </c>
      <c r="AO19" s="92"/>
      <c r="AP19" s="92"/>
      <c r="AQ19" s="92"/>
      <c r="AR19" s="92"/>
      <c r="AS19" s="92"/>
      <c r="AT19" s="93"/>
      <c r="AU19" s="94"/>
      <c r="AV19" s="991">
        <f t="shared" si="10"/>
        <v>0</v>
      </c>
      <c r="AW19" s="991">
        <f t="shared" si="10"/>
        <v>0</v>
      </c>
      <c r="AX19" s="991" t="str">
        <f t="shared" si="10"/>
        <v>已建车库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6" t="s">
        <v>203</v>
      </c>
      <c r="B2" s="3276"/>
      <c r="C2" s="3276"/>
      <c r="D2" s="1975" t="s">
        <v>204</v>
      </c>
      <c r="E2" s="106" t="s">
        <v>205</v>
      </c>
      <c r="F2" s="1984"/>
      <c r="G2" s="1197"/>
      <c r="H2" s="1198"/>
      <c r="I2" s="1199" t="s">
        <v>856</v>
      </c>
      <c r="J2" s="1984"/>
      <c r="K2" s="1984"/>
      <c r="L2" s="1984"/>
    </row>
    <row r="3" spans="1:16" ht="15.75" thickBot="1">
      <c r="A3" s="3277" t="s">
        <v>206</v>
      </c>
      <c r="B3" s="3277"/>
      <c r="C3" s="3277"/>
      <c r="D3" s="107">
        <f>'数据-基础表'!AY6</f>
        <v>38282.36</v>
      </c>
      <c r="E3" s="107">
        <f>'数据-基础表'!AZ5</f>
        <v>195134.96</v>
      </c>
      <c r="F3" s="1984"/>
      <c r="G3" s="280" t="s">
        <v>857</v>
      </c>
      <c r="H3" s="275" t="s">
        <v>858</v>
      </c>
      <c r="I3" s="1976">
        <f>ROUND('数据-基础表'!B3/'数据-基础表'!A3,2)</f>
        <v>5.0999999999999996</v>
      </c>
      <c r="J3" s="1984"/>
      <c r="K3" s="1984"/>
      <c r="L3" s="1984"/>
    </row>
    <row r="4" spans="1:16" ht="15">
      <c r="A4" s="3278"/>
      <c r="B4" s="3279"/>
      <c r="C4" s="3280"/>
      <c r="D4" s="108" t="s">
        <v>204</v>
      </c>
      <c r="E4" s="109" t="s">
        <v>205</v>
      </c>
      <c r="F4" s="1984"/>
      <c r="G4" s="1200"/>
      <c r="H4" s="275" t="s">
        <v>859</v>
      </c>
      <c r="I4" s="1976">
        <f>ROUND(SUMIF('数据-基础表'!I9:AS9,"地上",'数据-基础表'!I5:AS5)/'数据-基础表'!A3,2)</f>
        <v>4.2</v>
      </c>
      <c r="J4" s="1984"/>
      <c r="K4" s="1984"/>
      <c r="L4" s="1984"/>
    </row>
    <row r="5" spans="1:16">
      <c r="A5" s="110" t="s">
        <v>207</v>
      </c>
      <c r="B5" s="3281" t="s">
        <v>230</v>
      </c>
      <c r="C5" s="3281"/>
      <c r="D5" s="111">
        <f>ROUND($D$3*E5/$E$3,2)</f>
        <v>29914.74</v>
      </c>
      <c r="E5" s="112">
        <f>SUMIF('数据-基础表'!$11:$11,"住宅",'数据-基础表'!$5:$5)</f>
        <v>152483.07</v>
      </c>
      <c r="F5" s="1984"/>
      <c r="G5" s="280" t="s">
        <v>860</v>
      </c>
      <c r="H5" s="275" t="s">
        <v>858</v>
      </c>
      <c r="I5" s="1976">
        <f>ROUND(E31/D31,2)</f>
        <v>5.0999999999999996</v>
      </c>
      <c r="J5" s="1984"/>
      <c r="K5" s="1984"/>
      <c r="L5" s="1984"/>
    </row>
    <row r="6" spans="1:16" ht="15" thickBot="1">
      <c r="A6" s="113"/>
      <c r="B6" s="3281" t="s">
        <v>208</v>
      </c>
      <c r="C6" s="3281"/>
      <c r="D6" s="111">
        <f>ROUND($D$3*E6/$E$3,2)</f>
        <v>8367.6200000000008</v>
      </c>
      <c r="E6" s="112">
        <f>E3-E5</f>
        <v>42651.889999999985</v>
      </c>
      <c r="F6" s="1984"/>
      <c r="G6" s="1200"/>
      <c r="H6" s="275" t="s">
        <v>859</v>
      </c>
      <c r="I6" s="1976">
        <f>ROUND(F31/D31,2)</f>
        <v>4.05</v>
      </c>
      <c r="J6" s="1984"/>
      <c r="K6" s="1984"/>
      <c r="L6" s="1984"/>
    </row>
    <row r="7" spans="1:16" ht="15">
      <c r="A7" s="3273"/>
      <c r="B7" s="3274"/>
      <c r="C7" s="3275"/>
      <c r="D7" s="108" t="s">
        <v>204</v>
      </c>
      <c r="E7" s="114" t="s">
        <v>231</v>
      </c>
      <c r="F7" s="1984"/>
      <c r="G7" s="1155" t="s">
        <v>1645</v>
      </c>
      <c r="H7" s="1156"/>
      <c r="I7" s="1846">
        <v>4.2</v>
      </c>
      <c r="J7" s="1984"/>
      <c r="K7" s="1984"/>
      <c r="L7" s="1984"/>
    </row>
    <row r="8" spans="1:16">
      <c r="A8" s="110" t="s">
        <v>209</v>
      </c>
      <c r="B8" s="115" t="s">
        <v>210</v>
      </c>
      <c r="C8" s="111" t="s">
        <v>211</v>
      </c>
      <c r="D8" s="111">
        <f t="shared" ref="D8:D15" si="0">ROUND($D$3*E8/$E$3,2)</f>
        <v>29914.74</v>
      </c>
      <c r="E8" s="116">
        <f>SUMIF('数据-基础表'!BB10:BK10,"地上",'数据-基础表'!BB5:BK5)</f>
        <v>152483.07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29914.74</v>
      </c>
      <c r="E16" s="120">
        <f>SUM(E8:E15)</f>
        <v>152483.07</v>
      </c>
      <c r="F16" s="1984"/>
      <c r="G16" s="1986"/>
      <c r="H16" s="968" t="s">
        <v>219</v>
      </c>
      <c r="I16" s="969"/>
      <c r="J16" s="1984"/>
      <c r="K16" s="3267" t="s">
        <v>2569</v>
      </c>
      <c r="L16" s="3268"/>
      <c r="M16" s="3268"/>
      <c r="N16" s="3268"/>
      <c r="O16" s="3268"/>
      <c r="P16" s="3269"/>
    </row>
    <row r="17" spans="1:19" ht="15">
      <c r="A17" s="121" t="s">
        <v>216</v>
      </c>
      <c r="B17" s="122" t="s">
        <v>217</v>
      </c>
      <c r="C17" s="2298" t="s">
        <v>2315</v>
      </c>
      <c r="D17" s="108" t="s">
        <v>204</v>
      </c>
      <c r="E17" s="124" t="s">
        <v>205</v>
      </c>
      <c r="F17" s="125"/>
      <c r="G17" s="1365"/>
      <c r="H17" s="970" t="s">
        <v>218</v>
      </c>
      <c r="I17" s="971" t="s">
        <v>2314</v>
      </c>
      <c r="J17" s="1984"/>
      <c r="K17" s="3270" t="s">
        <v>2570</v>
      </c>
      <c r="L17" s="3271"/>
      <c r="M17" s="3272"/>
      <c r="N17" s="3270" t="s">
        <v>2571</v>
      </c>
      <c r="O17" s="3271"/>
      <c r="P17" s="3272"/>
      <c r="R17" s="2299" t="s">
        <v>2313</v>
      </c>
      <c r="S17" s="144"/>
    </row>
    <row r="18" spans="1:19" ht="15">
      <c r="A18" s="117"/>
      <c r="B18" s="128"/>
      <c r="C18" s="129"/>
      <c r="D18" s="2666"/>
      <c r="E18" s="130" t="s">
        <v>220</v>
      </c>
      <c r="F18" s="131" t="s">
        <v>221</v>
      </c>
      <c r="G18" s="1366" t="s">
        <v>222</v>
      </c>
      <c r="H18" s="972" t="s">
        <v>223</v>
      </c>
      <c r="I18" s="973" t="s">
        <v>224</v>
      </c>
      <c r="J18" s="1984"/>
      <c r="K18" s="2629" t="s">
        <v>2572</v>
      </c>
      <c r="L18" s="2630" t="s">
        <v>2573</v>
      </c>
      <c r="M18" s="2631" t="s">
        <v>2574</v>
      </c>
      <c r="N18" s="2629" t="s">
        <v>2572</v>
      </c>
      <c r="O18" s="2630" t="s">
        <v>2573</v>
      </c>
      <c r="P18" s="2631" t="s">
        <v>2574</v>
      </c>
      <c r="R18" s="2300" t="s">
        <v>2311</v>
      </c>
      <c r="S18" s="2300" t="s">
        <v>2312</v>
      </c>
    </row>
    <row r="19" spans="1:19">
      <c r="A19" s="133"/>
      <c r="B19" s="115" t="s">
        <v>225</v>
      </c>
      <c r="C19" s="3049" t="s">
        <v>3021</v>
      </c>
      <c r="D19" s="111">
        <f t="shared" ref="D19:D26" si="1">ROUND($D$3*E19/$E$3,2)</f>
        <v>29914.74</v>
      </c>
      <c r="E19" s="134">
        <f t="shared" ref="E19:E26" si="2">SUM(F19:G19)</f>
        <v>152483.07</v>
      </c>
      <c r="F19" s="135">
        <f>'数据-基础表'!K14-'数据-基础表'!L14</f>
        <v>152483.07</v>
      </c>
      <c r="G19" s="1367"/>
      <c r="H19" s="974">
        <f>ROUND($D$3*I19/$E$3,2)</f>
        <v>8367.6200000000008</v>
      </c>
      <c r="I19" s="116">
        <f>IF($I$17="自定义",P19,M19)</f>
        <v>42651.89</v>
      </c>
      <c r="J19" s="1984"/>
      <c r="K19" s="2632">
        <f t="shared" ref="K19:K26" si="3">ROUND(E$28*E19/E$27,2)</f>
        <v>40264.21</v>
      </c>
      <c r="L19" s="275">
        <f t="shared" ref="L19:L26" si="4">ROUND(IF(COUNTIF(C19,"*住宅*")&gt;0,E$29*E19/E$32,0),2)</f>
        <v>2387.6799999999998</v>
      </c>
      <c r="M19" s="2633">
        <f>K19+L19</f>
        <v>42651.89</v>
      </c>
      <c r="N19" s="2634"/>
      <c r="O19" s="2635"/>
      <c r="P19" s="2636">
        <f>N19+O19</f>
        <v>0</v>
      </c>
      <c r="R19" s="275">
        <f t="shared" ref="R19:S26" si="5">D19+H19</f>
        <v>38282.36</v>
      </c>
      <c r="S19" s="2301">
        <f t="shared" si="5"/>
        <v>195134.96000000002</v>
      </c>
    </row>
    <row r="20" spans="1:19">
      <c r="A20" s="138"/>
      <c r="B20" s="115" t="s">
        <v>226</v>
      </c>
      <c r="C20" s="3049"/>
      <c r="D20" s="111">
        <f t="shared" si="1"/>
        <v>0</v>
      </c>
      <c r="E20" s="134">
        <f t="shared" si="2"/>
        <v>0</v>
      </c>
      <c r="F20" s="135"/>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7"/>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4"/>
      <c r="D22" s="111">
        <f t="shared" si="1"/>
        <v>0</v>
      </c>
      <c r="E22" s="134">
        <f t="shared" si="2"/>
        <v>0</v>
      </c>
      <c r="F22" s="140"/>
      <c r="G22" s="1368"/>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29914.74</v>
      </c>
      <c r="E27" s="143">
        <f>IF(SUM(E19:E26)='数据-基础表'!BA5,SUM(E19:E26),IF(F27="地上面积有误","面积有误","地下面积有误"))</f>
        <v>152483.07</v>
      </c>
      <c r="F27" s="134">
        <f>IF(SUM(F19:F26)=E8,SUM(F19:F26),"地上面积有误")</f>
        <v>152483.07</v>
      </c>
      <c r="G27" s="112">
        <f>SUM(G19:G26)</f>
        <v>0</v>
      </c>
      <c r="H27" s="975">
        <f>SUM(H19:H26)</f>
        <v>8367.6200000000008</v>
      </c>
      <c r="I27" s="976">
        <f>SUM(I19:I26)</f>
        <v>42651.89</v>
      </c>
      <c r="J27" s="1984"/>
      <c r="K27" s="2641">
        <f>SUM(K19:K26)</f>
        <v>40264.21</v>
      </c>
      <c r="L27" s="2642">
        <f>SUM(L19:L26)</f>
        <v>2387.6799999999998</v>
      </c>
      <c r="M27" s="2643">
        <f>SUM(M19:M26)</f>
        <v>42651.89</v>
      </c>
      <c r="N27" s="2641">
        <f t="shared" ref="N27:O27" si="10">SUM(N19:N26)</f>
        <v>0</v>
      </c>
      <c r="O27" s="2642">
        <f t="shared" si="10"/>
        <v>0</v>
      </c>
      <c r="P27" s="2644">
        <f>SUM(P19:P26)</f>
        <v>0</v>
      </c>
      <c r="R27" s="2305">
        <f>IF(SUM(R19:R26)=$D$3,SUM(R19:R26),SUM(R19:R26)&amp;"误差"&amp;ROUND(SUM(R19:R26)-$D$3,2))</f>
        <v>38282.36</v>
      </c>
      <c r="S27" s="275">
        <f>IF(SUM(S19:S26)=$E$3,SUM(S19:S26),SUM(S19:S26)&amp;"误差"&amp;ROUND(SUM(S19:S26)-E3,2))</f>
        <v>195134.96000000002</v>
      </c>
    </row>
    <row r="28" spans="1:19">
      <c r="A28" s="138"/>
      <c r="B28" s="115" t="s">
        <v>227</v>
      </c>
      <c r="C28" s="136" t="s">
        <v>228</v>
      </c>
      <c r="D28" s="111">
        <f>ROUND($D$3*E28/$E$3,2)</f>
        <v>7899.19</v>
      </c>
      <c r="E28" s="134">
        <f>SUM(F28:G28)</f>
        <v>40264.21</v>
      </c>
      <c r="F28" s="144">
        <f>'数据-基础表'!BQ5+'数据-基础表'!BS5</f>
        <v>146</v>
      </c>
      <c r="G28" s="145">
        <f>'数据-基础表'!BR5+'数据-基础表'!BT5</f>
        <v>40118.21</v>
      </c>
      <c r="H28" s="1984"/>
      <c r="I28" s="1984"/>
      <c r="J28" s="1984"/>
      <c r="K28" s="1984"/>
      <c r="L28" s="1984"/>
    </row>
    <row r="29" spans="1:19">
      <c r="A29" s="138"/>
      <c r="B29" s="115" t="s">
        <v>227</v>
      </c>
      <c r="C29" s="2313" t="s">
        <v>2322</v>
      </c>
      <c r="D29" s="111">
        <f>ROUND($D$3*E29/$E$3,2)</f>
        <v>468.42</v>
      </c>
      <c r="E29" s="134">
        <f>SUM(F29:G29)</f>
        <v>2387.6799999999998</v>
      </c>
      <c r="F29" s="144">
        <f>'数据-基础表'!BM5+'数据-基础表'!BO5</f>
        <v>2387.6799999999998</v>
      </c>
      <c r="G29" s="146">
        <f>'数据-基础表'!BN5+'数据-基础表'!BP5</f>
        <v>0</v>
      </c>
      <c r="H29" s="1984"/>
      <c r="I29" s="1984"/>
      <c r="J29" s="1984"/>
      <c r="K29" s="1984"/>
      <c r="L29" s="1984"/>
    </row>
    <row r="30" spans="1:19">
      <c r="A30" s="138"/>
      <c r="B30" s="111"/>
      <c r="C30" s="147" t="s">
        <v>215</v>
      </c>
      <c r="D30" s="134">
        <f>SUM(D28:D29)</f>
        <v>8367.6099999999988</v>
      </c>
      <c r="E30" s="134">
        <f>SUM(E28:E29)</f>
        <v>42651.89</v>
      </c>
      <c r="F30" s="134">
        <f>SUM(F28:F29)</f>
        <v>2533.6799999999998</v>
      </c>
      <c r="G30" s="112">
        <f>SUM(G28:G29)</f>
        <v>40118.21</v>
      </c>
      <c r="H30" s="1984"/>
      <c r="I30" s="1984"/>
      <c r="J30" s="1984"/>
      <c r="K30" s="1984"/>
      <c r="L30" s="1984"/>
    </row>
    <row r="31" spans="1:19" ht="32.25" customHeight="1" thickBot="1">
      <c r="A31" s="1369"/>
      <c r="B31" s="1370" t="s">
        <v>229</v>
      </c>
      <c r="C31" s="2330" t="s">
        <v>2324</v>
      </c>
      <c r="D31" s="1371">
        <f>D27+D30</f>
        <v>38282.35</v>
      </c>
      <c r="E31" s="1371">
        <f>E27+E30</f>
        <v>195134.96000000002</v>
      </c>
      <c r="F31" s="1372">
        <f>F27+F30</f>
        <v>155016.75</v>
      </c>
      <c r="G31" s="1373">
        <f>G27+G30</f>
        <v>40118.21</v>
      </c>
      <c r="H31" s="1984"/>
      <c r="I31" s="1984"/>
      <c r="J31" s="1984"/>
      <c r="K31" s="1984"/>
      <c r="L31" s="1984"/>
    </row>
    <row r="32" spans="1:19">
      <c r="A32" s="1984"/>
      <c r="B32" s="2363" t="s">
        <v>2323</v>
      </c>
      <c r="C32" s="2671"/>
      <c r="D32" s="1200"/>
      <c r="E32" s="1200">
        <f>SUMIF(C19:C26,"*住宅*",E19:E26)</f>
        <v>152483.07</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2831</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未建住宅</v>
      </c>
      <c r="B6" s="2337" t="str">
        <f>IF(A6=0,"","经营性")</f>
        <v>经营性</v>
      </c>
      <c r="C6" s="173" t="s">
        <v>922</v>
      </c>
      <c r="D6" s="2308">
        <f>SUMIF(项目基本情况!D$15:I$15,C6,项目基本情况!D$18:I$18)</f>
        <v>70</v>
      </c>
      <c r="E6" s="2309">
        <f>IF(B6="","",SUMIF(项目基本情况!D$15:I$15,C6,项目基本情况!D$17:I$17))</f>
        <v>66136</v>
      </c>
      <c r="F6" s="174">
        <f>SUMIF(项目基本情况!D$15:I$15,C6,项目基本情况!D$19:I$19)</f>
        <v>62.79</v>
      </c>
      <c r="G6" s="175">
        <f>IF(ISERROR(ROUND(POWER(1+H6,D6-F6)*(POWER(1+H6,F6)-1)/(POWER(1+H6,D6)-1),3)),0,ROUND(POWER(1+H6,D6-F6)*(POWER(1+H6,F6)-1)/(POWER(1+H6,D6)-1),3))</f>
        <v>0.98199999999999998</v>
      </c>
      <c r="H6" s="3050">
        <v>4.4999999999999998E-2</v>
      </c>
      <c r="I6" s="3050">
        <v>0.05</v>
      </c>
      <c r="J6" s="176">
        <v>8.5000000000000006E-2</v>
      </c>
      <c r="K6" s="179">
        <f>SUMIF('数据-汇总表'!C$19:C$33,'数据-取费表'!A6,'数据-汇总表'!E$19:E$33)</f>
        <v>152483.07</v>
      </c>
      <c r="L6" s="3193">
        <v>2500</v>
      </c>
      <c r="M6" s="177">
        <f t="shared" ref="M6:M14" si="0">ROUND(K6*L6/10000,0)</f>
        <v>38121</v>
      </c>
      <c r="N6" s="3052">
        <v>0</v>
      </c>
      <c r="O6" s="177">
        <f>IF($N$5="成新度","——",ROUND(M6*N6,0))</f>
        <v>0</v>
      </c>
      <c r="P6" s="178">
        <f>IF($N$5="成新度","——",M6-O6)</f>
        <v>38121</v>
      </c>
      <c r="Q6" s="3194">
        <v>0.2</v>
      </c>
      <c r="R6" s="179">
        <f>SUMIF('数据-汇总表'!C$19:C$33,A6,'数据-汇总表'!R$19:R$33)</f>
        <v>38282.36</v>
      </c>
      <c r="S6" s="132">
        <f>IF('数据-汇总表'!$I$17="按面积比例",SUMIF('数据-汇总表'!C$19:C$33,A6,'数据-汇总表'!K$19:K$33),SUMIF('数据-汇总表'!C$19:C$33,A6,'数据-汇总表'!N$19:N$33))</f>
        <v>40264.21</v>
      </c>
      <c r="T6" s="2234">
        <f>IF($T$4="按面积比例",IF(ISERROR(ROUND($M$14*S6/S$16,0)),"0",ROUND($M$14*S6/S$16,0)),"需自行计算录入")</f>
        <v>8053</v>
      </c>
      <c r="U6" s="180"/>
      <c r="V6" s="181"/>
      <c r="W6" s="181"/>
      <c r="X6" s="2321"/>
      <c r="Y6" s="182"/>
      <c r="Z6" s="183"/>
      <c r="AA6" s="176"/>
      <c r="AB6" s="176"/>
      <c r="AC6" s="2324"/>
      <c r="AD6" s="184"/>
      <c r="AE6" s="972">
        <f ca="1">IF(AN6="",0,SUMIF(INDIRECT("'"&amp;AN6&amp;"'"&amp;"!E:E"),$AE$5,INDIRECT("'"&amp;AN6&amp;"'"&amp;"!F:F")))</f>
        <v>0</v>
      </c>
      <c r="AF6" s="141"/>
      <c r="AG6" s="1212">
        <f>IF(AF6="",0,AE6-AF6)</f>
        <v>0</v>
      </c>
      <c r="AH6" s="141"/>
      <c r="AI6" s="187"/>
      <c r="AJ6" s="188"/>
      <c r="AK6" s="189"/>
      <c r="AL6" s="190"/>
      <c r="AM6" s="3064"/>
      <c r="AN6" s="2416"/>
      <c r="AO6" s="2000"/>
      <c r="AP6" s="1203">
        <f>ROUND(1-1/(1+H6)^F6,3)</f>
        <v>0.93700000000000006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2">
        <f t="shared" si="7"/>
        <v>0</v>
      </c>
      <c r="AH8" s="141"/>
      <c r="AI8" s="187"/>
      <c r="AJ8" s="188"/>
      <c r="AK8" s="189"/>
      <c r="AL8" s="190"/>
      <c r="AM8" s="2414"/>
      <c r="AN8" s="2416"/>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1679</v>
      </c>
      <c r="C14" s="2307" t="s">
        <v>2316</v>
      </c>
      <c r="D14" s="2308"/>
      <c r="E14" s="2309"/>
      <c r="F14" s="174"/>
      <c r="G14" s="175"/>
      <c r="H14" s="2310"/>
      <c r="I14" s="2310"/>
      <c r="J14" s="2310"/>
      <c r="K14" s="179">
        <f>SUMIF('数据-汇总表'!C$19:C$33,'数据-取费表'!A14,'数据-汇总表'!E$19:E$33)</f>
        <v>40264.21</v>
      </c>
      <c r="L14" s="193">
        <v>2000</v>
      </c>
      <c r="M14" s="177">
        <f t="shared" si="0"/>
        <v>8053</v>
      </c>
      <c r="N14" s="194">
        <v>0</v>
      </c>
      <c r="O14" s="177">
        <f t="shared" si="3"/>
        <v>0</v>
      </c>
      <c r="P14" s="178">
        <f t="shared" si="4"/>
        <v>8053</v>
      </c>
      <c r="Q14" s="2318"/>
      <c r="R14" s="179"/>
      <c r="S14" s="132"/>
      <c r="T14" s="2317"/>
      <c r="U14" s="974"/>
      <c r="V14" s="2320"/>
      <c r="W14" s="2320"/>
      <c r="X14" s="2321"/>
      <c r="Y14" s="2322"/>
      <c r="Z14" s="136"/>
      <c r="AA14" s="2323"/>
      <c r="AB14" s="2323"/>
      <c r="AC14" s="2324"/>
      <c r="AD14" s="2321"/>
      <c r="AE14" s="972"/>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1679</v>
      </c>
      <c r="C15" s="2307" t="s">
        <v>2317</v>
      </c>
      <c r="D15" s="2308"/>
      <c r="E15" s="2309"/>
      <c r="F15" s="174"/>
      <c r="G15" s="175"/>
      <c r="H15" s="2310"/>
      <c r="I15" s="2310"/>
      <c r="J15" s="2310"/>
      <c r="K15" s="179">
        <f>SUMIF('数据-汇总表'!C$19:C$33,'数据-取费表'!A15,'数据-汇总表'!E$19:E$33)</f>
        <v>2387.6799999999998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0.98199999999999998</v>
      </c>
      <c r="H16" s="203">
        <f>ROUND(SUMPRODUCT(H6:H13,K6:K13)/SUMPRODUCT((H6:H13&gt;0)*(K6:K13)),3)</f>
        <v>4.4999999999999998E-2</v>
      </c>
      <c r="I16" s="204"/>
      <c r="J16" s="204"/>
      <c r="K16" s="205">
        <f>SUM(K6:K15)</f>
        <v>195134.96</v>
      </c>
      <c r="L16" s="206">
        <f>ROUND(M16*10000/SUM(K6:K14),0)</f>
        <v>2396</v>
      </c>
      <c r="M16" s="206">
        <f>SUM(M6:M14)</f>
        <v>46174</v>
      </c>
      <c r="N16" s="207">
        <f>ROUND(SUMPRODUCT(M6:M14,N6:N14)/M16,3)</f>
        <v>0</v>
      </c>
      <c r="O16" s="206">
        <f>SUM(O6:O14)</f>
        <v>0</v>
      </c>
      <c r="P16" s="206">
        <f>SUM(P6:P14)</f>
        <v>46174</v>
      </c>
      <c r="Q16" s="208">
        <f>ROUND(SUMPRODUCT(Q6:Q13,K6:K13)/SUMPRODUCT((Q6:Q13&gt;0)*(K6:K13)),2)</f>
        <v>0.2</v>
      </c>
      <c r="R16" s="2311">
        <f>SUM(R6:R13)</f>
        <v>38282.36</v>
      </c>
      <c r="S16" s="209">
        <f>SUM(S6:S13)</f>
        <v>40264.21</v>
      </c>
      <c r="T16" s="210">
        <f>IF(SUMIF(T6:T13,"&lt;9E307")=M14,SUMIF(T6:T13,"&lt;9E307"),"有误，请检查")</f>
        <v>8053</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0.93700000000000006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39.700000000000003</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4</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3022</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3023</v>
      </c>
      <c r="B54" s="186">
        <v>4</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2909</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2910</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2911</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2912</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2913</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2" t="s">
        <v>1663</v>
      </c>
      <c r="B1" s="3283"/>
      <c r="C1" s="3283"/>
      <c r="D1" s="3283"/>
      <c r="E1" s="3283"/>
      <c r="F1" s="3283"/>
      <c r="G1" s="3283"/>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54">
      <c r="A3" s="1226" t="s">
        <v>1666</v>
      </c>
      <c r="B3" s="1227" t="s">
        <v>1653</v>
      </c>
      <c r="C3" s="3106" t="s">
        <v>2924</v>
      </c>
      <c r="D3" s="2009"/>
      <c r="E3" s="1228" t="s">
        <v>1666</v>
      </c>
      <c r="F3" s="1229" t="s">
        <v>1654</v>
      </c>
      <c r="G3" s="3110" t="s">
        <v>2923</v>
      </c>
      <c r="H3" s="2008"/>
      <c r="I3" s="2008"/>
      <c r="J3" s="2008"/>
      <c r="K3" s="2008"/>
      <c r="L3" s="2008"/>
      <c r="M3" s="2008"/>
      <c r="N3" s="2008"/>
      <c r="O3" s="2008"/>
      <c r="P3" s="2008"/>
      <c r="Q3" s="2008"/>
      <c r="R3" s="2008"/>
    </row>
    <row r="4" spans="1:18" ht="41.25">
      <c r="A4" s="1228"/>
      <c r="B4" s="1230" t="s">
        <v>1667</v>
      </c>
      <c r="C4" s="3107" t="s">
        <v>2925</v>
      </c>
      <c r="D4" s="2009"/>
      <c r="E4" s="1231"/>
      <c r="F4" s="1232" t="s">
        <v>1668</v>
      </c>
      <c r="G4" s="3108" t="s">
        <v>2920</v>
      </c>
      <c r="H4" s="2008"/>
      <c r="I4" s="2008"/>
      <c r="J4" s="2008"/>
      <c r="K4" s="2008"/>
      <c r="L4" s="2008"/>
      <c r="M4" s="2008"/>
      <c r="N4" s="2008"/>
      <c r="O4" s="2008"/>
      <c r="P4" s="2008"/>
      <c r="Q4" s="2008"/>
      <c r="R4" s="2008"/>
    </row>
    <row r="5" spans="1:18" ht="41.25">
      <c r="A5" s="1228"/>
      <c r="B5" s="1230" t="s">
        <v>1669</v>
      </c>
      <c r="C5" s="3107" t="s">
        <v>2926</v>
      </c>
      <c r="D5" s="2009"/>
      <c r="E5" s="1231"/>
      <c r="F5" s="1230" t="s">
        <v>2549</v>
      </c>
      <c r="G5" s="3108" t="s">
        <v>2921</v>
      </c>
      <c r="H5" s="2008"/>
      <c r="I5" s="2008"/>
      <c r="J5" s="2008"/>
      <c r="K5" s="2008"/>
      <c r="L5" s="2008"/>
      <c r="M5" s="2008"/>
      <c r="N5" s="2008"/>
      <c r="O5" s="2008"/>
      <c r="P5" s="2008"/>
      <c r="Q5" s="2008"/>
      <c r="R5" s="2008"/>
    </row>
    <row r="6" spans="1:18" ht="54">
      <c r="A6" s="1228"/>
      <c r="B6" s="1230" t="s">
        <v>1655</v>
      </c>
      <c r="C6" s="3108" t="s">
        <v>2920</v>
      </c>
      <c r="D6" s="2009"/>
      <c r="E6" s="1231"/>
      <c r="F6" s="1230" t="s">
        <v>2550</v>
      </c>
      <c r="G6" s="3108" t="s">
        <v>2918</v>
      </c>
      <c r="H6" s="2008"/>
      <c r="I6" s="2008"/>
      <c r="J6" s="2008"/>
      <c r="K6" s="2008"/>
      <c r="L6" s="2008"/>
      <c r="M6" s="2008"/>
      <c r="N6" s="2008"/>
      <c r="O6" s="2008"/>
      <c r="P6" s="2008"/>
      <c r="Q6" s="2008"/>
      <c r="R6" s="2008"/>
    </row>
    <row r="7" spans="1:18" ht="41.25" thickBot="1">
      <c r="A7" s="1228"/>
      <c r="B7" s="1230" t="s">
        <v>2549</v>
      </c>
      <c r="C7" s="3108" t="s">
        <v>2921</v>
      </c>
      <c r="D7" s="2010"/>
      <c r="E7" s="1233"/>
      <c r="F7" s="1234" t="s">
        <v>1670</v>
      </c>
      <c r="G7" s="3111" t="s">
        <v>2922</v>
      </c>
      <c r="H7" s="2008"/>
      <c r="I7" s="2008"/>
      <c r="J7" s="2008"/>
      <c r="K7" s="2008"/>
      <c r="L7" s="2008"/>
      <c r="M7" s="2008"/>
      <c r="N7" s="2008"/>
      <c r="O7" s="2008"/>
      <c r="P7" s="2008"/>
      <c r="Q7" s="2008"/>
      <c r="R7" s="2008"/>
    </row>
    <row r="8" spans="1:18" ht="27">
      <c r="A8" s="1228"/>
      <c r="B8" s="1230" t="s">
        <v>2550</v>
      </c>
      <c r="C8" s="3108" t="s">
        <v>2918</v>
      </c>
      <c r="D8" s="2010"/>
      <c r="E8" s="2010"/>
      <c r="F8" s="1553"/>
      <c r="G8" s="1553"/>
      <c r="H8" s="2008"/>
      <c r="I8" s="2008"/>
      <c r="J8" s="2008"/>
      <c r="K8" s="2008"/>
      <c r="L8" s="2008"/>
      <c r="M8" s="2008"/>
      <c r="N8" s="2008"/>
      <c r="O8" s="2008"/>
      <c r="P8" s="2008"/>
      <c r="Q8" s="2008"/>
      <c r="R8" s="2008"/>
    </row>
    <row r="9" spans="1:18" ht="40.5">
      <c r="A9" s="1228"/>
      <c r="B9" s="1230" t="s">
        <v>1656</v>
      </c>
      <c r="C9" s="3107" t="s">
        <v>2919</v>
      </c>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3"/>
      <c r="E13" s="2602"/>
      <c r="F13" s="2602"/>
      <c r="G13" s="2602"/>
    </row>
    <row r="14" spans="1:18" ht="14.25" thickBot="1">
      <c r="A14" s="1237"/>
      <c r="B14" s="1238"/>
      <c r="C14" s="1239" t="s">
        <v>1664</v>
      </c>
      <c r="D14" s="2009"/>
      <c r="E14" s="1240"/>
      <c r="F14" s="1240"/>
      <c r="G14" s="1222" t="s">
        <v>1665</v>
      </c>
    </row>
    <row r="15" spans="1:18" ht="54">
      <c r="A15" s="2612" t="s">
        <v>1657</v>
      </c>
      <c r="B15" s="1241" t="s">
        <v>1653</v>
      </c>
      <c r="C15" s="1242" t="str">
        <f>C3</f>
        <v>估价对象周边居住用地比例、居住小区规模和社区发展完善程度，综合评价居住社区成熟度一般</v>
      </c>
      <c r="D15" s="2009"/>
      <c r="E15" s="2609" t="s">
        <v>1658</v>
      </c>
      <c r="F15" s="1241" t="s">
        <v>1673</v>
      </c>
      <c r="G15" s="1243" t="str">
        <f>G3</f>
        <v>估价对象位于XX开发区，园区建设成熟度XX，产业集聚程度XX</v>
      </c>
    </row>
    <row r="16" spans="1:18" ht="40.5">
      <c r="A16" s="2613"/>
      <c r="B16" s="1244" t="s">
        <v>1667</v>
      </c>
      <c r="C16" s="1245" t="str">
        <f>C4</f>
        <v>估价对象位于XX商圈，周边商业氛围成熟，人流量大，商业繁华度好</v>
      </c>
      <c r="D16" s="2009"/>
      <c r="E16" s="2610"/>
      <c r="F16" s="1246" t="s">
        <v>1668</v>
      </c>
      <c r="G16" s="1004" t="str">
        <f>G4</f>
        <v>估价对象周边道路状况、公共交通通达情况、停车便捷程度，综合评价交通便捷度较好</v>
      </c>
    </row>
    <row r="17" spans="1:7" ht="40.5">
      <c r="A17" s="2613"/>
      <c r="B17" s="1244" t="s">
        <v>1669</v>
      </c>
      <c r="C17" s="1245" t="str">
        <f>C5</f>
        <v>估价对象位于XX商圈，周边办公楼项目较多，入驻率高，办公集聚程度较好</v>
      </c>
      <c r="D17" s="2010"/>
      <c r="E17" s="2610"/>
      <c r="F17" s="1246" t="s">
        <v>1674</v>
      </c>
      <c r="G17" s="2818"/>
    </row>
    <row r="18" spans="1:7" ht="54">
      <c r="A18" s="2613"/>
      <c r="B18" s="1246" t="s">
        <v>1655</v>
      </c>
      <c r="C18" s="1004" t="str">
        <f>C6</f>
        <v>估价对象周边道路状况、公共交通通达情况、停车便捷程度，综合评价交通便捷度较好</v>
      </c>
      <c r="D18" s="2010"/>
      <c r="E18" s="2610"/>
      <c r="F18" s="1246" t="s">
        <v>1670</v>
      </c>
      <c r="G18" s="1004" t="str">
        <f>G7</f>
        <v>该园区内是否有污染型企业，绿化情况，卫生条件，整体环境状况判断</v>
      </c>
    </row>
    <row r="19" spans="1:7" ht="27">
      <c r="A19" s="2613"/>
      <c r="B19" s="1246" t="s">
        <v>1659</v>
      </c>
      <c r="C19" s="2818"/>
      <c r="D19" s="2009"/>
      <c r="E19" s="2610"/>
      <c r="F19" s="1230" t="s">
        <v>2549</v>
      </c>
      <c r="G19" s="1004" t="str">
        <f>G5</f>
        <v>估价对象所在区域公共配套设施齐备情况</v>
      </c>
    </row>
    <row r="20" spans="1:7" ht="40.5">
      <c r="A20" s="2613"/>
      <c r="B20" s="1246" t="s">
        <v>1660</v>
      </c>
      <c r="C20" s="1245" t="str">
        <f>C9</f>
        <v>区域自然环境：；人文环境；综合评价环境状况一般</v>
      </c>
      <c r="D20" s="2010"/>
      <c r="E20" s="2610"/>
      <c r="F20" s="1230" t="s">
        <v>2550</v>
      </c>
      <c r="G20" s="1004" t="str">
        <f>G6</f>
        <v>估价对象所在区域基础设施水平</v>
      </c>
    </row>
    <row r="21" spans="1:7" ht="27">
      <c r="A21" s="2613"/>
      <c r="B21" s="1230" t="s">
        <v>2549</v>
      </c>
      <c r="C21" s="1004" t="str">
        <f>C7</f>
        <v>估价对象所在区域公共配套设施齐备情况</v>
      </c>
      <c r="D21" s="2009"/>
      <c r="E21" s="2610"/>
      <c r="F21" s="1246" t="s">
        <v>1661</v>
      </c>
      <c r="G21" s="3112"/>
    </row>
    <row r="22" spans="1:7" ht="27">
      <c r="A22" s="2613"/>
      <c r="B22" s="1230" t="s">
        <v>2550</v>
      </c>
      <c r="C22" s="1004" t="str">
        <f>C8</f>
        <v>估价对象所在区域基础设施水平</v>
      </c>
      <c r="D22" s="2009"/>
      <c r="E22" s="2610"/>
      <c r="F22" s="1246" t="s">
        <v>1671</v>
      </c>
      <c r="G22" s="2818"/>
    </row>
    <row r="23" spans="1:7" ht="15" thickBot="1">
      <c r="A23" s="2613"/>
      <c r="B23" s="1246" t="s">
        <v>1661</v>
      </c>
      <c r="C23" s="3112"/>
      <c r="E23" s="2611"/>
      <c r="F23" s="1247" t="s">
        <v>1675</v>
      </c>
      <c r="G23" s="3113"/>
    </row>
    <row r="24" spans="1:7" ht="14.25" thickBot="1">
      <c r="A24" s="2614"/>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G17" sqref="G17"/>
    </sheetView>
  </sheetViews>
  <sheetFormatPr defaultColWidth="14.625" defaultRowHeight="13.5"/>
  <cols>
    <col min="1" max="1" width="24.375" customWidth="1"/>
  </cols>
  <sheetData>
    <row r="1" spans="1:9" ht="16.5">
      <c r="A1" s="3070" t="s">
        <v>2847</v>
      </c>
      <c r="B1" s="3070">
        <f>SUM(B14:B23)</f>
        <v>195134.96</v>
      </c>
      <c r="C1" s="3071"/>
      <c r="D1" s="3071"/>
      <c r="E1" s="3071"/>
      <c r="F1" s="3071"/>
    </row>
    <row r="2" spans="1:9" ht="16.5">
      <c r="A2" s="3070" t="s">
        <v>2848</v>
      </c>
      <c r="B2" s="3070">
        <f>SUM(C14:C23)</f>
        <v>38282.36</v>
      </c>
      <c r="C2" s="3071"/>
      <c r="D2" s="3071"/>
      <c r="E2" s="3071"/>
      <c r="F2" s="3071"/>
    </row>
    <row r="3" spans="1:9" ht="16.5">
      <c r="A3" s="3070" t="s">
        <v>2849</v>
      </c>
      <c r="B3" s="3072">
        <f>项目基本情况!D3</f>
        <v>43215</v>
      </c>
      <c r="C3" s="3071"/>
      <c r="D3" s="3071"/>
      <c r="E3" s="3071"/>
      <c r="F3" s="3071"/>
    </row>
    <row r="4" spans="1:9" ht="33">
      <c r="A4" s="3070" t="s">
        <v>2850</v>
      </c>
      <c r="B4" s="3070" t="s">
        <v>2851</v>
      </c>
      <c r="C4" s="3070" t="s">
        <v>2852</v>
      </c>
      <c r="D4" s="3070" t="s">
        <v>2853</v>
      </c>
      <c r="E4" s="3071"/>
      <c r="F4" s="3071"/>
    </row>
    <row r="5" spans="1:9" ht="16.5">
      <c r="A5" s="3070" t="s">
        <v>2854</v>
      </c>
      <c r="B5" s="3070">
        <f ca="1">SUM(D14:D23)</f>
        <v>73438</v>
      </c>
      <c r="C5" s="3070">
        <f ca="1">ROUND(B5*10000/$B$1,0)</f>
        <v>3763</v>
      </c>
      <c r="D5" s="3070">
        <f ca="1">ROUND(B5*10000/$B$2,0)</f>
        <v>19183</v>
      </c>
      <c r="E5" s="3071"/>
      <c r="F5" s="3071"/>
    </row>
    <row r="6" spans="1:9" ht="16.5">
      <c r="A6" s="3070" t="s">
        <v>2855</v>
      </c>
      <c r="B6" s="3070">
        <f ca="1">SUM(G14:G23)</f>
        <v>71838</v>
      </c>
      <c r="C6" s="3070">
        <f t="shared" ref="C6:C8" ca="1" si="0">ROUND(B6*10000/$B$1,0)</f>
        <v>3681</v>
      </c>
      <c r="D6" s="3070">
        <f t="shared" ref="D6:D8" ca="1" si="1">ROUND(B6*10000/$B$2,0)</f>
        <v>18765</v>
      </c>
      <c r="E6" s="3071"/>
      <c r="F6" s="3071"/>
    </row>
    <row r="7" spans="1:9" ht="16.5">
      <c r="A7" s="3070" t="s">
        <v>2856</v>
      </c>
      <c r="B7" s="3070">
        <f>SUM(H14:H23)</f>
        <v>0</v>
      </c>
      <c r="C7" s="3070">
        <f t="shared" si="0"/>
        <v>0</v>
      </c>
      <c r="D7" s="3070">
        <f t="shared" si="1"/>
        <v>0</v>
      </c>
      <c r="E7" s="3071"/>
      <c r="F7" s="3071"/>
    </row>
    <row r="8" spans="1:9" ht="16.5">
      <c r="A8" s="3070" t="s">
        <v>2857</v>
      </c>
      <c r="B8" s="3070">
        <f>SUM(I14:I23)</f>
        <v>0</v>
      </c>
      <c r="C8" s="3070">
        <f t="shared" si="0"/>
        <v>0</v>
      </c>
      <c r="D8" s="3070">
        <f t="shared" si="1"/>
        <v>0</v>
      </c>
      <c r="E8" s="3071"/>
      <c r="F8" s="3071"/>
    </row>
    <row r="9" spans="1:9" ht="16.5">
      <c r="A9" s="3070" t="s">
        <v>2858</v>
      </c>
      <c r="B9" s="3073"/>
      <c r="C9" s="3071"/>
      <c r="D9" s="3071"/>
      <c r="E9" s="3071"/>
      <c r="F9" s="3071"/>
    </row>
    <row r="10" spans="1:9" ht="16.5">
      <c r="A10" s="3070" t="s">
        <v>2859</v>
      </c>
      <c r="B10" s="3073"/>
      <c r="C10" s="3071"/>
      <c r="D10" s="3071"/>
      <c r="E10" s="3071"/>
      <c r="F10" s="3071"/>
    </row>
    <row r="11" spans="1:9" ht="16.5">
      <c r="A11" s="3070" t="s">
        <v>2876</v>
      </c>
      <c r="B11" s="3073"/>
      <c r="C11" s="3071"/>
      <c r="D11" s="3071"/>
      <c r="E11" s="3071"/>
      <c r="F11" s="3071"/>
    </row>
    <row r="12" spans="1:9" ht="16.5">
      <c r="A12" s="3071"/>
      <c r="B12" s="3071"/>
      <c r="C12" s="3071"/>
      <c r="D12" s="3071"/>
      <c r="E12" s="3071"/>
      <c r="F12" s="3071"/>
    </row>
    <row r="13" spans="1:9" ht="33">
      <c r="A13" s="3076" t="s">
        <v>2875</v>
      </c>
      <c r="B13" s="3074" t="s">
        <v>2847</v>
      </c>
      <c r="C13" s="3074" t="s">
        <v>2848</v>
      </c>
      <c r="D13" s="3074" t="s">
        <v>2860</v>
      </c>
      <c r="E13" s="3070" t="s">
        <v>2874</v>
      </c>
      <c r="F13" s="3070" t="s">
        <v>2853</v>
      </c>
      <c r="G13" s="3074" t="s">
        <v>2861</v>
      </c>
      <c r="H13" s="3074" t="s">
        <v>2862</v>
      </c>
      <c r="I13" s="3074" t="s">
        <v>2863</v>
      </c>
    </row>
    <row r="14" spans="1:9" ht="16.5">
      <c r="A14" s="3077" t="s">
        <v>2873</v>
      </c>
      <c r="B14" s="3074">
        <f>结果表!L38</f>
        <v>195134.96</v>
      </c>
      <c r="C14" s="3074">
        <f>结果表!K38</f>
        <v>38282.36</v>
      </c>
      <c r="D14" s="3074">
        <f ca="1">结果表!C42</f>
        <v>73438</v>
      </c>
      <c r="E14" s="3074">
        <f ca="1">ROUND(D14*10000/B14,0)</f>
        <v>3763</v>
      </c>
      <c r="F14" s="3074">
        <f ca="1">ROUND(D14*10000/C14,0)</f>
        <v>19183</v>
      </c>
      <c r="G14" s="3074">
        <f ca="1">结果表!C44</f>
        <v>71838</v>
      </c>
      <c r="H14" s="3074" t="str">
        <f>结果表!C45</f>
        <v>——</v>
      </c>
      <c r="I14" s="3074" t="str">
        <f>结果表!C46</f>
        <v>——</v>
      </c>
    </row>
    <row r="15" spans="1:9" ht="16.5">
      <c r="A15" s="3077" t="s">
        <v>2864</v>
      </c>
      <c r="B15" s="3078"/>
      <c r="C15" s="3078"/>
      <c r="D15" s="3078"/>
      <c r="E15" s="3074" t="e">
        <f t="shared" ref="E15:E23" si="2">ROUND(D15*10000/B15,0)</f>
        <v>#DIV/0!</v>
      </c>
      <c r="F15" s="3074" t="e">
        <f t="shared" ref="F15:F23" si="3">ROUND(D15*10000/C15,0)</f>
        <v>#DIV/0!</v>
      </c>
      <c r="G15" s="3075">
        <f>D15</f>
        <v>0</v>
      </c>
      <c r="H15" s="3075"/>
      <c r="I15" s="3078"/>
    </row>
    <row r="16" spans="1:9" ht="16.5">
      <c r="A16" s="3077" t="s">
        <v>2865</v>
      </c>
      <c r="B16" s="3078"/>
      <c r="C16" s="3078"/>
      <c r="D16" s="3078"/>
      <c r="E16" s="3074" t="e">
        <f t="shared" si="2"/>
        <v>#DIV/0!</v>
      </c>
      <c r="F16" s="3074" t="e">
        <f t="shared" si="3"/>
        <v>#DIV/0!</v>
      </c>
      <c r="G16" s="3075">
        <f>D16</f>
        <v>0</v>
      </c>
      <c r="H16" s="3075"/>
      <c r="I16" s="3078"/>
    </row>
    <row r="17" spans="1:9" ht="16.5">
      <c r="A17" s="3077" t="s">
        <v>2866</v>
      </c>
      <c r="B17" s="3078"/>
      <c r="C17" s="3078"/>
      <c r="D17" s="3078"/>
      <c r="E17" s="3074" t="e">
        <f t="shared" si="2"/>
        <v>#DIV/0!</v>
      </c>
      <c r="F17" s="3074" t="e">
        <f t="shared" si="3"/>
        <v>#DIV/0!</v>
      </c>
      <c r="G17" s="3075"/>
      <c r="H17" s="3075"/>
      <c r="I17" s="3078"/>
    </row>
    <row r="18" spans="1:9" ht="16.5">
      <c r="A18" s="3077" t="s">
        <v>2867</v>
      </c>
      <c r="B18" s="3078"/>
      <c r="C18" s="3078"/>
      <c r="D18" s="3078"/>
      <c r="E18" s="3074" t="e">
        <f t="shared" si="2"/>
        <v>#DIV/0!</v>
      </c>
      <c r="F18" s="3074" t="e">
        <f t="shared" si="3"/>
        <v>#DIV/0!</v>
      </c>
      <c r="G18" s="3078"/>
      <c r="H18" s="3078"/>
      <c r="I18" s="3078"/>
    </row>
    <row r="19" spans="1:9" ht="16.5">
      <c r="A19" s="3077" t="s">
        <v>2868</v>
      </c>
      <c r="B19" s="3078"/>
      <c r="C19" s="3078"/>
      <c r="D19" s="3078"/>
      <c r="E19" s="3074" t="e">
        <f t="shared" si="2"/>
        <v>#DIV/0!</v>
      </c>
      <c r="F19" s="3074" t="e">
        <f t="shared" si="3"/>
        <v>#DIV/0!</v>
      </c>
      <c r="G19" s="3078"/>
      <c r="H19" s="3078"/>
      <c r="I19" s="3078"/>
    </row>
    <row r="20" spans="1:9" ht="16.5">
      <c r="A20" s="3077" t="s">
        <v>2869</v>
      </c>
      <c r="B20" s="3078"/>
      <c r="C20" s="3078"/>
      <c r="D20" s="3078"/>
      <c r="E20" s="3074" t="e">
        <f t="shared" si="2"/>
        <v>#DIV/0!</v>
      </c>
      <c r="F20" s="3074" t="e">
        <f t="shared" si="3"/>
        <v>#DIV/0!</v>
      </c>
      <c r="G20" s="3078"/>
      <c r="H20" s="3078"/>
      <c r="I20" s="3078"/>
    </row>
    <row r="21" spans="1:9" ht="16.5">
      <c r="A21" s="3077" t="s">
        <v>2870</v>
      </c>
      <c r="B21" s="3078"/>
      <c r="C21" s="3078"/>
      <c r="D21" s="3078"/>
      <c r="E21" s="3074" t="e">
        <f t="shared" si="2"/>
        <v>#DIV/0!</v>
      </c>
      <c r="F21" s="3074" t="e">
        <f t="shared" si="3"/>
        <v>#DIV/0!</v>
      </c>
      <c r="G21" s="3078"/>
      <c r="H21" s="3078"/>
      <c r="I21" s="3078"/>
    </row>
    <row r="22" spans="1:9" ht="16.5">
      <c r="A22" s="3077" t="s">
        <v>2871</v>
      </c>
      <c r="B22" s="3078"/>
      <c r="C22" s="3078"/>
      <c r="D22" s="3078"/>
      <c r="E22" s="3074" t="e">
        <f t="shared" si="2"/>
        <v>#DIV/0!</v>
      </c>
      <c r="F22" s="3074" t="e">
        <f t="shared" si="3"/>
        <v>#DIV/0!</v>
      </c>
      <c r="G22" s="3078"/>
      <c r="H22" s="3078"/>
      <c r="I22" s="3078"/>
    </row>
    <row r="23" spans="1:9" ht="16.5">
      <c r="A23" s="3077" t="s">
        <v>2872</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C25" zoomScaleSheetLayoutView="100" zoomScalePageLayoutView="80" workbookViewId="0">
      <selection activeCell="O39" sqref="O3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3024</v>
      </c>
      <c r="E1" s="1805" t="s">
        <v>2059</v>
      </c>
      <c r="F1" s="1807" t="s">
        <v>3025</v>
      </c>
      <c r="G1" s="311"/>
      <c r="H1" s="311"/>
      <c r="I1" s="311"/>
      <c r="J1" s="2029"/>
      <c r="K1" s="2029"/>
      <c r="L1" s="2029"/>
      <c r="M1" s="2029"/>
      <c r="N1" s="2029"/>
      <c r="O1" s="2029"/>
      <c r="P1" s="2029"/>
      <c r="Q1" s="2029"/>
      <c r="R1" s="2029"/>
      <c r="S1" s="2029"/>
      <c r="T1" s="2029"/>
      <c r="U1" s="2029"/>
      <c r="V1" s="2029"/>
    </row>
    <row r="2" spans="1:22" ht="21.75" customHeight="1" thickBot="1">
      <c r="A2" s="3329" t="str">
        <f>项目基本情况!K2</f>
        <v>河北省衡水市桃城区人民路南侧、问津街西侧出让国有建设用地使用权</v>
      </c>
      <c r="B2" s="3330"/>
      <c r="C2" s="3331"/>
      <c r="D2" s="3331"/>
      <c r="E2" s="3331"/>
      <c r="F2" s="3331"/>
      <c r="G2" s="3330"/>
      <c r="H2" s="3330"/>
      <c r="I2" s="3332"/>
      <c r="J2" s="2030"/>
      <c r="K2" s="2029"/>
      <c r="L2" s="2029"/>
      <c r="M2" s="2029"/>
      <c r="N2" s="2029"/>
      <c r="O2" s="2029"/>
      <c r="P2" s="2029"/>
      <c r="Q2" s="2029"/>
      <c r="R2" s="2029"/>
      <c r="S2" s="2029"/>
      <c r="T2" s="2029"/>
      <c r="U2" s="2029"/>
      <c r="V2" s="2029"/>
    </row>
    <row r="3" spans="1:22" ht="14.25">
      <c r="A3" s="3340" t="s">
        <v>298</v>
      </c>
      <c r="B3" s="3341"/>
      <c r="C3" s="3341"/>
      <c r="D3" s="3341"/>
      <c r="E3" s="3341"/>
      <c r="F3" s="3341"/>
      <c r="G3" s="3341"/>
      <c r="H3" s="3341"/>
      <c r="I3" s="3341"/>
      <c r="J3" s="2030"/>
      <c r="K3" s="2029"/>
      <c r="L3" s="2029"/>
      <c r="M3" s="2029"/>
      <c r="N3" s="2029"/>
      <c r="O3" s="2029"/>
      <c r="P3" s="2029"/>
      <c r="Q3" s="2029"/>
      <c r="R3" s="2029"/>
      <c r="S3" s="2029"/>
      <c r="T3" s="2029"/>
      <c r="U3" s="2029"/>
      <c r="V3" s="2029"/>
    </row>
    <row r="4" spans="1:22" ht="14.25">
      <c r="A4" s="258" t="s">
        <v>299</v>
      </c>
      <c r="B4" s="259" t="s">
        <v>300</v>
      </c>
      <c r="C4" s="260" t="s">
        <v>3026</v>
      </c>
      <c r="D4" s="260" t="s">
        <v>3027</v>
      </c>
      <c r="E4" s="3304" t="s">
        <v>301</v>
      </c>
      <c r="F4" s="3346"/>
      <c r="G4" s="3346"/>
      <c r="H4" s="3346"/>
      <c r="I4" s="330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33" t="s">
        <v>302</v>
      </c>
      <c r="B5" s="3334">
        <v>25</v>
      </c>
      <c r="C5" s="3342"/>
      <c r="D5" s="3345"/>
      <c r="E5" s="261" t="s">
        <v>303</v>
      </c>
      <c r="F5" s="262"/>
      <c r="G5" s="262"/>
      <c r="H5" s="262"/>
      <c r="I5" s="263"/>
      <c r="J5" s="2030"/>
      <c r="K5" s="2029"/>
      <c r="L5" s="2029"/>
      <c r="M5" s="2029"/>
      <c r="N5" s="2029"/>
      <c r="O5" s="2029"/>
      <c r="P5" s="2029"/>
      <c r="Q5" s="2029"/>
      <c r="R5" s="2029"/>
      <c r="S5" s="2029"/>
      <c r="T5" s="2029"/>
      <c r="U5" s="2029"/>
      <c r="V5" s="2029"/>
    </row>
    <row r="6" spans="1:22" ht="14.25">
      <c r="A6" s="3333"/>
      <c r="B6" s="3334"/>
      <c r="C6" s="3343"/>
      <c r="D6" s="3345"/>
      <c r="E6" s="261" t="s">
        <v>304</v>
      </c>
      <c r="F6" s="262"/>
      <c r="G6" s="262"/>
      <c r="H6" s="262"/>
      <c r="I6" s="263"/>
      <c r="J6" s="2030"/>
      <c r="K6" s="2029"/>
      <c r="L6" s="2029"/>
      <c r="M6" s="2029"/>
      <c r="N6" s="2029"/>
      <c r="O6" s="2029"/>
      <c r="P6" s="2029"/>
      <c r="Q6" s="2029"/>
      <c r="R6" s="2029"/>
      <c r="S6" s="2029"/>
      <c r="T6" s="2029"/>
      <c r="U6" s="2029"/>
      <c r="V6" s="2029"/>
    </row>
    <row r="7" spans="1:22" ht="14.25">
      <c r="A7" s="3333"/>
      <c r="B7" s="3334"/>
      <c r="C7" s="3344"/>
      <c r="D7" s="3345"/>
      <c r="E7" s="261" t="s">
        <v>305</v>
      </c>
      <c r="F7" s="262"/>
      <c r="G7" s="262"/>
      <c r="H7" s="262"/>
      <c r="I7" s="263"/>
      <c r="J7" s="2030"/>
      <c r="K7" s="2029"/>
      <c r="L7" s="2029"/>
      <c r="M7" s="2029"/>
      <c r="N7" s="2029"/>
      <c r="O7" s="2029"/>
      <c r="P7" s="2029"/>
      <c r="Q7" s="2029"/>
      <c r="R7" s="2029"/>
      <c r="S7" s="2029"/>
      <c r="T7" s="2029"/>
      <c r="U7" s="2029"/>
      <c r="V7" s="2029"/>
    </row>
    <row r="8" spans="1:22" ht="14.25">
      <c r="A8" s="3333" t="s">
        <v>306</v>
      </c>
      <c r="B8" s="3334">
        <v>15</v>
      </c>
      <c r="C8" s="3342"/>
      <c r="D8" s="3345"/>
      <c r="E8" s="261" t="s">
        <v>307</v>
      </c>
      <c r="F8" s="262"/>
      <c r="G8" s="262"/>
      <c r="H8" s="262"/>
      <c r="I8" s="263"/>
      <c r="J8" s="2030"/>
      <c r="K8" s="2029"/>
      <c r="L8" s="2029"/>
      <c r="M8" s="2029"/>
      <c r="N8" s="2029"/>
      <c r="O8" s="2029"/>
      <c r="P8" s="2029"/>
      <c r="Q8" s="2029"/>
      <c r="R8" s="2029"/>
      <c r="S8" s="2029"/>
      <c r="T8" s="2029"/>
      <c r="U8" s="2029"/>
      <c r="V8" s="2029"/>
    </row>
    <row r="9" spans="1:22" ht="14.25">
      <c r="A9" s="3333"/>
      <c r="B9" s="3334"/>
      <c r="C9" s="3344"/>
      <c r="D9" s="3345"/>
      <c r="E9" s="261" t="s">
        <v>308</v>
      </c>
      <c r="F9" s="262"/>
      <c r="G9" s="262"/>
      <c r="H9" s="262"/>
      <c r="I9" s="263"/>
      <c r="J9" s="2030"/>
      <c r="K9" s="2029"/>
      <c r="L9" s="2029"/>
      <c r="M9" s="2029"/>
      <c r="N9" s="2029"/>
      <c r="O9" s="2029"/>
      <c r="P9" s="2029"/>
      <c r="Q9" s="2029"/>
      <c r="R9" s="2029"/>
      <c r="S9" s="2029"/>
      <c r="T9" s="2029"/>
      <c r="U9" s="2029"/>
      <c r="V9" s="2029"/>
    </row>
    <row r="10" spans="1:22" ht="14.25">
      <c r="A10" s="3333" t="s">
        <v>309</v>
      </c>
      <c r="B10" s="3334">
        <v>15</v>
      </c>
      <c r="C10" s="3342"/>
      <c r="D10" s="334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33"/>
      <c r="B11" s="3334"/>
      <c r="C11" s="3344"/>
      <c r="D11" s="334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33" t="s">
        <v>312</v>
      </c>
      <c r="B12" s="3334">
        <v>15</v>
      </c>
      <c r="C12" s="3342"/>
      <c r="D12" s="334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33"/>
      <c r="B13" s="3334"/>
      <c r="C13" s="3344"/>
      <c r="D13" s="334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33" t="s">
        <v>315</v>
      </c>
      <c r="B14" s="3334">
        <v>30</v>
      </c>
      <c r="C14" s="3342">
        <v>5</v>
      </c>
      <c r="D14" s="334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33"/>
      <c r="B15" s="3334"/>
      <c r="C15" s="3343"/>
      <c r="D15" s="334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33"/>
      <c r="B16" s="3334"/>
      <c r="C16" s="3344"/>
      <c r="D16" s="334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71332</v>
      </c>
      <c r="D19" s="271">
        <f ca="1">SUMIF(INDIRECT("'"&amp;D4&amp;"'"&amp;"!A:A"),结果表!B19,INDIRECT("'"&amp;D4&amp;"'"&amp;"!B:B"))</f>
        <v>75543</v>
      </c>
      <c r="E19" s="268" t="s">
        <v>323</v>
      </c>
      <c r="F19" s="269" t="s">
        <v>322</v>
      </c>
      <c r="G19" s="272">
        <f ca="1">ROUND(C19*$C$18+D19*$D$18,0)</f>
        <v>73438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3656</v>
      </c>
      <c r="D20" s="277">
        <f ca="1">SUMIF(INDIRECT("'"&amp;D4&amp;"'"&amp;"!A:A"),结果表!B20,INDIRECT("'"&amp;D4&amp;"'"&amp;"!B:B"))</f>
        <v>3871</v>
      </c>
      <c r="E20" s="274"/>
      <c r="F20" s="275" t="s">
        <v>325</v>
      </c>
      <c r="G20" s="278">
        <f ca="1">ROUND(C20*$C$18+D20*$D$18,0)</f>
        <v>3764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18633</v>
      </c>
      <c r="D21" s="151">
        <f ca="1">SUMIF(INDIRECT("'"&amp;D4&amp;"'"&amp;"!A:A"),结果表!B21,INDIRECT("'"&amp;D4&amp;"'"&amp;"!B:B"))</f>
        <v>19733</v>
      </c>
      <c r="E21" s="274"/>
      <c r="F21" s="280" t="s">
        <v>327</v>
      </c>
      <c r="G21" s="282">
        <f ca="1">ROUND(C21*$C$18+D21*$D$18,0)</f>
        <v>19183</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5.9033813716144135E-2</v>
      </c>
      <c r="E22" s="284"/>
      <c r="F22" s="285"/>
      <c r="G22" s="286">
        <f ca="1">ROUND(G19/('数据-汇总表'!D3/666.67),0)</f>
        <v>1279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48"/>
      <c r="B25" s="1320" t="s">
        <v>331</v>
      </c>
      <c r="C25" s="290">
        <f>IF(B30=0,0,C30)</f>
        <v>0</v>
      </c>
      <c r="D25" s="291"/>
      <c r="E25" s="311"/>
      <c r="F25" s="311"/>
      <c r="G25" s="311"/>
      <c r="H25" s="311"/>
      <c r="I25" s="311"/>
      <c r="J25" s="2029"/>
      <c r="K25" s="1254" t="str">
        <f ca="1">项目基本情况!B16&amp;"国有建设用地使用权价格："&amp;O38&amp;"万元"</f>
        <v>出让国有建设用地使用权价格：73438万元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大写金额：人民币柒亿叁仟肆佰叁拾捌万元整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单位面积地价：19183元/平方米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楼面地价：3763元/平方米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抵押价格：71838万元</v>
      </c>
      <c r="L29" s="1251"/>
      <c r="M29" s="1251"/>
      <c r="N29" s="1251"/>
      <c r="O29" s="1250"/>
      <c r="P29" s="2029"/>
      <c r="V29" s="2029"/>
    </row>
    <row r="30" spans="1:26" ht="18.75" thickBot="1">
      <c r="A30" s="3161" t="s">
        <v>336</v>
      </c>
      <c r="B30" s="309"/>
      <c r="C30" s="309"/>
      <c r="D30" s="310"/>
      <c r="E30" s="3162" t="s">
        <v>2974</v>
      </c>
      <c r="F30" s="311"/>
      <c r="G30" s="311"/>
      <c r="H30" s="311"/>
      <c r="I30" s="311"/>
      <c r="J30" s="2029"/>
      <c r="K30" s="1257" t="str">
        <f ca="1">IF(K29="——","——","大写金额：人民币"&amp;NUMBERSTRING(INT(O39*10000),2)&amp;"元整")</f>
        <v>大写金额：人民币柒亿壹仟捌佰叁拾捌万元整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1688</v>
      </c>
      <c r="C32" s="1382">
        <f ca="1">G19-C24</f>
        <v>73438</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1690</v>
      </c>
      <c r="C33" s="264">
        <f ca="1">ROUND(C32*10000/'数据-汇总表'!E3,0)</f>
        <v>3763</v>
      </c>
      <c r="D33" s="1385" t="s">
        <v>1691</v>
      </c>
      <c r="E33" s="3306" t="s">
        <v>338</v>
      </c>
      <c r="F33" s="296" t="s">
        <v>339</v>
      </c>
      <c r="G33" s="297"/>
      <c r="H33" s="980"/>
      <c r="I33" s="1258"/>
      <c r="J33" s="2029"/>
      <c r="K33" s="1257" t="str">
        <f>IF(项目基本情况!E9="——","——","抵押净值："&amp;C46&amp;"万元")</f>
        <v>——</v>
      </c>
      <c r="L33" s="1251"/>
      <c r="M33" s="1251"/>
      <c r="N33" s="1251"/>
      <c r="O33" s="1250"/>
      <c r="P33" s="2029"/>
      <c r="V33" s="2029"/>
    </row>
    <row r="34" spans="1:26" s="1253" customFormat="1" ht="18.75" thickBot="1">
      <c r="A34" s="300"/>
      <c r="B34" s="1386" t="s">
        <v>1692</v>
      </c>
      <c r="C34" s="264">
        <f ca="1">ROUND(C32*10000/'数据-汇总表'!D3,0)</f>
        <v>19183</v>
      </c>
      <c r="D34" s="1387" t="s">
        <v>1691</v>
      </c>
      <c r="E34" s="3307"/>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1279</v>
      </c>
      <c r="D35" s="1390" t="s">
        <v>1693</v>
      </c>
      <c r="E35" s="3308"/>
      <c r="F35" s="301" t="s">
        <v>342</v>
      </c>
      <c r="G35" s="981">
        <v>1600</v>
      </c>
      <c r="H35" s="3195" t="s">
        <v>3092</v>
      </c>
      <c r="I35" s="311"/>
      <c r="J35" s="2029"/>
      <c r="K35" s="3312" t="s">
        <v>349</v>
      </c>
      <c r="L35" s="3312" t="s">
        <v>350</v>
      </c>
      <c r="M35" s="1263" t="s">
        <v>351</v>
      </c>
      <c r="N35" s="3312" t="s">
        <v>352</v>
      </c>
      <c r="O35" s="3312" t="s">
        <v>353</v>
      </c>
      <c r="P35" s="2029"/>
      <c r="V35" s="2029"/>
    </row>
    <row r="36" spans="1:26" ht="16.5" customHeight="1">
      <c r="A36" s="303" t="s">
        <v>343</v>
      </c>
      <c r="B36" s="304" t="s">
        <v>333</v>
      </c>
      <c r="C36" s="305" t="s">
        <v>344</v>
      </c>
      <c r="D36" s="305" t="s">
        <v>345</v>
      </c>
      <c r="E36" s="306" t="s">
        <v>346</v>
      </c>
      <c r="F36" s="311"/>
      <c r="G36" s="311"/>
      <c r="H36" s="311"/>
      <c r="I36" s="311"/>
      <c r="J36" s="2031"/>
      <c r="K36" s="3313"/>
      <c r="L36" s="3313"/>
      <c r="M36" s="1265" t="s">
        <v>354</v>
      </c>
      <c r="N36" s="3313"/>
      <c r="O36" s="3313"/>
      <c r="P36" s="2029"/>
      <c r="V36" s="2029"/>
    </row>
    <row r="37" spans="1:26" ht="16.5" customHeight="1" thickBot="1">
      <c r="A37" s="1259" t="s">
        <v>347</v>
      </c>
      <c r="B37" s="307"/>
      <c r="C37" s="294"/>
      <c r="D37" s="294"/>
      <c r="E37" s="295"/>
      <c r="F37" s="311"/>
      <c r="G37" s="311"/>
      <c r="H37" s="311"/>
      <c r="I37" s="311"/>
      <c r="J37" s="2031"/>
      <c r="K37" s="3314"/>
      <c r="L37" s="3314"/>
      <c r="M37" s="1266"/>
      <c r="N37" s="3314"/>
      <c r="O37" s="3314"/>
      <c r="P37" s="2029"/>
      <c r="V37" s="2029"/>
    </row>
    <row r="38" spans="1:26" ht="16.5" customHeight="1" thickBot="1">
      <c r="A38" s="1259" t="s">
        <v>348</v>
      </c>
      <c r="B38" s="307"/>
      <c r="C38" s="294"/>
      <c r="D38" s="294"/>
      <c r="E38" s="295"/>
      <c r="F38" s="311"/>
      <c r="G38" s="311"/>
      <c r="H38" s="311"/>
      <c r="I38" s="311"/>
      <c r="J38" s="2031"/>
      <c r="K38" s="1267">
        <f>'数据-汇总表'!D3</f>
        <v>38282.36</v>
      </c>
      <c r="L38" s="1268">
        <f>'数据-汇总表'!E3</f>
        <v>195134.96</v>
      </c>
      <c r="M38" s="1268">
        <f ca="1">C34</f>
        <v>19183</v>
      </c>
      <c r="N38" s="1268">
        <f ca="1">C33</f>
        <v>3763</v>
      </c>
      <c r="O38" s="1269">
        <f ca="1">C32</f>
        <v>73438</v>
      </c>
      <c r="P38" s="2029"/>
      <c r="V38" s="2029"/>
    </row>
    <row r="39" spans="1:26" ht="16.5" customHeight="1" thickBot="1">
      <c r="A39" s="1264"/>
      <c r="B39" s="308"/>
      <c r="C39" s="309"/>
      <c r="D39" s="309"/>
      <c r="E39" s="310"/>
      <c r="F39" s="311"/>
      <c r="G39" s="311"/>
      <c r="H39" s="311"/>
      <c r="I39" s="311"/>
      <c r="J39" s="2031"/>
      <c r="K39" s="3289" t="str">
        <f>MID(A44,3,LEN(A44)-2)</f>
        <v>抵押价格</v>
      </c>
      <c r="L39" s="3290"/>
      <c r="M39" s="3290"/>
      <c r="N39" s="3291"/>
      <c r="O39" s="1392">
        <f ca="1">C44</f>
        <v>71838</v>
      </c>
      <c r="P39" s="2029"/>
      <c r="V39" s="2029"/>
    </row>
    <row r="40" spans="1:26" ht="19.5" thickBot="1">
      <c r="A40" s="104" t="s">
        <v>872</v>
      </c>
      <c r="B40" s="311"/>
      <c r="C40" s="311"/>
      <c r="D40" s="311"/>
      <c r="E40" s="311"/>
      <c r="F40" s="311"/>
      <c r="G40" s="311"/>
      <c r="H40" s="311"/>
      <c r="I40" s="311"/>
      <c r="J40" s="2031"/>
      <c r="K40" s="3289" t="str">
        <f t="shared" ref="K40:K41" si="0">MID(A45,3,LEN(A45)-2)</f>
        <v/>
      </c>
      <c r="L40" s="3290"/>
      <c r="M40" s="3290"/>
      <c r="N40" s="3291"/>
      <c r="O40" s="1392" t="str">
        <f>C45</f>
        <v>——</v>
      </c>
      <c r="P40" s="2029"/>
      <c r="V40" s="2029"/>
    </row>
    <row r="41" spans="1:26" ht="16.5" thickBot="1">
      <c r="A41" s="312" t="s">
        <v>355</v>
      </c>
      <c r="B41" s="313"/>
      <c r="C41" s="314" t="s">
        <v>356</v>
      </c>
      <c r="D41" s="315" t="s">
        <v>357</v>
      </c>
      <c r="E41" s="315" t="s">
        <v>358</v>
      </c>
      <c r="F41" s="316" t="s">
        <v>359</v>
      </c>
      <c r="G41" s="311"/>
      <c r="H41" s="311"/>
      <c r="I41" s="311"/>
      <c r="J41" s="2031"/>
      <c r="K41" s="3289" t="str">
        <f t="shared" si="0"/>
        <v/>
      </c>
      <c r="L41" s="3290"/>
      <c r="M41" s="3290"/>
      <c r="N41" s="3291"/>
      <c r="O41" s="1392" t="str">
        <f>C46</f>
        <v>——</v>
      </c>
      <c r="P41" s="2029"/>
      <c r="V41" s="2029"/>
    </row>
    <row r="42" spans="1:26" ht="29.25">
      <c r="A42" s="3349" t="s">
        <v>2069</v>
      </c>
      <c r="B42" s="3350"/>
      <c r="C42" s="264">
        <f ca="1">C32</f>
        <v>73438</v>
      </c>
      <c r="D42" s="317">
        <f ca="1">C33</f>
        <v>3763</v>
      </c>
      <c r="E42" s="317">
        <f ca="1">C34</f>
        <v>19183</v>
      </c>
      <c r="F42" s="318">
        <f ca="1">C35</f>
        <v>1279</v>
      </c>
      <c r="G42" s="311"/>
      <c r="H42" s="311"/>
      <c r="I42" s="319"/>
      <c r="J42" s="2031"/>
      <c r="K42" s="1270" t="s">
        <v>360</v>
      </c>
      <c r="L42" s="2048" t="s">
        <v>361</v>
      </c>
      <c r="M42" s="1271" t="s">
        <v>362</v>
      </c>
      <c r="N42" s="2049" t="s">
        <v>363</v>
      </c>
      <c r="O42" s="2050" t="s">
        <v>364</v>
      </c>
      <c r="P42" s="2029"/>
      <c r="V42" s="2029"/>
    </row>
    <row r="43" spans="1:26" ht="30">
      <c r="A43" s="3359" t="s">
        <v>2733</v>
      </c>
      <c r="B43" s="3360"/>
      <c r="C43" s="264">
        <f>IF(H33="正常操作",G33+G34+G35,G34+G35)</f>
        <v>1600</v>
      </c>
      <c r="D43" s="317" t="s">
        <v>43</v>
      </c>
      <c r="E43" s="317" t="s">
        <v>44</v>
      </c>
      <c r="F43" s="318" t="s">
        <v>44</v>
      </c>
      <c r="G43" s="2891" t="s">
        <v>2038</v>
      </c>
      <c r="H43" s="311"/>
      <c r="I43" s="319"/>
      <c r="J43" s="2031"/>
      <c r="K43" s="1272" t="str">
        <f>C4</f>
        <v>比较法-住宅、综合</v>
      </c>
      <c r="L43" s="1273">
        <f ca="1">IF(L42="估价结果/万元",C19,C20)</f>
        <v>71332</v>
      </c>
      <c r="M43" s="1274">
        <f>C18</f>
        <v>0.5</v>
      </c>
      <c r="N43" s="1275">
        <f ca="1">IF(N42="测算结果/万元",G19,G20)</f>
        <v>73438</v>
      </c>
      <c r="O43" s="1276">
        <f ca="1">IF(O42="最终结果/万元",C32,C33)</f>
        <v>73438</v>
      </c>
      <c r="P43" s="2029"/>
      <c r="V43" s="2029"/>
    </row>
    <row r="44" spans="1:26" ht="30.75" thickBot="1">
      <c r="A44" s="3349" t="str">
        <f>IF(OR(项目基本情况!E8="抵押价格",项目基本情况!E8="已注销及未注销"),"3.抵押价格","——")</f>
        <v>3.抵押价格</v>
      </c>
      <c r="B44" s="3350"/>
      <c r="C44" s="264">
        <f ca="1">IF(A44="——","——",C42-C43)</f>
        <v>71838</v>
      </c>
      <c r="D44" s="317">
        <f ca="1">ROUND(C44*10000/'数据-汇总表'!E3,0)</f>
        <v>3681</v>
      </c>
      <c r="E44" s="317">
        <f ca="1">ROUND(C44*10000/'数据-汇总表'!D3,0)</f>
        <v>18765</v>
      </c>
      <c r="F44" s="318">
        <f ca="1">ROUND(C44/('数据-汇总表'!D3/666.67),0)</f>
        <v>1251</v>
      </c>
      <c r="G44" s="311"/>
      <c r="H44" s="311"/>
      <c r="I44" s="319"/>
      <c r="J44" s="2031"/>
      <c r="K44" s="1277" t="str">
        <f>D4</f>
        <v>剩余法-待开发</v>
      </c>
      <c r="L44" s="1278">
        <f ca="1">IF(L42="估价结果/万元",D19,D20)</f>
        <v>75543</v>
      </c>
      <c r="M44" s="1279">
        <f>D18</f>
        <v>0.5</v>
      </c>
      <c r="N44" s="1280"/>
      <c r="O44" s="1281"/>
      <c r="P44" s="2029"/>
      <c r="V44" s="2029"/>
    </row>
    <row r="45" spans="1:26" ht="15">
      <c r="A45" s="3354" t="str">
        <f>IF(项目基本情况!E8="已注销及未注销","4.抵押担保权已注销时的抵押价格",IF(项目基本情况!E8="已注销","3.抵押担保权已注销时的抵押价格","——"))</f>
        <v>——</v>
      </c>
      <c r="B45" s="335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2"/>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本次评估设定估价师知悉的法定优先受偿款为人民币1600万元整。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372</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17" t="s">
        <v>373</v>
      </c>
      <c r="B63" s="3318"/>
      <c r="C63" s="3319"/>
      <c r="D63" s="341">
        <f ca="1">ROUND(C42*F63,0)</f>
        <v>44063</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356" t="s">
        <v>377</v>
      </c>
      <c r="B64" s="3357"/>
      <c r="C64" s="3357"/>
      <c r="D64" s="3357"/>
      <c r="E64" s="3357"/>
      <c r="F64" s="3357"/>
      <c r="G64" s="3358"/>
      <c r="H64" s="1287"/>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7"/>
      <c r="I65" s="948"/>
      <c r="J65" s="1991"/>
      <c r="K65" s="1288"/>
      <c r="L65" s="1289"/>
      <c r="M65" s="1289"/>
      <c r="N65" s="1321" t="s">
        <v>378</v>
      </c>
      <c r="O65" s="1322"/>
      <c r="P65" s="1323"/>
      <c r="Q65" s="2029"/>
      <c r="R65" s="2029"/>
      <c r="S65" s="2029"/>
      <c r="T65" s="2029"/>
      <c r="U65" s="2029"/>
      <c r="V65" s="2029"/>
    </row>
    <row r="66" spans="1:22" ht="25.5">
      <c r="A66" s="3353" t="s">
        <v>385</v>
      </c>
      <c r="B66" s="3324"/>
      <c r="C66" s="3324"/>
      <c r="D66" s="261">
        <f ca="1">IF(H66="情况1",0,IF(H66="情况2",D70,IF(H66="情况3",D71,IF(H66="情况4",D72))))</f>
        <v>2350</v>
      </c>
      <c r="E66" s="992" t="str">
        <f>IF(H66="情况4","(销售额-原购置价)×税（费）率","销售额×税（费）率")</f>
        <v>销售额×税（费）率</v>
      </c>
      <c r="F66" s="350">
        <f>IF(H66="情况1","免征",'数据-取费表'!B41)</f>
        <v>5.6000000000000001E-2</v>
      </c>
      <c r="G66" s="351" t="s">
        <v>386</v>
      </c>
      <c r="H66" s="191" t="s">
        <v>387</v>
      </c>
      <c r="I66" s="1287"/>
      <c r="J66" s="2035"/>
      <c r="K66" s="1290">
        <v>1</v>
      </c>
      <c r="L66" s="3293" t="s">
        <v>384</v>
      </c>
      <c r="M66" s="3294"/>
      <c r="N66" s="2483"/>
      <c r="O66" s="2484"/>
      <c r="P66" s="2485"/>
      <c r="Q66" s="2029"/>
      <c r="R66" s="2029"/>
      <c r="S66" s="2029"/>
      <c r="T66" s="2029"/>
      <c r="U66" s="2029"/>
      <c r="V66" s="2029"/>
    </row>
    <row r="67" spans="1:22" ht="25.5" customHeight="1">
      <c r="A67" s="352" t="s">
        <v>389</v>
      </c>
      <c r="B67" s="3336" t="s">
        <v>390</v>
      </c>
      <c r="C67" s="3336"/>
      <c r="D67" s="353">
        <v>0</v>
      </c>
      <c r="E67" s="41" t="s">
        <v>391</v>
      </c>
      <c r="F67" s="62" t="s">
        <v>21</v>
      </c>
      <c r="G67" s="3320"/>
      <c r="H67" s="311"/>
      <c r="I67" s="1291"/>
      <c r="J67" s="2036"/>
      <c r="K67" s="1977">
        <v>2</v>
      </c>
      <c r="L67" s="3292" t="s">
        <v>388</v>
      </c>
      <c r="M67" s="3292"/>
      <c r="N67" s="1324">
        <f>'数据-取费表'!B2</f>
        <v>43215</v>
      </c>
      <c r="O67" s="1324"/>
      <c r="P67" s="1324"/>
      <c r="Q67" s="2029"/>
      <c r="R67" s="2029"/>
      <c r="S67" s="2029"/>
      <c r="T67" s="2029"/>
      <c r="U67" s="2029"/>
      <c r="V67" s="2029"/>
    </row>
    <row r="68" spans="1:22" ht="25.5" customHeight="1">
      <c r="A68" s="354"/>
      <c r="B68" s="3336" t="s">
        <v>393</v>
      </c>
      <c r="C68" s="3336"/>
      <c r="D68" s="355"/>
      <c r="E68" s="77"/>
      <c r="F68" s="356"/>
      <c r="G68" s="3321"/>
      <c r="H68" s="311"/>
      <c r="I68" s="1291"/>
      <c r="J68" s="2036"/>
      <c r="K68" s="1977">
        <v>3</v>
      </c>
      <c r="L68" s="3292" t="s">
        <v>392</v>
      </c>
      <c r="M68" s="3292"/>
      <c r="N68" s="1292">
        <f ca="1">C42</f>
        <v>73438</v>
      </c>
      <c r="O68" s="1292"/>
      <c r="P68" s="1292"/>
      <c r="Q68" s="2029"/>
      <c r="R68" s="2029"/>
      <c r="S68" s="2029"/>
      <c r="T68" s="2029"/>
      <c r="U68" s="2029"/>
      <c r="V68" s="2029"/>
    </row>
    <row r="69" spans="1:22" ht="12" customHeight="1">
      <c r="A69" s="357"/>
      <c r="B69" s="3336" t="s">
        <v>394</v>
      </c>
      <c r="C69" s="3336"/>
      <c r="D69" s="358"/>
      <c r="E69" s="73"/>
      <c r="F69" s="356"/>
      <c r="G69" s="3322"/>
      <c r="H69" s="311"/>
      <c r="I69" s="1291"/>
      <c r="J69" s="2036"/>
      <c r="K69" s="1293">
        <v>4</v>
      </c>
      <c r="L69" s="3298" t="s">
        <v>2886</v>
      </c>
      <c r="M69" s="3299"/>
      <c r="N69" s="1294">
        <f ca="1">C44</f>
        <v>71838</v>
      </c>
      <c r="O69" s="1294"/>
      <c r="P69" s="1294"/>
      <c r="Q69" s="2029"/>
      <c r="R69" s="2029"/>
      <c r="S69" s="2029"/>
      <c r="T69" s="2029"/>
      <c r="U69" s="2029"/>
      <c r="V69" s="2029"/>
    </row>
    <row r="70" spans="1:22" ht="24" customHeight="1">
      <c r="A70" s="359" t="s">
        <v>395</v>
      </c>
      <c r="B70" s="3336" t="s">
        <v>396</v>
      </c>
      <c r="C70" s="3336"/>
      <c r="D70" s="358">
        <f ca="1">ROUND(D63*'数据-取费表'!B41/(1+'数据-取费表'!C42),0)</f>
        <v>2350</v>
      </c>
      <c r="E70" s="17" t="s">
        <v>397</v>
      </c>
      <c r="F70" s="360">
        <f>'数据-取费表'!B41</f>
        <v>5.6000000000000001E-2</v>
      </c>
      <c r="G70" s="361"/>
      <c r="H70" s="311"/>
      <c r="I70" s="1291"/>
      <c r="J70" s="2036"/>
      <c r="K70" s="3087"/>
      <c r="L70" s="3088"/>
      <c r="M70" s="3088"/>
      <c r="N70" s="3089" t="s">
        <v>2891</v>
      </c>
      <c r="O70" s="3088"/>
      <c r="P70" s="3090"/>
      <c r="Q70" s="2029"/>
      <c r="R70" s="2029"/>
      <c r="S70" s="2029"/>
      <c r="T70" s="2029"/>
      <c r="U70" s="2029"/>
      <c r="V70" s="2029"/>
    </row>
    <row r="71" spans="1:22" ht="12" customHeight="1">
      <c r="A71" s="359" t="s">
        <v>403</v>
      </c>
      <c r="B71" s="3335" t="s">
        <v>404</v>
      </c>
      <c r="C71" s="3347"/>
      <c r="D71" s="358">
        <f ca="1">ROUND(D63*'数据-取费表'!B41/(1+'数据-取费表'!C42),0)</f>
        <v>2350</v>
      </c>
      <c r="E71" s="17" t="s">
        <v>397</v>
      </c>
      <c r="F71" s="360">
        <f>'数据-取费表'!B41</f>
        <v>5.6000000000000001E-2</v>
      </c>
      <c r="G71" s="361"/>
      <c r="H71" s="311"/>
      <c r="I71" s="1291"/>
      <c r="J71" s="2036"/>
      <c r="K71" s="3086" t="s">
        <v>398</v>
      </c>
      <c r="L71" s="3300" t="s">
        <v>399</v>
      </c>
      <c r="M71" s="3300"/>
      <c r="N71" s="3086" t="s">
        <v>400</v>
      </c>
      <c r="O71" s="3086" t="s">
        <v>401</v>
      </c>
      <c r="P71" s="3086" t="s">
        <v>402</v>
      </c>
      <c r="Q71" s="2029"/>
      <c r="R71" s="2029"/>
      <c r="S71" s="2029"/>
      <c r="T71" s="2029"/>
      <c r="U71" s="2029"/>
      <c r="V71" s="2029"/>
    </row>
    <row r="72" spans="1:22" ht="12" customHeight="1">
      <c r="A72" s="359" t="s">
        <v>406</v>
      </c>
      <c r="B72" s="3335" t="s">
        <v>407</v>
      </c>
      <c r="C72" s="3347"/>
      <c r="D72" s="358">
        <f ca="1">C86</f>
        <v>2238</v>
      </c>
      <c r="E72" s="73" t="s">
        <v>408</v>
      </c>
      <c r="F72" s="360">
        <f>'数据-取费表'!B41</f>
        <v>5.6000000000000001E-2</v>
      </c>
      <c r="G72" s="361"/>
      <c r="H72" s="1297"/>
      <c r="I72" s="1291"/>
      <c r="J72" s="2036"/>
      <c r="K72" s="1977">
        <v>1</v>
      </c>
      <c r="L72" s="3297" t="s">
        <v>405</v>
      </c>
      <c r="M72" s="3297"/>
      <c r="N72" s="1295">
        <f ca="1">D66</f>
        <v>2350</v>
      </c>
      <c r="O72" s="1860" t="str">
        <f>E66</f>
        <v>销售额×税（费）率</v>
      </c>
      <c r="P72" s="1296">
        <f>F66</f>
        <v>5.6000000000000001E-2</v>
      </c>
      <c r="Q72" s="2029"/>
      <c r="R72" s="2029"/>
      <c r="S72" s="2029"/>
      <c r="T72" s="2029"/>
      <c r="U72" s="2029"/>
      <c r="V72" s="2029"/>
    </row>
    <row r="73" spans="1:22" ht="24" customHeight="1">
      <c r="A73" s="3323" t="s">
        <v>410</v>
      </c>
      <c r="B73" s="3324"/>
      <c r="C73" s="3324"/>
      <c r="D73" s="362">
        <f>IF(H73="个人住宅",0,ROUND(D63*I73,0))</f>
        <v>0</v>
      </c>
      <c r="E73" s="17" t="s">
        <v>411</v>
      </c>
      <c r="F73" s="360" t="str">
        <f>IF(H73="正常",I73,"免征")</f>
        <v>免征</v>
      </c>
      <c r="G73" s="361"/>
      <c r="H73" s="191" t="s">
        <v>2458</v>
      </c>
      <c r="I73" s="360">
        <f>'数据-取费表'!B49</f>
        <v>5.0000000000000001E-4</v>
      </c>
      <c r="J73" s="2036"/>
      <c r="K73" s="1977">
        <v>2</v>
      </c>
      <c r="L73" s="3297" t="s">
        <v>409</v>
      </c>
      <c r="M73" s="3297"/>
      <c r="N73" s="1295">
        <f t="shared" ref="N73:P74" si="1">D73</f>
        <v>0</v>
      </c>
      <c r="O73" s="1860" t="str">
        <f t="shared" si="1"/>
        <v>销售额×税（费）率</v>
      </c>
      <c r="P73" s="1296" t="str">
        <f t="shared" si="1"/>
        <v>免征</v>
      </c>
      <c r="Q73" s="2029"/>
      <c r="R73" s="2029"/>
      <c r="S73" s="2029"/>
      <c r="T73" s="2029"/>
      <c r="U73" s="2029"/>
      <c r="V73" s="2029"/>
    </row>
    <row r="74" spans="1:22" ht="24.75">
      <c r="A74" s="3323" t="s">
        <v>414</v>
      </c>
      <c r="B74" s="3324"/>
      <c r="C74" s="3324"/>
      <c r="D74" s="362">
        <f ca="1">IF(H74="个人住宅",D75,D76)</f>
        <v>24940</v>
      </c>
      <c r="E74" s="17" t="s">
        <v>415</v>
      </c>
      <c r="F74" s="360" t="str">
        <f>IF(H74="正常",F76,"免征")</f>
        <v>——</v>
      </c>
      <c r="G74" s="982" t="s">
        <v>416</v>
      </c>
      <c r="H74" s="363" t="s">
        <v>412</v>
      </c>
      <c r="I74" s="42"/>
      <c r="J74" s="2036"/>
      <c r="K74" s="1977">
        <v>3</v>
      </c>
      <c r="L74" s="3297" t="s">
        <v>413</v>
      </c>
      <c r="M74" s="3297"/>
      <c r="N74" s="1295">
        <f t="shared" ca="1" si="1"/>
        <v>24940</v>
      </c>
      <c r="O74" s="1860" t="str">
        <f t="shared" si="1"/>
        <v>增值额×税（费）率</v>
      </c>
      <c r="P74" s="1298" t="str">
        <f t="shared" si="1"/>
        <v>——</v>
      </c>
      <c r="Q74" s="2029"/>
      <c r="R74" s="2029"/>
      <c r="S74" s="2029"/>
      <c r="T74" s="2029"/>
      <c r="U74" s="2029"/>
      <c r="V74" s="2029"/>
    </row>
    <row r="75" spans="1:22" ht="24">
      <c r="A75" s="359" t="s">
        <v>417</v>
      </c>
      <c r="B75" s="3304" t="s">
        <v>418</v>
      </c>
      <c r="C75" s="3305"/>
      <c r="D75" s="364">
        <v>0</v>
      </c>
      <c r="E75" s="41" t="s">
        <v>419</v>
      </c>
      <c r="F75" s="365"/>
      <c r="G75" s="361"/>
      <c r="H75" s="42"/>
      <c r="I75" s="42"/>
      <c r="J75" s="2036"/>
      <c r="K75" s="3079">
        <f>IF(H77="非个人房产","",4)</f>
        <v>4</v>
      </c>
      <c r="L75" s="3297" t="str">
        <f>IF(H77="非个人房产","——","个人所得税")</f>
        <v>个人所得税</v>
      </c>
      <c r="M75" s="3297"/>
      <c r="N75" s="1299">
        <f ca="1">D77</f>
        <v>441</v>
      </c>
      <c r="O75" s="1873" t="str">
        <f>E77</f>
        <v>销售额×税（费）率</v>
      </c>
      <c r="P75" s="1300">
        <f>F77</f>
        <v>0.01</v>
      </c>
      <c r="Q75" s="2029"/>
      <c r="R75" s="2029"/>
      <c r="S75" s="2029"/>
      <c r="T75" s="2029"/>
      <c r="U75" s="2029"/>
      <c r="V75" s="2029"/>
    </row>
    <row r="76" spans="1:22" ht="24.75">
      <c r="A76" s="359" t="s">
        <v>395</v>
      </c>
      <c r="B76" s="3304" t="s">
        <v>421</v>
      </c>
      <c r="C76" s="3346"/>
      <c r="D76" s="362">
        <f ca="1">IF(H76="转让取得",C99,C115)</f>
        <v>24940</v>
      </c>
      <c r="E76" s="17" t="s">
        <v>422</v>
      </c>
      <c r="F76" s="53" t="s">
        <v>21</v>
      </c>
      <c r="G76" s="361"/>
      <c r="H76" s="363" t="s">
        <v>423</v>
      </c>
      <c r="I76" s="42"/>
      <c r="J76" s="2036"/>
      <c r="K76" s="3079" t="str">
        <f>IF(项目基本情况!K6="上海银行",IF(K75="",4,K75+1),"")</f>
        <v/>
      </c>
      <c r="L76" s="3285" t="str">
        <f>IF(项目基本情况!K6="上海银行","其他处置费用","")</f>
        <v/>
      </c>
      <c r="M76" s="3286"/>
      <c r="N76" s="1295" t="str">
        <f>IF(项目基本情况!K6="上海银行",N89,"")</f>
        <v/>
      </c>
      <c r="O76" s="3287" t="str">
        <f>IF(项目基本情况!K6="上海银行","包含处置中涉及的律师、诉讼、拍卖、评估等费用","")</f>
        <v/>
      </c>
      <c r="P76" s="3288"/>
      <c r="Q76" s="2029"/>
      <c r="R76" s="2029"/>
      <c r="S76" s="2029"/>
      <c r="T76" s="2029"/>
      <c r="U76" s="2029"/>
      <c r="V76" s="2029"/>
    </row>
    <row r="77" spans="1:22" ht="26.25" thickBot="1">
      <c r="A77" s="3315" t="s">
        <v>425</v>
      </c>
      <c r="B77" s="3316"/>
      <c r="C77" s="3316"/>
      <c r="D77" s="366">
        <f ca="1">IF(H77="非个人房产","——",IF(H77="个人住宅",0,ROUND(D63*I77,0)))</f>
        <v>441</v>
      </c>
      <c r="E77" s="367" t="str">
        <f>IF(H77="非个人房产","——","销售额×税（费）率")</f>
        <v>销售额×税（费）率</v>
      </c>
      <c r="F77" s="368">
        <f>IF(H77="非个人房产","——",IF(H77="个人住宅","免征",I77))</f>
        <v>0.01</v>
      </c>
      <c r="G77" s="983" t="s">
        <v>416</v>
      </c>
      <c r="H77" s="363" t="s">
        <v>2887</v>
      </c>
      <c r="I77" s="369">
        <v>0.01</v>
      </c>
      <c r="J77" s="2036"/>
      <c r="K77" s="3311">
        <f>IF(AND(K75="",K76=""),4,IF(项目基本情况!K6="上海银行",K76+1,K75+1))</f>
        <v>5</v>
      </c>
      <c r="L77" s="3297" t="s">
        <v>2888</v>
      </c>
      <c r="M77" s="3085" t="s">
        <v>420</v>
      </c>
      <c r="N77" s="1301"/>
      <c r="O77" s="1302">
        <f ca="1">SUMIF(N72:N76,"&lt;9e307")</f>
        <v>27731</v>
      </c>
      <c r="P77" s="1303"/>
      <c r="Q77" s="3083">
        <f ca="1">O77/N69</f>
        <v>0.38602132576073944</v>
      </c>
      <c r="R77" s="2029"/>
      <c r="S77" s="2029"/>
      <c r="T77" s="2029"/>
      <c r="U77" s="2029"/>
      <c r="V77" s="2029"/>
    </row>
    <row r="78" spans="1:22" ht="12" customHeight="1">
      <c r="A78" s="1304"/>
      <c r="B78" s="311"/>
      <c r="C78" s="311"/>
      <c r="D78" s="311"/>
      <c r="E78" s="42"/>
      <c r="F78" s="42"/>
      <c r="G78" s="42"/>
      <c r="H78" s="1002"/>
      <c r="I78" s="311"/>
      <c r="J78" s="2036"/>
      <c r="K78" s="3311"/>
      <c r="L78" s="3297"/>
      <c r="M78" s="3085" t="s">
        <v>424</v>
      </c>
      <c r="N78" s="1301"/>
      <c r="O78" s="1302" t="str">
        <f ca="1">NUMBERSTRING(INT(O77*10000),2)&amp;"元整"</f>
        <v>贰亿柒仟柒佰叁拾壹万元整</v>
      </c>
      <c r="P78" s="1303"/>
      <c r="Q78" s="2029"/>
      <c r="R78" s="2029"/>
      <c r="S78" s="2029"/>
      <c r="T78" s="2029"/>
      <c r="U78" s="2029"/>
      <c r="V78" s="2029"/>
    </row>
    <row r="79" spans="1:22" ht="13.5" thickBot="1">
      <c r="A79" s="3301" t="s">
        <v>426</v>
      </c>
      <c r="B79" s="3301"/>
      <c r="C79" s="3301"/>
      <c r="D79" s="3301"/>
      <c r="E79" s="3301"/>
      <c r="F79" s="42"/>
      <c r="G79" s="42"/>
      <c r="H79" s="1002"/>
      <c r="I79" s="311"/>
      <c r="J79" s="2036"/>
      <c r="K79" s="3295">
        <f>K77+1</f>
        <v>6</v>
      </c>
      <c r="L79" s="3297" t="s">
        <v>2889</v>
      </c>
      <c r="M79" s="3085" t="s">
        <v>420</v>
      </c>
      <c r="N79" s="1301"/>
      <c r="O79" s="1302">
        <f ca="1">N69-O77</f>
        <v>44107</v>
      </c>
      <c r="P79" s="1303"/>
      <c r="Q79" s="2029"/>
      <c r="R79" s="2029"/>
      <c r="S79" s="2029"/>
      <c r="T79" s="2029"/>
      <c r="U79" s="2029"/>
      <c r="V79" s="2029"/>
    </row>
    <row r="80" spans="1:22" ht="25.5">
      <c r="A80" s="3302" t="s">
        <v>427</v>
      </c>
      <c r="B80" s="3303"/>
      <c r="C80" s="993"/>
      <c r="D80" s="993" t="s">
        <v>428</v>
      </c>
      <c r="E80" s="370" t="s">
        <v>429</v>
      </c>
      <c r="F80" s="42"/>
      <c r="G80" s="42"/>
      <c r="H80" s="1002"/>
      <c r="I80" s="311"/>
      <c r="J80" s="2029"/>
      <c r="K80" s="3296"/>
      <c r="L80" s="3297"/>
      <c r="M80" s="3085" t="s">
        <v>424</v>
      </c>
      <c r="N80" s="1301"/>
      <c r="O80" s="1302" t="str">
        <f ca="1">NUMBERSTRING(INT(O79*10000),2)&amp;"元整"</f>
        <v>肆亿肆仟壹佰零柒万元整</v>
      </c>
      <c r="P80" s="1303"/>
      <c r="Q80" s="2029"/>
      <c r="R80" s="2029"/>
      <c r="S80" s="2029"/>
      <c r="T80" s="2029"/>
      <c r="U80" s="2029"/>
      <c r="V80" s="2029"/>
    </row>
    <row r="81" spans="1:26" ht="13.5" thickBot="1">
      <c r="A81" s="381" t="s">
        <v>1823</v>
      </c>
      <c r="B81" s="371" t="s">
        <v>430</v>
      </c>
      <c r="C81" s="372">
        <f ca="1">ROUND((C82+C83)/(1+'数据-取费表'!C42),0)</f>
        <v>41965</v>
      </c>
      <c r="D81" s="373"/>
      <c r="E81" s="374"/>
      <c r="F81" s="42"/>
      <c r="G81" s="42"/>
      <c r="H81" s="1002"/>
      <c r="I81" s="311"/>
      <c r="J81" s="2029"/>
      <c r="K81" s="3079">
        <f>K79+1</f>
        <v>7</v>
      </c>
      <c r="L81" s="3309" t="s">
        <v>2890</v>
      </c>
      <c r="M81" s="3310"/>
      <c r="N81" s="1305"/>
      <c r="O81" s="1306">
        <f ca="1">ROUND(O79*10000/'数据-汇总表'!E3,0)</f>
        <v>2260</v>
      </c>
      <c r="P81" s="1307"/>
      <c r="Q81" s="2029"/>
      <c r="R81" s="2029"/>
      <c r="S81" s="2029"/>
      <c r="T81" s="2029"/>
      <c r="U81" s="2029"/>
      <c r="V81" s="2029"/>
    </row>
    <row r="82" spans="1:26" ht="13.5" thickTop="1">
      <c r="A82" s="375" t="s">
        <v>1824</v>
      </c>
      <c r="B82" s="376" t="s">
        <v>431</v>
      </c>
      <c r="C82" s="377">
        <f ca="1">D63</f>
        <v>44063</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2"/>
      <c r="I83" s="311"/>
      <c r="J83" s="2029"/>
      <c r="K83" s="3284" t="s">
        <v>2877</v>
      </c>
      <c r="L83" s="3091" t="s">
        <v>2878</v>
      </c>
      <c r="M83" s="3081">
        <f ca="1">IF(N69&gt;10000,N69*0.5%,IF(AND(N69&gt;1000,N69&lt;=10000),N69*1%,IF(AND(N69&gt;100,N69&lt;=1000),N69*3%,IF(AND(N69&gt;10,N69&lt;=100),N69*5%,N69*8%))))</f>
        <v>359.19</v>
      </c>
      <c r="N83" s="53">
        <f ca="1">ROUND(M83,1)</f>
        <v>359.2</v>
      </c>
      <c r="O83" s="3084"/>
      <c r="P83" s="2029"/>
      <c r="Q83" s="2029"/>
      <c r="R83" s="2029"/>
      <c r="S83" s="2029"/>
      <c r="T83" s="2029"/>
      <c r="U83" s="2029"/>
      <c r="V83" s="2029"/>
    </row>
    <row r="84" spans="1:26" ht="12.75">
      <c r="A84" s="381" t="s">
        <v>1826</v>
      </c>
      <c r="B84" s="382" t="s">
        <v>433</v>
      </c>
      <c r="C84" s="383">
        <v>2000</v>
      </c>
      <c r="D84" s="384" t="s">
        <v>19</v>
      </c>
      <c r="E84" s="3126" t="s">
        <v>2945</v>
      </c>
      <c r="F84" s="42"/>
      <c r="G84" s="42"/>
      <c r="H84" s="1002"/>
      <c r="I84" s="311"/>
      <c r="J84" s="2029"/>
      <c r="K84" s="3284"/>
      <c r="L84" s="3091" t="s">
        <v>2879</v>
      </c>
      <c r="M84" s="3081">
        <f ca="1">IF(N69&gt;2000,N69*0.5%,IF(AND(N69&gt;1000,N69&lt;=2000),N69*0.6%,IF(AND(N69&gt;500,N69&lt;=1000),N69*0.7%,IF(AND(N69&gt;200,N69&lt;=500),N69*0.8%,IF(AND(N69&gt;100,N69&lt;=200),N69*0.9%,IF(AND(N69&gt;50,N69&lt;=100),N69*1%,IF(AND(N69&gt;20,N69&lt;=50),N69*1.5%,IF(AND(N69&gt;10,N69&lt;=20),N69*2%,IF(AND(N69&gt;1,N69&lt;=10),N69*2.5%)))))))))</f>
        <v>359.19</v>
      </c>
      <c r="N84" s="53">
        <f t="shared" ref="N84:N85" ca="1" si="2">ROUND(M84,1)</f>
        <v>359.2</v>
      </c>
      <c r="O84" s="2029" t="s">
        <v>2880</v>
      </c>
      <c r="P84" s="2029"/>
      <c r="Q84" s="2029"/>
      <c r="R84" s="2029"/>
      <c r="S84" s="2029"/>
      <c r="T84" s="2029"/>
      <c r="U84" s="2029"/>
      <c r="V84" s="2029"/>
    </row>
    <row r="85" spans="1:26" ht="12.75">
      <c r="A85" s="381" t="s">
        <v>1827</v>
      </c>
      <c r="B85" s="382" t="s">
        <v>434</v>
      </c>
      <c r="C85" s="385">
        <f ca="1">C81-C84</f>
        <v>39965</v>
      </c>
      <c r="D85" s="378" t="s">
        <v>19</v>
      </c>
      <c r="E85" s="379"/>
      <c r="F85" s="42"/>
      <c r="G85" s="42"/>
      <c r="H85" s="1002"/>
      <c r="I85" s="311"/>
      <c r="J85" s="2029"/>
      <c r="K85" s="3284"/>
      <c r="L85" s="3091" t="s">
        <v>2881</v>
      </c>
      <c r="M85" s="3081">
        <f ca="1">IF(N69&gt;1000,N69*0.1%,IF(AND(N69&gt;500,N69&lt;=1000),N69*0.5%,IF(AND(N69&gt;50,N69&lt;=500),N69*1%,IF(AND(N69&gt;1,N69&lt;=50),N69*1.5%))))</f>
        <v>71.838000000000008</v>
      </c>
      <c r="N85" s="53">
        <f t="shared" ca="1" si="2"/>
        <v>71.8</v>
      </c>
      <c r="O85" s="2029" t="s">
        <v>2880</v>
      </c>
      <c r="P85" s="2029"/>
      <c r="Q85" s="2029"/>
      <c r="R85" s="2029"/>
      <c r="S85" s="2029"/>
      <c r="T85" s="2029"/>
      <c r="U85" s="2029"/>
      <c r="V85" s="2029"/>
    </row>
    <row r="86" spans="1:26" ht="13.5" thickBot="1">
      <c r="A86" s="386" t="s">
        <v>1828</v>
      </c>
      <c r="B86" s="387" t="s">
        <v>435</v>
      </c>
      <c r="C86" s="388">
        <f ca="1">IF(C85&lt;=0,0,ROUND(C85*D86,0))</f>
        <v>2238</v>
      </c>
      <c r="D86" s="389">
        <f>'数据-取费表'!B41</f>
        <v>5.6000000000000001E-2</v>
      </c>
      <c r="E86" s="390"/>
      <c r="F86" s="42"/>
      <c r="G86" s="42"/>
      <c r="H86" s="1002"/>
      <c r="I86" s="311"/>
      <c r="J86" s="2029"/>
      <c r="K86" s="3284"/>
      <c r="L86" s="3091" t="s">
        <v>2882</v>
      </c>
      <c r="M86" s="3081">
        <f ca="1">N69*0.5%</f>
        <v>359.19</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84"/>
      <c r="L87" s="3091" t="s">
        <v>2884</v>
      </c>
      <c r="M87" s="3081">
        <f ca="1">IF(N69&gt;=10000,(8.25+(N69-10000)*0.01%),IF(AND(N69&gt;=8000,N69&lt;10000),(7.85+(N69-8000)*0.02%),IF(AND(N69&gt;=5000,N69&lt;8000),(6.65+(N69-5000)*0.04%),IF(AND(N69&gt;=2000,N69&lt;5000),(4.25+(PN69-2000)*0.08%),IF(AND(N69&gt;=1000,N69&lt;2000),(2.75+(N69-1000)*0.15%),IF(AND(N69&gt;=100,N69&lt;1000),(0.5+(N69-100)*0.25%),IF(AND(N69&gt;0,N69&lt;100),N69*0.5%)))))))</f>
        <v>14.433800000000002</v>
      </c>
      <c r="N87" s="53">
        <f ca="1">ROUND(M87*0.9,1)</f>
        <v>13</v>
      </c>
      <c r="O87" s="3084"/>
      <c r="P87" s="311"/>
      <c r="Q87" s="2029"/>
      <c r="R87" s="2029"/>
      <c r="S87" s="2029"/>
      <c r="T87" s="2029"/>
      <c r="U87" s="2029"/>
      <c r="V87" s="2029"/>
      <c r="W87" s="292"/>
      <c r="X87" s="292"/>
      <c r="Y87" s="292"/>
      <c r="Z87" s="292"/>
    </row>
    <row r="88" spans="1:26" s="1313" customFormat="1" ht="15" thickBot="1">
      <c r="A88" s="3338" t="s">
        <v>436</v>
      </c>
      <c r="B88" s="3339"/>
      <c r="C88" s="3339"/>
      <c r="D88" s="3339"/>
      <c r="E88" s="3339"/>
      <c r="F88" s="3339"/>
      <c r="G88" s="3339"/>
      <c r="H88" s="3339"/>
      <c r="I88" s="1314"/>
      <c r="J88" s="2037"/>
      <c r="K88" s="3284"/>
      <c r="L88" s="3091" t="s">
        <v>2885</v>
      </c>
      <c r="M88" s="3081">
        <f ca="1">IF(N69&gt;10000,N69*0.5%,IF(AND(N69&gt;5000,N69&lt;=10000),N69*1%,IF(AND(N69&gt;1000,N69&lt;=5000),N69*2%,IF(AND(N69&gt;200,N69&lt;=1000),N69*3%,N69*5%))))</f>
        <v>359.19</v>
      </c>
      <c r="N88" s="53">
        <f ca="1">ROUND(M88,1)</f>
        <v>359.2</v>
      </c>
      <c r="O88" s="3084"/>
      <c r="P88" s="11"/>
      <c r="Q88" s="2034"/>
      <c r="R88" s="2034"/>
      <c r="S88" s="2034"/>
      <c r="T88" s="2034"/>
      <c r="U88" s="2034"/>
      <c r="V88" s="2034"/>
      <c r="W88" s="2038"/>
      <c r="X88" s="2038"/>
      <c r="Y88" s="2038"/>
      <c r="Z88" s="2038"/>
    </row>
    <row r="89" spans="1:26" s="1313" customFormat="1" ht="14.25">
      <c r="A89" s="3302" t="s">
        <v>427</v>
      </c>
      <c r="B89" s="3303"/>
      <c r="C89" s="993"/>
      <c r="D89" s="993" t="s">
        <v>428</v>
      </c>
      <c r="E89" s="391" t="s">
        <v>437</v>
      </c>
      <c r="F89" s="392"/>
      <c r="G89" s="392"/>
      <c r="H89" s="393"/>
      <c r="I89" s="1315"/>
      <c r="J89" s="2039"/>
      <c r="K89" s="3284"/>
      <c r="L89" s="3091" t="s">
        <v>27</v>
      </c>
      <c r="M89" s="3082"/>
      <c r="N89" s="53">
        <f ca="1">ROUND(SUM(N83:N88),0)</f>
        <v>1163</v>
      </c>
      <c r="O89" s="3092">
        <f ca="1">N89/N69</f>
        <v>1.6189203485620425E-2</v>
      </c>
      <c r="P89" s="2034"/>
      <c r="Q89" s="2034"/>
      <c r="R89" s="2034"/>
      <c r="S89" s="2034"/>
      <c r="T89" s="2034"/>
      <c r="U89" s="2034"/>
      <c r="V89" s="2034"/>
      <c r="W89" s="2038"/>
      <c r="X89" s="2038"/>
      <c r="Y89" s="2038"/>
      <c r="Z89" s="2038"/>
    </row>
    <row r="90" spans="1:26" s="1313" customFormat="1" ht="14.25">
      <c r="A90" s="381" t="s">
        <v>1823</v>
      </c>
      <c r="B90" s="382" t="s">
        <v>438</v>
      </c>
      <c r="C90" s="385">
        <f ca="1">ROUND(D63/(1+'数据-取费表'!C42),0)</f>
        <v>41965</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439</v>
      </c>
      <c r="C91" s="385">
        <f ca="1">C92+C96</f>
        <v>2833</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440</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335" t="s">
        <v>446</v>
      </c>
      <c r="F94" s="3336"/>
      <c r="G94" s="3336"/>
      <c r="H94" s="333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2432</v>
      </c>
      <c r="H95" s="998" t="str">
        <f>IF(G95="个人买卖住房","免征印花税"," ")</f>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252</v>
      </c>
      <c r="D96" s="406">
        <f>'数据-取费表'!B43</f>
        <v>6.000000000000001E-3</v>
      </c>
      <c r="E96" s="3325" t="s">
        <v>2431</v>
      </c>
      <c r="F96" s="3326"/>
      <c r="G96" s="3326"/>
      <c r="H96" s="332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39132</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13.812919166960819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22488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38" t="s">
        <v>453</v>
      </c>
      <c r="B101" s="3339"/>
      <c r="C101" s="3339"/>
      <c r="D101" s="3339"/>
      <c r="E101" s="3339"/>
      <c r="F101" s="3339"/>
      <c r="G101" s="3339"/>
      <c r="H101" s="3339"/>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02" t="s">
        <v>427</v>
      </c>
      <c r="B102" s="3303"/>
      <c r="C102" s="993"/>
      <c r="D102" s="993"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438</v>
      </c>
      <c r="C103" s="385">
        <f ca="1">ROUND(D63/(1+'数据-取费表'!C42),0)</f>
        <v>41965</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439</v>
      </c>
      <c r="C104" s="385">
        <f ca="1">IF(H106="仅含出让金",C105+C108+C109+C110+C111+C112,C105+C109+C110+C111+C112)</f>
        <v>252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0</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c r="D106" s="406"/>
      <c r="E106" s="417" t="s">
        <v>456</v>
      </c>
      <c r="F106" s="985"/>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0</v>
      </c>
      <c r="D107" s="406">
        <f>'数据-取费表'!B48+'数据-取费表'!B49</f>
        <v>4.0500000000000001E-2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0</v>
      </c>
      <c r="D109" s="406"/>
      <c r="E109" s="3328" t="s">
        <v>461</v>
      </c>
      <c r="F109" s="3326"/>
      <c r="G109" s="3326"/>
      <c r="H109" s="1942" t="s">
        <v>2281</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0</v>
      </c>
      <c r="D110" s="406">
        <v>0.1</v>
      </c>
      <c r="E110" s="3328" t="s">
        <v>463</v>
      </c>
      <c r="F110" s="3326"/>
      <c r="G110" s="3326"/>
      <c r="H110" s="332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252</v>
      </c>
      <c r="D111" s="406">
        <f>'数据-取费表'!B43</f>
        <v>6.000000000000001E-3</v>
      </c>
      <c r="E111" s="3325" t="s">
        <v>2431</v>
      </c>
      <c r="F111" s="3326"/>
      <c r="G111" s="3326"/>
      <c r="H111" s="332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28" t="s">
        <v>2456</v>
      </c>
      <c r="F112" s="3326"/>
      <c r="G112" s="3326"/>
      <c r="H112" s="332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41713</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165.52777777777777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24940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9" zoomScale="80" zoomScaleNormal="95" zoomScaleSheetLayoutView="80" workbookViewId="0">
      <selection activeCell="C49" sqref="C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71332</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3656</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18633</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1242</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383" t="s">
        <v>521</v>
      </c>
      <c r="D6" s="3384"/>
      <c r="E6" s="3383" t="s">
        <v>522</v>
      </c>
      <c r="F6" s="3384"/>
      <c r="G6" s="3383" t="s">
        <v>523</v>
      </c>
      <c r="H6" s="3384"/>
      <c r="I6" s="3383" t="s">
        <v>524</v>
      </c>
      <c r="J6" s="3384"/>
      <c r="K6" s="514" t="s">
        <v>525</v>
      </c>
      <c r="L6" s="2134"/>
      <c r="M6" s="2133"/>
      <c r="N6" s="2133"/>
      <c r="O6" s="2135"/>
      <c r="P6" s="3385" t="s">
        <v>526</v>
      </c>
      <c r="Q6" s="3386"/>
      <c r="R6" s="3371" t="s">
        <v>522</v>
      </c>
      <c r="S6" s="3372"/>
      <c r="T6" s="3371" t="s">
        <v>523</v>
      </c>
      <c r="U6" s="3372"/>
      <c r="V6" s="3391" t="s">
        <v>524</v>
      </c>
      <c r="W6" s="3391"/>
      <c r="X6" s="1567"/>
      <c r="Y6" s="3371" t="s">
        <v>526</v>
      </c>
      <c r="Z6" s="3372"/>
      <c r="AA6" s="3366" t="s">
        <v>522</v>
      </c>
      <c r="AB6" s="3367" t="s">
        <v>523</v>
      </c>
      <c r="AC6" s="3366" t="s">
        <v>524</v>
      </c>
    </row>
    <row r="7" spans="1:30" ht="20.25">
      <c r="A7" s="515"/>
      <c r="B7" s="516"/>
      <c r="C7" s="3396" t="s">
        <v>2932</v>
      </c>
      <c r="D7" s="3395"/>
      <c r="E7" s="3394" t="s">
        <v>3028</v>
      </c>
      <c r="F7" s="3395"/>
      <c r="G7" s="3394" t="s">
        <v>3033</v>
      </c>
      <c r="H7" s="3395"/>
      <c r="I7" s="3394" t="s">
        <v>3035</v>
      </c>
      <c r="J7" s="3395"/>
      <c r="K7" s="514"/>
      <c r="L7" s="2134"/>
      <c r="M7" s="2133"/>
      <c r="N7" s="2133"/>
      <c r="O7" s="2135"/>
      <c r="P7" s="3387"/>
      <c r="Q7" s="3388"/>
      <c r="R7" s="3373"/>
      <c r="S7" s="3374"/>
      <c r="T7" s="3373"/>
      <c r="U7" s="3374"/>
      <c r="V7" s="3391"/>
      <c r="W7" s="3391"/>
      <c r="X7" s="1567"/>
      <c r="Y7" s="3373"/>
      <c r="Z7" s="3374"/>
      <c r="AA7" s="3367"/>
      <c r="AB7" s="3367"/>
      <c r="AC7" s="3367"/>
    </row>
    <row r="8" spans="1:30" ht="21" thickBot="1">
      <c r="A8" s="515"/>
      <c r="B8" s="516"/>
      <c r="C8" s="3397" t="s">
        <v>2936</v>
      </c>
      <c r="D8" s="3398"/>
      <c r="E8" s="3399" t="s">
        <v>3029</v>
      </c>
      <c r="F8" s="3398"/>
      <c r="G8" s="3392" t="s">
        <v>3032</v>
      </c>
      <c r="H8" s="3393"/>
      <c r="I8" s="3392" t="s">
        <v>3034</v>
      </c>
      <c r="J8" s="3393"/>
      <c r="K8" s="514" t="s">
        <v>527</v>
      </c>
      <c r="L8" s="2134"/>
      <c r="M8" s="2133"/>
      <c r="N8" s="2133"/>
      <c r="O8" s="2135"/>
      <c r="P8" s="3389"/>
      <c r="Q8" s="3390"/>
      <c r="R8" s="3373"/>
      <c r="S8" s="3374"/>
      <c r="T8" s="3375"/>
      <c r="U8" s="3376"/>
      <c r="V8" s="3391"/>
      <c r="W8" s="3391"/>
      <c r="X8" s="1567"/>
      <c r="Y8" s="3375"/>
      <c r="Z8" s="3376"/>
      <c r="AA8" s="3368"/>
      <c r="AB8" s="3368"/>
      <c r="AC8" s="3368"/>
    </row>
    <row r="9" spans="1:30" s="1219" customFormat="1" ht="21" thickBot="1">
      <c r="A9" s="2937"/>
      <c r="B9" s="2944" t="s">
        <v>528</v>
      </c>
      <c r="C9" s="2936">
        <f>'数据-取费表'!B2</f>
        <v>43215</v>
      </c>
      <c r="D9" s="520">
        <v>100</v>
      </c>
      <c r="E9" s="521">
        <v>43097</v>
      </c>
      <c r="F9" s="522">
        <f>SUMIF(72:72,YEAR(E9)&amp;"-"&amp;INT((MONTH(E9)+2)/3),73:73)</f>
        <v>99</v>
      </c>
      <c r="G9" s="523">
        <v>43125</v>
      </c>
      <c r="H9" s="520">
        <f>SUMIF(72:72,YEAR(G9)&amp;"-"&amp;INT((MONTH(G9)+2)/3),73:73)</f>
        <v>99.5</v>
      </c>
      <c r="I9" s="523">
        <v>42881</v>
      </c>
      <c r="J9" s="520">
        <f>SUMIF(72:72,YEAR(I9)&amp;"-"&amp;INT((MONTH(I9)+2)/3),73:73)</f>
        <v>98</v>
      </c>
      <c r="K9" s="524"/>
      <c r="L9" s="2136"/>
      <c r="M9" s="2133"/>
      <c r="N9" s="2133"/>
      <c r="O9" s="2137"/>
      <c r="P9" s="3369" t="s">
        <v>529</v>
      </c>
      <c r="Q9" s="3378"/>
      <c r="R9" s="1568" t="s">
        <v>8</v>
      </c>
      <c r="S9" s="1569">
        <f t="shared" ref="S9:S17" si="0">F9</f>
        <v>99</v>
      </c>
      <c r="T9" s="1568" t="s">
        <v>8</v>
      </c>
      <c r="U9" s="1569">
        <f t="shared" ref="U9:U17" si="1">H9</f>
        <v>99.5</v>
      </c>
      <c r="V9" s="1568" t="s">
        <v>8</v>
      </c>
      <c r="W9" s="1569">
        <f t="shared" ref="W9:W17" si="2">J9</f>
        <v>98</v>
      </c>
      <c r="X9" s="1570"/>
      <c r="Y9" s="3369" t="s">
        <v>529</v>
      </c>
      <c r="Z9" s="3370"/>
      <c r="AA9" s="1571">
        <f>D9/F9</f>
        <v>1.0101010101010102</v>
      </c>
      <c r="AB9" s="1571">
        <f>D9/H9</f>
        <v>1.0050251256281406</v>
      </c>
      <c r="AC9" s="1571">
        <f>D9/J9</f>
        <v>1.0204081632653061</v>
      </c>
    </row>
    <row r="10" spans="1:30" s="1219" customFormat="1" ht="21" thickBot="1">
      <c r="A10" s="2938"/>
      <c r="B10" s="2945" t="s">
        <v>530</v>
      </c>
      <c r="C10" s="856" t="s">
        <v>531</v>
      </c>
      <c r="D10" s="520">
        <v>100</v>
      </c>
      <c r="E10" s="525" t="s">
        <v>3030</v>
      </c>
      <c r="F10" s="522">
        <f>SUMIF(75:75,E10,76:76)-SUMIF(75:75,C10,76:76)+100</f>
        <v>100</v>
      </c>
      <c r="G10" s="525" t="s">
        <v>3030</v>
      </c>
      <c r="H10" s="520">
        <f>SUMIF(75:75,G10,76:76)-SUMIF(75:75,C10,76:76)+100</f>
        <v>100</v>
      </c>
      <c r="I10" s="525" t="s">
        <v>3030</v>
      </c>
      <c r="J10" s="520">
        <f>SUMIF(75:75,I10,76:76)-SUMIF(75:75,C10,76:76)+100</f>
        <v>100</v>
      </c>
      <c r="K10" s="524"/>
      <c r="L10" s="2136"/>
      <c r="M10" s="2133"/>
      <c r="N10" s="2133"/>
      <c r="O10" s="2137"/>
      <c r="P10" s="3369" t="s">
        <v>532</v>
      </c>
      <c r="Q10" s="3370"/>
      <c r="R10" s="1568" t="s">
        <v>8</v>
      </c>
      <c r="S10" s="1569">
        <f t="shared" si="0"/>
        <v>100</v>
      </c>
      <c r="T10" s="1568" t="s">
        <v>8</v>
      </c>
      <c r="U10" s="1569">
        <f t="shared" si="1"/>
        <v>100</v>
      </c>
      <c r="V10" s="1568" t="s">
        <v>8</v>
      </c>
      <c r="W10" s="1569">
        <f t="shared" si="2"/>
        <v>100</v>
      </c>
      <c r="X10" s="1570"/>
      <c r="Y10" s="3369" t="s">
        <v>532</v>
      </c>
      <c r="Z10" s="3370"/>
      <c r="AA10" s="1571">
        <f t="shared" ref="AA10:AA47" si="3">D10/F10</f>
        <v>1</v>
      </c>
      <c r="AB10" s="1571">
        <f t="shared" ref="AB10:AB47" si="4">D10/H10</f>
        <v>1</v>
      </c>
      <c r="AC10" s="1571">
        <f t="shared" ref="AC10:AC47" si="5">D10/J10</f>
        <v>1</v>
      </c>
    </row>
    <row r="11" spans="1:30" s="1219" customFormat="1" ht="20.25">
      <c r="A11" s="2939"/>
      <c r="B11" s="2946" t="s">
        <v>2759</v>
      </c>
      <c r="C11" s="2933"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6"/>
      <c r="M11" s="2133"/>
      <c r="N11" s="2133"/>
      <c r="O11" s="2138"/>
      <c r="P11" s="3377" t="s">
        <v>534</v>
      </c>
      <c r="Q11" s="1150" t="str">
        <f t="shared" ref="Q11:Q17" si="6">B11</f>
        <v>用途</v>
      </c>
      <c r="R11" s="1568" t="s">
        <v>8</v>
      </c>
      <c r="S11" s="1569">
        <f t="shared" si="0"/>
        <v>100</v>
      </c>
      <c r="T11" s="1568" t="s">
        <v>8</v>
      </c>
      <c r="U11" s="1569">
        <f t="shared" si="1"/>
        <v>100</v>
      </c>
      <c r="V11" s="1568" t="s">
        <v>8</v>
      </c>
      <c r="W11" s="1569">
        <f t="shared" si="2"/>
        <v>100</v>
      </c>
      <c r="X11" s="1570"/>
      <c r="Y11" s="3334" t="s">
        <v>535</v>
      </c>
      <c r="Z11" s="1149" t="str">
        <f t="shared" ref="Z11:Z17" si="7">Q11</f>
        <v>用途</v>
      </c>
      <c r="AA11" s="1571">
        <f t="shared" si="3"/>
        <v>1</v>
      </c>
      <c r="AB11" s="1571">
        <f t="shared" si="4"/>
        <v>1</v>
      </c>
      <c r="AC11" s="1571">
        <f t="shared" si="5"/>
        <v>1</v>
      </c>
    </row>
    <row r="12" spans="1:30" s="1337" customFormat="1" ht="27">
      <c r="A12" s="2940"/>
      <c r="B12" s="2945" t="s">
        <v>2760</v>
      </c>
      <c r="C12" s="910">
        <f>'数据-取费表'!F6</f>
        <v>62.79</v>
      </c>
      <c r="D12" s="255">
        <v>100</v>
      </c>
      <c r="E12" s="529" t="s">
        <v>3037</v>
      </c>
      <c r="F12" s="255">
        <f>ROUND(100/'数据-取费表'!G16,0)</f>
        <v>102</v>
      </c>
      <c r="G12" s="530" t="s">
        <v>3037</v>
      </c>
      <c r="H12" s="255">
        <f>ROUND(100/'数据-取费表'!G16,0)</f>
        <v>102</v>
      </c>
      <c r="I12" s="530" t="s">
        <v>3037</v>
      </c>
      <c r="J12" s="255">
        <f>ROUND(100/'数据-取费表'!G16,0)</f>
        <v>102</v>
      </c>
      <c r="K12" s="531"/>
      <c r="L12" s="2139"/>
      <c r="M12" s="2133"/>
      <c r="N12" s="2133"/>
      <c r="O12" s="2140"/>
      <c r="P12" s="3377"/>
      <c r="Q12" s="1150" t="str">
        <f t="shared" si="6"/>
        <v>土地使用年限（年）</v>
      </c>
      <c r="R12" s="1568" t="s">
        <v>8</v>
      </c>
      <c r="S12" s="1569">
        <f t="shared" si="0"/>
        <v>102</v>
      </c>
      <c r="T12" s="1568" t="s">
        <v>8</v>
      </c>
      <c r="U12" s="1569">
        <f t="shared" si="1"/>
        <v>102</v>
      </c>
      <c r="V12" s="1568" t="s">
        <v>8</v>
      </c>
      <c r="W12" s="1569">
        <f t="shared" si="2"/>
        <v>102</v>
      </c>
      <c r="X12" s="1570"/>
      <c r="Y12" s="3334"/>
      <c r="Z12" s="1149" t="str">
        <f t="shared" si="7"/>
        <v>土地使用年限（年）</v>
      </c>
      <c r="AA12" s="1571">
        <f t="shared" si="3"/>
        <v>0.98039215686274506</v>
      </c>
      <c r="AB12" s="1571">
        <f t="shared" si="4"/>
        <v>0.98039215686274506</v>
      </c>
      <c r="AC12" s="1571">
        <f t="shared" si="5"/>
        <v>0.98039215686274506</v>
      </c>
    </row>
    <row r="13" spans="1:30" ht="21" thickBot="1">
      <c r="A13" s="2941"/>
      <c r="B13" s="2945" t="s">
        <v>2761</v>
      </c>
      <c r="C13" s="534">
        <f>'数据-汇总表'!I4</f>
        <v>4.2</v>
      </c>
      <c r="D13" s="255">
        <v>100</v>
      </c>
      <c r="E13" s="533">
        <v>2</v>
      </c>
      <c r="F13" s="255">
        <f>LOOKUP(E13,82:82,83:83)-LOOKUP(C13,82:82,83:83)+100</f>
        <v>110</v>
      </c>
      <c r="G13" s="534">
        <v>2</v>
      </c>
      <c r="H13" s="255">
        <f>LOOKUP(G13,82:82,83:83)-LOOKUP(C13,82:82,83:83)+100</f>
        <v>110</v>
      </c>
      <c r="I13" s="533">
        <v>2.5</v>
      </c>
      <c r="J13" s="255">
        <f>LOOKUP(I13,82:82,83:83)-LOOKUP(C13,82:82,83:83)+100</f>
        <v>110</v>
      </c>
      <c r="K13" s="3191">
        <v>5</v>
      </c>
      <c r="L13" s="2141"/>
      <c r="M13" s="2133"/>
      <c r="N13" s="2133"/>
      <c r="O13" s="2142"/>
      <c r="P13" s="3377"/>
      <c r="Q13" s="1150" t="str">
        <f t="shared" si="6"/>
        <v>容积率</v>
      </c>
      <c r="R13" s="1568" t="s">
        <v>8</v>
      </c>
      <c r="S13" s="1569">
        <f t="shared" si="0"/>
        <v>110</v>
      </c>
      <c r="T13" s="1568" t="s">
        <v>8</v>
      </c>
      <c r="U13" s="1569">
        <f t="shared" si="1"/>
        <v>110</v>
      </c>
      <c r="V13" s="1568" t="s">
        <v>8</v>
      </c>
      <c r="W13" s="1569">
        <f t="shared" si="2"/>
        <v>110</v>
      </c>
      <c r="X13" s="1570"/>
      <c r="Y13" s="3334"/>
      <c r="Z13" s="1149" t="str">
        <f t="shared" si="7"/>
        <v>容积率</v>
      </c>
      <c r="AA13" s="1571">
        <f t="shared" si="3"/>
        <v>0.90909090909090906</v>
      </c>
      <c r="AB13" s="1571">
        <f t="shared" si="4"/>
        <v>0.90909090909090906</v>
      </c>
      <c r="AC13" s="1571">
        <f t="shared" si="5"/>
        <v>0.90909090909090906</v>
      </c>
    </row>
    <row r="14" spans="1:30" s="1219" customFormat="1" ht="20.25" hidden="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7"/>
      <c r="Q14" s="1150" t="str">
        <f t="shared" si="6"/>
        <v>配建</v>
      </c>
      <c r="R14" s="1568" t="s">
        <v>8</v>
      </c>
      <c r="S14" s="1569">
        <f t="shared" si="0"/>
        <v>100</v>
      </c>
      <c r="T14" s="1568" t="s">
        <v>8</v>
      </c>
      <c r="U14" s="1569">
        <f t="shared" si="1"/>
        <v>100</v>
      </c>
      <c r="V14" s="1568" t="s">
        <v>8</v>
      </c>
      <c r="W14" s="1569">
        <f t="shared" si="2"/>
        <v>100</v>
      </c>
      <c r="X14" s="1570"/>
      <c r="Y14" s="3334"/>
      <c r="Z14" s="1149" t="str">
        <f t="shared" si="7"/>
        <v>配建</v>
      </c>
      <c r="AA14" s="1571">
        <f>D14/F14</f>
        <v>1</v>
      </c>
      <c r="AB14" s="1571">
        <f>D14/H14</f>
        <v>1</v>
      </c>
      <c r="AC14" s="1571">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7"/>
      <c r="Q15" s="1150">
        <f t="shared" si="6"/>
        <v>111</v>
      </c>
      <c r="R15" s="1568" t="s">
        <v>8</v>
      </c>
      <c r="S15" s="1569">
        <f t="shared" si="0"/>
        <v>100</v>
      </c>
      <c r="T15" s="1568" t="s">
        <v>8</v>
      </c>
      <c r="U15" s="1569">
        <f t="shared" si="1"/>
        <v>100</v>
      </c>
      <c r="V15" s="1568" t="s">
        <v>8</v>
      </c>
      <c r="W15" s="1569">
        <f t="shared" si="2"/>
        <v>100</v>
      </c>
      <c r="X15" s="1570"/>
      <c r="Y15" s="3334"/>
      <c r="Z15" s="1149">
        <f t="shared" si="7"/>
        <v>111</v>
      </c>
      <c r="AA15" s="1571">
        <f>D15/F15</f>
        <v>1</v>
      </c>
      <c r="AB15" s="1571">
        <f>D15/H15</f>
        <v>1</v>
      </c>
      <c r="AC15" s="1571">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7"/>
      <c r="Q16" s="1150">
        <f t="shared" si="6"/>
        <v>111</v>
      </c>
      <c r="R16" s="1568" t="s">
        <v>8</v>
      </c>
      <c r="S16" s="1569">
        <f t="shared" si="0"/>
        <v>100</v>
      </c>
      <c r="T16" s="1568" t="s">
        <v>8</v>
      </c>
      <c r="U16" s="1569">
        <f t="shared" si="1"/>
        <v>100</v>
      </c>
      <c r="V16" s="1568" t="s">
        <v>8</v>
      </c>
      <c r="W16" s="1569">
        <f t="shared" si="2"/>
        <v>100</v>
      </c>
      <c r="X16" s="1570"/>
      <c r="Y16" s="3334"/>
      <c r="Z16" s="1149">
        <f t="shared" si="7"/>
        <v>111</v>
      </c>
      <c r="AA16" s="1571">
        <f>D16/F16</f>
        <v>1</v>
      </c>
      <c r="AB16" s="1571">
        <f>D16/H16</f>
        <v>1</v>
      </c>
      <c r="AC16" s="1571">
        <f>D16/J16</f>
        <v>1</v>
      </c>
    </row>
    <row r="17" spans="1:29" ht="99.75">
      <c r="A17" s="2935"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95</v>
      </c>
      <c r="I17" s="552"/>
      <c r="J17" s="549">
        <f>SUMIF(90:90,I18,91:91)-SUMIF(90:90,C18,91:91)+100</f>
        <v>100</v>
      </c>
      <c r="K17" s="535">
        <v>5</v>
      </c>
      <c r="L17" s="2143"/>
      <c r="M17" s="2133"/>
      <c r="N17" s="2133"/>
      <c r="O17" s="2142"/>
      <c r="P17" s="3379" t="s">
        <v>539</v>
      </c>
      <c r="Q17" s="1572" t="str">
        <f t="shared" si="6"/>
        <v>居住社区成熟度</v>
      </c>
      <c r="R17" s="1573" t="s">
        <v>8</v>
      </c>
      <c r="S17" s="1574">
        <f t="shared" si="0"/>
        <v>95</v>
      </c>
      <c r="T17" s="1573" t="s">
        <v>8</v>
      </c>
      <c r="U17" s="1574">
        <f t="shared" si="1"/>
        <v>95</v>
      </c>
      <c r="V17" s="1573" t="s">
        <v>8</v>
      </c>
      <c r="W17" s="1574">
        <f t="shared" si="2"/>
        <v>100</v>
      </c>
      <c r="X17" s="1567"/>
      <c r="Y17" s="3379" t="s">
        <v>539</v>
      </c>
      <c r="Z17" s="1575" t="str">
        <f t="shared" si="7"/>
        <v>居住社区成熟度</v>
      </c>
      <c r="AA17" s="1576">
        <f t="shared" si="3"/>
        <v>1.0526315789473684</v>
      </c>
      <c r="AB17" s="1576">
        <f t="shared" si="4"/>
        <v>1.0526315789473684</v>
      </c>
      <c r="AC17" s="1576">
        <f t="shared" si="5"/>
        <v>1</v>
      </c>
    </row>
    <row r="18" spans="1:29" ht="20.25">
      <c r="A18" s="532"/>
      <c r="B18" s="553"/>
      <c r="C18" s="554" t="s">
        <v>3038</v>
      </c>
      <c r="D18" s="557"/>
      <c r="E18" s="558" t="s">
        <v>3039</v>
      </c>
      <c r="F18" s="555"/>
      <c r="G18" s="556" t="s">
        <v>3039</v>
      </c>
      <c r="H18" s="559"/>
      <c r="I18" s="558" t="s">
        <v>3038</v>
      </c>
      <c r="J18" s="555"/>
      <c r="K18" s="531"/>
      <c r="L18" s="2143"/>
      <c r="M18" s="2133"/>
      <c r="N18" s="2133"/>
      <c r="O18" s="2142"/>
      <c r="P18" s="3380"/>
      <c r="Q18" s="1572"/>
      <c r="R18" s="1573"/>
      <c r="S18" s="1574"/>
      <c r="T18" s="1573"/>
      <c r="U18" s="1574"/>
      <c r="V18" s="1573"/>
      <c r="W18" s="1574"/>
      <c r="X18" s="1567"/>
      <c r="Y18" s="3380"/>
      <c r="Z18" s="1575"/>
      <c r="AA18" s="1576">
        <v>1</v>
      </c>
      <c r="AB18" s="1576">
        <v>1</v>
      </c>
      <c r="AC18" s="157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0"/>
      <c r="Q19" s="1572" t="str">
        <f>B19</f>
        <v>商业繁华度</v>
      </c>
      <c r="R19" s="1573" t="s">
        <v>8</v>
      </c>
      <c r="S19" s="1574">
        <f>F19</f>
        <v>100</v>
      </c>
      <c r="T19" s="1573" t="s">
        <v>8</v>
      </c>
      <c r="U19" s="1574">
        <f>H19</f>
        <v>100</v>
      </c>
      <c r="V19" s="1573" t="s">
        <v>8</v>
      </c>
      <c r="W19" s="1574">
        <f>J19</f>
        <v>100</v>
      </c>
      <c r="X19" s="1567"/>
      <c r="Y19" s="3380"/>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380"/>
      <c r="Q20" s="1572"/>
      <c r="R20" s="1573"/>
      <c r="S20" s="1574"/>
      <c r="T20" s="1573"/>
      <c r="U20" s="1574"/>
      <c r="V20" s="1573"/>
      <c r="W20" s="1574"/>
      <c r="X20" s="1567"/>
      <c r="Y20" s="3380"/>
      <c r="Z20" s="1575"/>
      <c r="AA20" s="1576">
        <v>1</v>
      </c>
      <c r="AB20" s="1576">
        <v>1</v>
      </c>
      <c r="AC20" s="1576">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0"/>
      <c r="Q21" s="1572" t="str">
        <f>B21</f>
        <v>办公集聚程度</v>
      </c>
      <c r="R21" s="1573" t="s">
        <v>8</v>
      </c>
      <c r="S21" s="1574">
        <f>F21</f>
        <v>100</v>
      </c>
      <c r="T21" s="1573" t="s">
        <v>8</v>
      </c>
      <c r="U21" s="1574">
        <f>H21</f>
        <v>100</v>
      </c>
      <c r="V21" s="1573" t="s">
        <v>8</v>
      </c>
      <c r="W21" s="1574">
        <f>J21</f>
        <v>100</v>
      </c>
      <c r="X21" s="1567"/>
      <c r="Y21" s="3380"/>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80"/>
      <c r="Q22" s="1572"/>
      <c r="R22" s="1573"/>
      <c r="S22" s="1574"/>
      <c r="T22" s="1573"/>
      <c r="U22" s="1574"/>
      <c r="V22" s="1573"/>
      <c r="W22" s="1574"/>
      <c r="X22" s="1567"/>
      <c r="Y22" s="3380"/>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380"/>
      <c r="Q23" s="1572" t="str">
        <f>B23</f>
        <v>交通便捷度</v>
      </c>
      <c r="R23" s="1573" t="s">
        <v>8</v>
      </c>
      <c r="S23" s="1574">
        <f>F23</f>
        <v>100</v>
      </c>
      <c r="T23" s="1573" t="s">
        <v>8</v>
      </c>
      <c r="U23" s="1574">
        <f>H23</f>
        <v>100</v>
      </c>
      <c r="V23" s="1573" t="s">
        <v>8</v>
      </c>
      <c r="W23" s="1574">
        <f>J23</f>
        <v>100</v>
      </c>
      <c r="X23" s="1567"/>
      <c r="Y23" s="3380"/>
      <c r="Z23" s="1575" t="str">
        <f>Q23</f>
        <v>交通便捷度</v>
      </c>
      <c r="AA23" s="1576">
        <f t="shared" si="3"/>
        <v>1</v>
      </c>
      <c r="AB23" s="1576">
        <f t="shared" si="4"/>
        <v>1</v>
      </c>
      <c r="AC23" s="1576">
        <f t="shared" si="5"/>
        <v>1</v>
      </c>
    </row>
    <row r="24" spans="1:29" ht="20.25">
      <c r="A24" s="532"/>
      <c r="B24" s="578"/>
      <c r="C24" s="554" t="s">
        <v>3038</v>
      </c>
      <c r="D24" s="557"/>
      <c r="E24" s="558" t="s">
        <v>3038</v>
      </c>
      <c r="F24" s="555"/>
      <c r="G24" s="556" t="s">
        <v>3038</v>
      </c>
      <c r="H24" s="555"/>
      <c r="I24" s="558" t="s">
        <v>3038</v>
      </c>
      <c r="J24" s="555"/>
      <c r="K24" s="531"/>
      <c r="L24" s="2143"/>
      <c r="M24" s="2133"/>
      <c r="N24" s="2133"/>
      <c r="O24" s="2142"/>
      <c r="P24" s="3380"/>
      <c r="Q24" s="1572"/>
      <c r="R24" s="1573"/>
      <c r="S24" s="1574"/>
      <c r="T24" s="1573"/>
      <c r="U24" s="1574"/>
      <c r="V24" s="1573"/>
      <c r="W24" s="1574"/>
      <c r="X24" s="1567"/>
      <c r="Y24" s="3380"/>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80"/>
      <c r="Q25" s="1572" t="str">
        <f t="shared" ref="Q25:Q39" si="8">B25</f>
        <v>区域土地利用方向</v>
      </c>
      <c r="R25" s="1573" t="s">
        <v>8</v>
      </c>
      <c r="S25" s="1574">
        <f>F25</f>
        <v>100</v>
      </c>
      <c r="T25" s="1573" t="s">
        <v>8</v>
      </c>
      <c r="U25" s="1574">
        <f>H25</f>
        <v>100</v>
      </c>
      <c r="V25" s="1573" t="s">
        <v>8</v>
      </c>
      <c r="W25" s="1574">
        <f>J25</f>
        <v>100</v>
      </c>
      <c r="X25" s="1567"/>
      <c r="Y25" s="3380"/>
      <c r="Z25" s="1575" t="str">
        <f>Q25</f>
        <v>区域土地利用方向</v>
      </c>
      <c r="AA25" s="1576">
        <f t="shared" si="3"/>
        <v>1</v>
      </c>
      <c r="AB25" s="1576">
        <f t="shared" si="4"/>
        <v>1</v>
      </c>
      <c r="AC25" s="1576">
        <f t="shared" si="5"/>
        <v>1</v>
      </c>
    </row>
    <row r="26" spans="1:29" ht="20.25">
      <c r="A26" s="515"/>
      <c r="B26" s="1006"/>
      <c r="C26" s="554" t="s">
        <v>3038</v>
      </c>
      <c r="D26" s="557"/>
      <c r="E26" s="558" t="s">
        <v>3038</v>
      </c>
      <c r="F26" s="555"/>
      <c r="G26" s="556" t="s">
        <v>3038</v>
      </c>
      <c r="H26" s="555"/>
      <c r="I26" s="558" t="s">
        <v>3038</v>
      </c>
      <c r="J26" s="555"/>
      <c r="K26" s="531"/>
      <c r="L26" s="2143"/>
      <c r="M26" s="2133"/>
      <c r="N26" s="2133"/>
      <c r="O26" s="2142"/>
      <c r="P26" s="3380"/>
      <c r="Q26" s="1572"/>
      <c r="R26" s="1573"/>
      <c r="S26" s="1574"/>
      <c r="T26" s="1573"/>
      <c r="U26" s="1574"/>
      <c r="V26" s="1573"/>
      <c r="W26" s="1574"/>
      <c r="X26" s="1567"/>
      <c r="Y26" s="3380"/>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100</v>
      </c>
      <c r="K27" s="535">
        <v>2</v>
      </c>
      <c r="L27" s="2143"/>
      <c r="M27" s="2133"/>
      <c r="N27" s="2133"/>
      <c r="O27" s="2142"/>
      <c r="P27" s="3380"/>
      <c r="Q27" s="1572" t="str">
        <f t="shared" si="8"/>
        <v>自然及人文环境状况</v>
      </c>
      <c r="R27" s="1573" t="s">
        <v>8</v>
      </c>
      <c r="S27" s="1574">
        <f>F27</f>
        <v>98</v>
      </c>
      <c r="T27" s="1573" t="s">
        <v>8</v>
      </c>
      <c r="U27" s="1574">
        <f>H27</f>
        <v>98</v>
      </c>
      <c r="V27" s="1573" t="s">
        <v>8</v>
      </c>
      <c r="W27" s="1574">
        <f>J27</f>
        <v>100</v>
      </c>
      <c r="X27" s="1567"/>
      <c r="Y27" s="3380"/>
      <c r="Z27" s="1575" t="str">
        <f>Q27</f>
        <v>自然及人文环境状况</v>
      </c>
      <c r="AA27" s="1576">
        <f t="shared" si="3"/>
        <v>1.0204081632653061</v>
      </c>
      <c r="AB27" s="1576">
        <f t="shared" si="4"/>
        <v>1.0204081632653061</v>
      </c>
      <c r="AC27" s="1576">
        <f t="shared" si="5"/>
        <v>1</v>
      </c>
    </row>
    <row r="28" spans="1:29" ht="20.25">
      <c r="A28" s="515"/>
      <c r="B28" s="566"/>
      <c r="C28" s="554" t="s">
        <v>3038</v>
      </c>
      <c r="D28" s="557"/>
      <c r="E28" s="576" t="s">
        <v>3039</v>
      </c>
      <c r="F28" s="555"/>
      <c r="G28" s="554" t="s">
        <v>3039</v>
      </c>
      <c r="H28" s="555"/>
      <c r="I28" s="576" t="s">
        <v>3038</v>
      </c>
      <c r="J28" s="555"/>
      <c r="K28" s="531"/>
      <c r="L28" s="2143"/>
      <c r="M28" s="2133"/>
      <c r="N28" s="2133"/>
      <c r="O28" s="2142"/>
      <c r="P28" s="3380"/>
      <c r="Q28" s="1572"/>
      <c r="R28" s="1573"/>
      <c r="S28" s="1574"/>
      <c r="T28" s="1573"/>
      <c r="U28" s="1574"/>
      <c r="V28" s="1573"/>
      <c r="W28" s="1574"/>
      <c r="X28" s="1567"/>
      <c r="Y28" s="3380"/>
      <c r="Z28" s="1575"/>
      <c r="AA28" s="1576">
        <v>1</v>
      </c>
      <c r="AB28" s="1576">
        <v>1</v>
      </c>
      <c r="AC28" s="1576">
        <v>1</v>
      </c>
    </row>
    <row r="29" spans="1:29" s="1219"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380"/>
      <c r="Q29" s="1150" t="str">
        <f t="shared" si="8"/>
        <v>公共配套设施</v>
      </c>
      <c r="R29" s="1568" t="s">
        <v>8</v>
      </c>
      <c r="S29" s="1569">
        <f>F29</f>
        <v>100</v>
      </c>
      <c r="T29" s="1568" t="s">
        <v>8</v>
      </c>
      <c r="U29" s="1569">
        <f>H29</f>
        <v>100</v>
      </c>
      <c r="V29" s="1568" t="s">
        <v>8</v>
      </c>
      <c r="W29" s="1569">
        <f>J29</f>
        <v>100</v>
      </c>
      <c r="X29" s="1570"/>
      <c r="Y29" s="3380"/>
      <c r="Z29" s="1149" t="str">
        <f>Q29</f>
        <v>公共配套设施</v>
      </c>
      <c r="AA29" s="1576">
        <f>D29/F29</f>
        <v>1</v>
      </c>
      <c r="AB29" s="1576">
        <f>D29/H29</f>
        <v>1</v>
      </c>
      <c r="AC29" s="1576">
        <f>D29/J29</f>
        <v>1</v>
      </c>
    </row>
    <row r="30" spans="1:29" s="1219" customFormat="1" ht="20.25">
      <c r="A30" s="577"/>
      <c r="B30" s="566"/>
      <c r="C30" s="579" t="s">
        <v>3038</v>
      </c>
      <c r="D30" s="557"/>
      <c r="E30" s="576" t="s">
        <v>3038</v>
      </c>
      <c r="F30" s="555"/>
      <c r="G30" s="554" t="s">
        <v>3038</v>
      </c>
      <c r="H30" s="555"/>
      <c r="I30" s="576" t="s">
        <v>3038</v>
      </c>
      <c r="J30" s="555"/>
      <c r="K30" s="531"/>
      <c r="L30" s="2136"/>
      <c r="M30" s="2133"/>
      <c r="N30" s="2133"/>
      <c r="O30" s="2138"/>
      <c r="P30" s="3380"/>
      <c r="Q30" s="1150"/>
      <c r="R30" s="1568"/>
      <c r="S30" s="1569"/>
      <c r="T30" s="1568"/>
      <c r="U30" s="1569"/>
      <c r="V30" s="1568"/>
      <c r="W30" s="1569"/>
      <c r="X30" s="1570"/>
      <c r="Y30" s="3380"/>
      <c r="Z30" s="1149"/>
      <c r="AA30" s="1576">
        <v>1</v>
      </c>
      <c r="AB30" s="1576">
        <v>1</v>
      </c>
      <c r="AC30" s="1576">
        <v>1</v>
      </c>
    </row>
    <row r="31" spans="1:29" s="1219"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0"/>
      <c r="Q31" s="2603" t="str">
        <f t="shared" ref="Q31" si="9">B31</f>
        <v>基础设施水平</v>
      </c>
      <c r="R31" s="1568" t="s">
        <v>8</v>
      </c>
      <c r="S31" s="1569">
        <f>F31</f>
        <v>100</v>
      </c>
      <c r="T31" s="1568" t="s">
        <v>8</v>
      </c>
      <c r="U31" s="1569">
        <f>H31</f>
        <v>100</v>
      </c>
      <c r="V31" s="1568" t="s">
        <v>8</v>
      </c>
      <c r="W31" s="1569">
        <f>J31</f>
        <v>100</v>
      </c>
      <c r="X31" s="1570"/>
      <c r="Y31" s="3380"/>
      <c r="Z31" s="2600" t="str">
        <f>Q31</f>
        <v>基础设施水平</v>
      </c>
      <c r="AA31" s="1576">
        <f>D31/F31</f>
        <v>1</v>
      </c>
      <c r="AB31" s="1576">
        <f>D31/H31</f>
        <v>1</v>
      </c>
      <c r="AC31" s="1576">
        <f>D31/J31</f>
        <v>1</v>
      </c>
    </row>
    <row r="32" spans="1:29" s="1219" customFormat="1" ht="21" thickBot="1">
      <c r="A32" s="577"/>
      <c r="B32" s="566"/>
      <c r="C32" s="579" t="s">
        <v>3040</v>
      </c>
      <c r="D32" s="557"/>
      <c r="E32" s="579" t="s">
        <v>3040</v>
      </c>
      <c r="F32" s="555"/>
      <c r="G32" s="579" t="s">
        <v>3040</v>
      </c>
      <c r="H32" s="555"/>
      <c r="I32" s="579" t="s">
        <v>3040</v>
      </c>
      <c r="J32" s="555"/>
      <c r="K32" s="531"/>
      <c r="L32" s="2136"/>
      <c r="M32" s="2133"/>
      <c r="N32" s="2133"/>
      <c r="O32" s="2138"/>
      <c r="P32" s="3380"/>
      <c r="Q32" s="2603"/>
      <c r="R32" s="1568"/>
      <c r="S32" s="1569"/>
      <c r="T32" s="1568"/>
      <c r="U32" s="1569"/>
      <c r="V32" s="1568"/>
      <c r="W32" s="1569"/>
      <c r="X32" s="1570"/>
      <c r="Y32" s="3380"/>
      <c r="Z32" s="2600"/>
      <c r="AA32" s="1576">
        <v>1</v>
      </c>
      <c r="AB32" s="1576">
        <v>1</v>
      </c>
      <c r="AC32" s="1576">
        <v>1</v>
      </c>
    </row>
    <row r="33" spans="1:29" ht="21" hidden="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38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0"/>
      <c r="Z33" s="1575" t="str">
        <f t="shared" ref="Z33:Z47" si="13">Q33</f>
        <v>临街状况</v>
      </c>
      <c r="AA33" s="1576">
        <f t="shared" si="3"/>
        <v>1</v>
      </c>
      <c r="AB33" s="1576">
        <f t="shared" si="4"/>
        <v>1</v>
      </c>
      <c r="AC33" s="1576">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0"/>
      <c r="Q34" s="1572" t="str">
        <f t="shared" si="8"/>
        <v>毗邻道路的类型与等级</v>
      </c>
      <c r="R34" s="1573" t="s">
        <v>8</v>
      </c>
      <c r="S34" s="1574">
        <f t="shared" si="10"/>
        <v>100</v>
      </c>
      <c r="T34" s="1573" t="s">
        <v>8</v>
      </c>
      <c r="U34" s="1574">
        <f t="shared" si="11"/>
        <v>100</v>
      </c>
      <c r="V34" s="1573" t="s">
        <v>8</v>
      </c>
      <c r="W34" s="1574">
        <f t="shared" si="12"/>
        <v>100</v>
      </c>
      <c r="X34" s="1567"/>
      <c r="Y34" s="3380"/>
      <c r="Z34" s="1575" t="str">
        <f t="shared" si="13"/>
        <v>毗邻道路的类型与等级</v>
      </c>
      <c r="AA34" s="1576">
        <f t="shared" si="3"/>
        <v>1</v>
      </c>
      <c r="AB34" s="1576">
        <f t="shared" si="4"/>
        <v>1</v>
      </c>
      <c r="AC34" s="1576">
        <f t="shared" si="5"/>
        <v>1</v>
      </c>
    </row>
    <row r="35" spans="1:29" ht="21" hidden="1" thickBot="1">
      <c r="A35" s="532"/>
      <c r="B35" s="566"/>
      <c r="C35" s="554"/>
      <c r="D35" s="557"/>
      <c r="E35" s="576"/>
      <c r="F35" s="555"/>
      <c r="G35" s="554"/>
      <c r="H35" s="555"/>
      <c r="I35" s="576"/>
      <c r="J35" s="555"/>
      <c r="K35" s="581"/>
      <c r="L35" s="2143"/>
      <c r="M35" s="2133"/>
      <c r="N35" s="2133"/>
      <c r="O35" s="2142"/>
      <c r="P35" s="3380"/>
      <c r="Q35" s="1572"/>
      <c r="R35" s="1573"/>
      <c r="S35" s="1574"/>
      <c r="T35" s="1573"/>
      <c r="U35" s="1574"/>
      <c r="V35" s="1573"/>
      <c r="W35" s="1574"/>
      <c r="X35" s="1567"/>
      <c r="Y35" s="3380"/>
      <c r="Z35" s="1575"/>
      <c r="AA35" s="1576">
        <v>1</v>
      </c>
      <c r="AB35" s="1576">
        <v>1</v>
      </c>
      <c r="AC35" s="1576">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0"/>
      <c r="Q36" s="1572" t="str">
        <f t="shared" si="8"/>
        <v>土地级别</v>
      </c>
      <c r="R36" s="1573" t="s">
        <v>8</v>
      </c>
      <c r="S36" s="1574">
        <f t="shared" si="10"/>
        <v>100</v>
      </c>
      <c r="T36" s="1573" t="s">
        <v>8</v>
      </c>
      <c r="U36" s="1574">
        <f t="shared" si="11"/>
        <v>100</v>
      </c>
      <c r="V36" s="1573" t="s">
        <v>8</v>
      </c>
      <c r="W36" s="1574">
        <f t="shared" si="12"/>
        <v>100</v>
      </c>
      <c r="X36" s="1567"/>
      <c r="Y36" s="3380"/>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0"/>
      <c r="Q37" s="1572">
        <f t="shared" si="8"/>
        <v>111</v>
      </c>
      <c r="R37" s="1573" t="s">
        <v>8</v>
      </c>
      <c r="S37" s="1574">
        <f t="shared" si="10"/>
        <v>100</v>
      </c>
      <c r="T37" s="1573" t="s">
        <v>8</v>
      </c>
      <c r="U37" s="1574">
        <f t="shared" si="11"/>
        <v>100</v>
      </c>
      <c r="V37" s="1573" t="s">
        <v>8</v>
      </c>
      <c r="W37" s="1574">
        <f t="shared" si="12"/>
        <v>100</v>
      </c>
      <c r="X37" s="1567"/>
      <c r="Y37" s="3380"/>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1" t="s">
        <v>549</v>
      </c>
      <c r="Q38" s="1572">
        <f t="shared" si="8"/>
        <v>111</v>
      </c>
      <c r="R38" s="1573" t="s">
        <v>8</v>
      </c>
      <c r="S38" s="1574">
        <f t="shared" si="10"/>
        <v>100</v>
      </c>
      <c r="T38" s="1573" t="s">
        <v>8</v>
      </c>
      <c r="U38" s="1574">
        <f t="shared" si="11"/>
        <v>100</v>
      </c>
      <c r="V38" s="1573" t="s">
        <v>8</v>
      </c>
      <c r="W38" s="1574">
        <f t="shared" si="12"/>
        <v>100</v>
      </c>
      <c r="X38" s="1567"/>
      <c r="Y38" s="3382" t="s">
        <v>549</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2"/>
      <c r="Q39" s="1572">
        <f t="shared" si="8"/>
        <v>111</v>
      </c>
      <c r="R39" s="1577" t="s">
        <v>8</v>
      </c>
      <c r="S39" s="1578">
        <f t="shared" si="10"/>
        <v>100</v>
      </c>
      <c r="T39" s="1577" t="s">
        <v>8</v>
      </c>
      <c r="U39" s="1578">
        <f t="shared" si="11"/>
        <v>100</v>
      </c>
      <c r="V39" s="1577" t="s">
        <v>8</v>
      </c>
      <c r="W39" s="1578">
        <f t="shared" si="12"/>
        <v>100</v>
      </c>
      <c r="X39" s="1579"/>
      <c r="Y39" s="3382"/>
      <c r="Z39" s="1580">
        <f t="shared" si="13"/>
        <v>111</v>
      </c>
      <c r="AA39" s="1576">
        <f t="shared" si="3"/>
        <v>1</v>
      </c>
      <c r="AB39" s="1576">
        <f t="shared" si="4"/>
        <v>1</v>
      </c>
      <c r="AC39" s="1576">
        <f t="shared" si="5"/>
        <v>1</v>
      </c>
    </row>
    <row r="40" spans="1:29" ht="20.25">
      <c r="A40" s="2932" t="s">
        <v>2758</v>
      </c>
      <c r="B40" s="595" t="s">
        <v>551</v>
      </c>
      <c r="C40" s="596">
        <f>面积表!A2</f>
        <v>107054.08</v>
      </c>
      <c r="D40" s="597">
        <v>100</v>
      </c>
      <c r="E40" s="596">
        <v>40012.76</v>
      </c>
      <c r="F40" s="597">
        <f>LOOKUP(E40,119:119,120:120)-LOOKUP(C40,119:119,120:120)+100</f>
        <v>98</v>
      </c>
      <c r="G40" s="596">
        <v>60986.21</v>
      </c>
      <c r="H40" s="597">
        <f>LOOKUP(G40,119:119,120:120)-LOOKUP(C40,119:119,120:120)+100</f>
        <v>99</v>
      </c>
      <c r="I40" s="598">
        <v>68156.53</v>
      </c>
      <c r="J40" s="597">
        <f>LOOKUP(I40,119:119,120:120)-LOOKUP(C40,119:119,120:120)+100</f>
        <v>99</v>
      </c>
      <c r="K40" s="581"/>
      <c r="L40" s="2143"/>
      <c r="M40" s="2133"/>
      <c r="N40" s="2133"/>
      <c r="O40" s="2142"/>
      <c r="P40" s="3382"/>
      <c r="Q40" s="1572" t="str">
        <f>B40</f>
        <v>宗地面积</v>
      </c>
      <c r="R40" s="1573" t="s">
        <v>8</v>
      </c>
      <c r="S40" s="1574">
        <f t="shared" si="10"/>
        <v>98</v>
      </c>
      <c r="T40" s="1573" t="s">
        <v>8</v>
      </c>
      <c r="U40" s="1574">
        <f t="shared" si="11"/>
        <v>99</v>
      </c>
      <c r="V40" s="1573" t="s">
        <v>8</v>
      </c>
      <c r="W40" s="1574">
        <f t="shared" si="12"/>
        <v>99</v>
      </c>
      <c r="X40" s="1567"/>
      <c r="Y40" s="3382"/>
      <c r="Z40" s="1575" t="str">
        <f t="shared" si="13"/>
        <v>宗地面积</v>
      </c>
      <c r="AA40" s="1576">
        <f t="shared" si="3"/>
        <v>1.0204081632653061</v>
      </c>
      <c r="AB40" s="1576">
        <f t="shared" si="4"/>
        <v>1.0101010101010102</v>
      </c>
      <c r="AC40" s="1576">
        <f t="shared" si="5"/>
        <v>1.0101010101010102</v>
      </c>
    </row>
    <row r="41" spans="1:29" ht="20.25">
      <c r="A41" s="594"/>
      <c r="B41" s="527" t="s">
        <v>552</v>
      </c>
      <c r="C41" s="599" t="s">
        <v>3041</v>
      </c>
      <c r="D41" s="540">
        <v>100</v>
      </c>
      <c r="E41" s="599" t="s">
        <v>3041</v>
      </c>
      <c r="F41" s="540">
        <f>SUMIF(121:121,E41,122:122)-SUMIF(121:121,C41,122:122)+100</f>
        <v>100</v>
      </c>
      <c r="G41" s="599" t="s">
        <v>3041</v>
      </c>
      <c r="H41" s="540">
        <f>SUMIF(121:121,G41,122:122)-SUMIF(121:121,C41,122:122)+100</f>
        <v>100</v>
      </c>
      <c r="I41" s="599" t="s">
        <v>3041</v>
      </c>
      <c r="J41" s="540">
        <f>SUMIF(121:121,I41,122:122)-SUMIF(121:121,C41,122:122)+100</f>
        <v>100</v>
      </c>
      <c r="K41" s="584"/>
      <c r="L41" s="2143"/>
      <c r="M41" s="2133"/>
      <c r="N41" s="2133"/>
      <c r="O41" s="2142"/>
      <c r="P41" s="3382"/>
      <c r="Q41" s="1572" t="str">
        <f t="shared" ref="Q41:Q47" si="14">B41</f>
        <v>宗地形状</v>
      </c>
      <c r="R41" s="1573" t="s">
        <v>8</v>
      </c>
      <c r="S41" s="1574">
        <f t="shared" si="10"/>
        <v>100</v>
      </c>
      <c r="T41" s="1573" t="s">
        <v>8</v>
      </c>
      <c r="U41" s="1574">
        <f t="shared" si="11"/>
        <v>100</v>
      </c>
      <c r="V41" s="1573" t="s">
        <v>8</v>
      </c>
      <c r="W41" s="1574">
        <f t="shared" si="12"/>
        <v>100</v>
      </c>
      <c r="X41" s="1567"/>
      <c r="Y41" s="3382"/>
      <c r="Z41" s="1575" t="str">
        <f t="shared" si="13"/>
        <v>宗地形状</v>
      </c>
      <c r="AA41" s="1576">
        <f t="shared" si="3"/>
        <v>1</v>
      </c>
      <c r="AB41" s="1576">
        <f t="shared" si="4"/>
        <v>1</v>
      </c>
      <c r="AC41" s="1576">
        <f t="shared" si="5"/>
        <v>1</v>
      </c>
    </row>
    <row r="42" spans="1:29" ht="20.25">
      <c r="A42" s="594"/>
      <c r="B42" s="527" t="s">
        <v>553</v>
      </c>
      <c r="C42" s="599" t="s">
        <v>3043</v>
      </c>
      <c r="D42" s="540">
        <v>100</v>
      </c>
      <c r="E42" s="599" t="s">
        <v>3043</v>
      </c>
      <c r="F42" s="540">
        <f>SUMIF(123:123,E42,124:124)-SUMIF(123:123,C42,124:124)+100</f>
        <v>100</v>
      </c>
      <c r="G42" s="599" t="s">
        <v>3043</v>
      </c>
      <c r="H42" s="540">
        <f>SUMIF(123:123,G42,124:124)-SUMIF(123:123,C42,124:124)+100</f>
        <v>100</v>
      </c>
      <c r="I42" s="599" t="s">
        <v>3043</v>
      </c>
      <c r="J42" s="540">
        <f>SUMIF(123:123,I42,124:124)-SUMIF(123:123,C42,124:124)+100</f>
        <v>100</v>
      </c>
      <c r="K42" s="584"/>
      <c r="L42" s="2143"/>
      <c r="M42" s="2133"/>
      <c r="N42" s="2133"/>
      <c r="O42" s="2142"/>
      <c r="P42" s="3382"/>
      <c r="Q42" s="1572" t="str">
        <f t="shared" si="14"/>
        <v>临街宽度及深度</v>
      </c>
      <c r="R42" s="1573" t="s">
        <v>8</v>
      </c>
      <c r="S42" s="1574">
        <f t="shared" si="10"/>
        <v>100</v>
      </c>
      <c r="T42" s="1573" t="s">
        <v>8</v>
      </c>
      <c r="U42" s="1574">
        <f t="shared" si="11"/>
        <v>100</v>
      </c>
      <c r="V42" s="1573" t="s">
        <v>8</v>
      </c>
      <c r="W42" s="1574">
        <f t="shared" si="12"/>
        <v>100</v>
      </c>
      <c r="X42" s="1567"/>
      <c r="Y42" s="3382"/>
      <c r="Z42" s="1575" t="str">
        <f t="shared" si="13"/>
        <v>临街宽度及深度</v>
      </c>
      <c r="AA42" s="1576">
        <f t="shared" si="3"/>
        <v>1</v>
      </c>
      <c r="AB42" s="1576">
        <f t="shared" si="4"/>
        <v>1</v>
      </c>
      <c r="AC42" s="1576">
        <f t="shared" si="5"/>
        <v>1</v>
      </c>
    </row>
    <row r="43" spans="1:29" s="1219" customFormat="1" ht="20.25">
      <c r="A43" s="600"/>
      <c r="B43" s="1896" t="s">
        <v>2427</v>
      </c>
      <c r="C43" s="601" t="s">
        <v>3040</v>
      </c>
      <c r="D43" s="255">
        <v>100</v>
      </c>
      <c r="E43" s="601" t="s">
        <v>3040</v>
      </c>
      <c r="F43" s="540">
        <f>SUMIF(125:125,E43,126:126)-SUMIF(125:125,C43,126:126)+100</f>
        <v>100</v>
      </c>
      <c r="G43" s="601" t="s">
        <v>3040</v>
      </c>
      <c r="H43" s="540">
        <f>SUMIF(125:125,G43,126:126)-SUMIF(125:125,C43,126:126)+100</f>
        <v>100</v>
      </c>
      <c r="I43" s="601" t="s">
        <v>3040</v>
      </c>
      <c r="J43" s="540">
        <f>SUMIF(125:125,I43,126:126)-SUMIF(125:125,C43,126:126)+100</f>
        <v>100</v>
      </c>
      <c r="K43" s="584"/>
      <c r="L43" s="2136"/>
      <c r="M43" s="2133"/>
      <c r="N43" s="2133"/>
      <c r="O43" s="2138"/>
      <c r="P43" s="3382"/>
      <c r="Q43" s="1572" t="str">
        <f t="shared" si="14"/>
        <v>宗地开发程度</v>
      </c>
      <c r="R43" s="1568" t="s">
        <v>8</v>
      </c>
      <c r="S43" s="1569">
        <f t="shared" si="10"/>
        <v>100</v>
      </c>
      <c r="T43" s="1568" t="s">
        <v>8</v>
      </c>
      <c r="U43" s="1569">
        <f t="shared" si="11"/>
        <v>100</v>
      </c>
      <c r="V43" s="1568" t="s">
        <v>8</v>
      </c>
      <c r="W43" s="1569">
        <f t="shared" si="12"/>
        <v>100</v>
      </c>
      <c r="X43" s="1570"/>
      <c r="Y43" s="3382"/>
      <c r="Z43" s="1149" t="str">
        <f t="shared" si="13"/>
        <v>宗地开发程度</v>
      </c>
      <c r="AA43" s="1571">
        <f t="shared" si="3"/>
        <v>1</v>
      </c>
      <c r="AB43" s="1571">
        <f t="shared" si="4"/>
        <v>1</v>
      </c>
      <c r="AC43" s="1571">
        <f t="shared" si="5"/>
        <v>1</v>
      </c>
    </row>
    <row r="44" spans="1:29" ht="21" thickBot="1">
      <c r="A44" s="594"/>
      <c r="B44" s="527" t="s">
        <v>554</v>
      </c>
      <c r="C44" s="599" t="s">
        <v>3038</v>
      </c>
      <c r="D44" s="540">
        <v>100</v>
      </c>
      <c r="E44" s="599" t="s">
        <v>3038</v>
      </c>
      <c r="F44" s="540">
        <f>SUMIF(127:127,E44,128:128)-SUMIF(127:127,C44,128:128)+100</f>
        <v>100</v>
      </c>
      <c r="G44" s="599" t="s">
        <v>3038</v>
      </c>
      <c r="H44" s="540">
        <f>SUMIF(127:127,G44,128:128)-SUMIF(127:127,C44,128:128)+100</f>
        <v>100</v>
      </c>
      <c r="I44" s="599" t="s">
        <v>3038</v>
      </c>
      <c r="J44" s="540">
        <f>SUMIF(127:127,I44,128:128)-SUMIF(127:127,C44,128:128)+100</f>
        <v>100</v>
      </c>
      <c r="K44" s="584"/>
      <c r="L44" s="2143"/>
      <c r="M44" s="2133"/>
      <c r="N44" s="2133"/>
      <c r="O44" s="2142"/>
      <c r="P44" s="3382" t="s">
        <v>549</v>
      </c>
      <c r="Q44" s="1572" t="str">
        <f t="shared" si="14"/>
        <v>工程地质条件</v>
      </c>
      <c r="R44" s="1573" t="s">
        <v>8</v>
      </c>
      <c r="S44" s="1574">
        <f t="shared" si="10"/>
        <v>100</v>
      </c>
      <c r="T44" s="1573" t="s">
        <v>8</v>
      </c>
      <c r="U44" s="1574">
        <f t="shared" si="11"/>
        <v>100</v>
      </c>
      <c r="V44" s="1573" t="s">
        <v>8</v>
      </c>
      <c r="W44" s="1574">
        <f t="shared" si="12"/>
        <v>100</v>
      </c>
      <c r="X44" s="1567"/>
      <c r="Y44" s="3382" t="s">
        <v>549</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2"/>
      <c r="Q45" s="1572">
        <f t="shared" si="14"/>
        <v>111</v>
      </c>
      <c r="R45" s="1573" t="s">
        <v>8</v>
      </c>
      <c r="S45" s="1574">
        <f t="shared" si="10"/>
        <v>100</v>
      </c>
      <c r="T45" s="1573" t="s">
        <v>8</v>
      </c>
      <c r="U45" s="1574">
        <f t="shared" si="11"/>
        <v>100</v>
      </c>
      <c r="V45" s="1573" t="s">
        <v>8</v>
      </c>
      <c r="W45" s="1574">
        <f t="shared" si="12"/>
        <v>100</v>
      </c>
      <c r="X45" s="1567"/>
      <c r="Y45" s="3382"/>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2"/>
      <c r="Q46" s="1572">
        <f t="shared" si="14"/>
        <v>111</v>
      </c>
      <c r="R46" s="1573" t="s">
        <v>8</v>
      </c>
      <c r="S46" s="1574">
        <f t="shared" si="10"/>
        <v>100</v>
      </c>
      <c r="T46" s="1573" t="s">
        <v>8</v>
      </c>
      <c r="U46" s="1574">
        <f t="shared" si="11"/>
        <v>100</v>
      </c>
      <c r="V46" s="1573" t="s">
        <v>8</v>
      </c>
      <c r="W46" s="1574">
        <f t="shared" si="12"/>
        <v>100</v>
      </c>
      <c r="X46" s="1567"/>
      <c r="Y46" s="3382"/>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2"/>
      <c r="Q47" s="1572">
        <f t="shared" si="14"/>
        <v>111</v>
      </c>
      <c r="R47" s="1577" t="s">
        <v>8</v>
      </c>
      <c r="S47" s="1578">
        <f t="shared" si="10"/>
        <v>100</v>
      </c>
      <c r="T47" s="1577" t="s">
        <v>8</v>
      </c>
      <c r="U47" s="1578">
        <f t="shared" si="11"/>
        <v>100</v>
      </c>
      <c r="V47" s="1577" t="s">
        <v>8</v>
      </c>
      <c r="W47" s="1578">
        <f t="shared" si="12"/>
        <v>100</v>
      </c>
      <c r="X47" s="1579"/>
      <c r="Y47" s="3382"/>
      <c r="Z47" s="1580">
        <f t="shared" si="13"/>
        <v>111</v>
      </c>
      <c r="AA47" s="1576">
        <f t="shared" si="3"/>
        <v>1</v>
      </c>
      <c r="AB47" s="1576">
        <f t="shared" si="4"/>
        <v>1</v>
      </c>
      <c r="AC47" s="1576">
        <f t="shared" si="5"/>
        <v>1</v>
      </c>
    </row>
    <row r="48" spans="1:29" ht="20.25">
      <c r="A48" s="607" t="s">
        <v>555</v>
      </c>
      <c r="B48" s="608" t="s">
        <v>3031</v>
      </c>
      <c r="C48" s="609" t="s">
        <v>1</v>
      </c>
      <c r="D48" s="610"/>
      <c r="E48" s="611">
        <v>4689.82</v>
      </c>
      <c r="F48" s="612"/>
      <c r="G48" s="613">
        <v>4687.54</v>
      </c>
      <c r="H48" s="614"/>
      <c r="I48" s="611">
        <v>5279.75</v>
      </c>
      <c r="J48" s="614"/>
      <c r="K48" s="1339"/>
      <c r="L48" s="2145"/>
      <c r="M48" s="2133"/>
      <c r="N48" s="2133"/>
      <c r="O48" s="2146"/>
      <c r="P48" s="3377" t="str">
        <f>A48</f>
        <v>成交单价</v>
      </c>
      <c r="Q48" s="3377"/>
      <c r="R48" s="3391">
        <f>E48</f>
        <v>4689.82</v>
      </c>
      <c r="S48" s="3391"/>
      <c r="T48" s="3391">
        <f>G48</f>
        <v>4687.54</v>
      </c>
      <c r="U48" s="3391"/>
      <c r="V48" s="3391">
        <f>I48</f>
        <v>5279.75</v>
      </c>
      <c r="W48" s="3391"/>
      <c r="X48" s="1559"/>
      <c r="Y48" s="1581"/>
      <c r="Z48" s="1559"/>
      <c r="AA48" s="1559"/>
      <c r="AB48" s="1559"/>
      <c r="AC48" s="1559"/>
    </row>
    <row r="49" spans="1:29" ht="21" thickBot="1">
      <c r="A49" s="615" t="s">
        <v>2696</v>
      </c>
      <c r="B49" s="616"/>
      <c r="C49" s="617">
        <f>R50</f>
        <v>4678</v>
      </c>
      <c r="D49" s="618"/>
      <c r="E49" s="617">
        <f>R49</f>
        <v>4628</v>
      </c>
      <c r="F49" s="619"/>
      <c r="G49" s="620">
        <f>T49</f>
        <v>4556</v>
      </c>
      <c r="H49" s="618"/>
      <c r="I49" s="617">
        <f>V49</f>
        <v>4850</v>
      </c>
      <c r="J49" s="618"/>
      <c r="K49" s="1340"/>
      <c r="L49" s="2145"/>
      <c r="M49" s="2133"/>
      <c r="N49" s="2133"/>
      <c r="O49" s="2146"/>
      <c r="P49" s="3377" t="str">
        <f>A49</f>
        <v>比较价格（元/平方米）</v>
      </c>
      <c r="Q49" s="3377"/>
      <c r="R49" s="3403">
        <f>ROUND(PRODUCT(R48,AA9:AA47),0)</f>
        <v>4628</v>
      </c>
      <c r="S49" s="3403"/>
      <c r="T49" s="3403">
        <f>ROUND(PRODUCT(T48,AB9:AB47),0)</f>
        <v>4556</v>
      </c>
      <c r="U49" s="3403"/>
      <c r="V49" s="3403">
        <f>ROUND(PRODUCT(V48,AC9:AC47),0)</f>
        <v>4850</v>
      </c>
      <c r="W49" s="3403"/>
      <c r="X49" s="1559"/>
      <c r="Y49" s="1559"/>
      <c r="Z49" s="1559"/>
      <c r="AA49" s="1559"/>
      <c r="AB49" s="1559"/>
      <c r="AC49" s="1559"/>
    </row>
    <row r="50" spans="1:29" ht="21" thickBot="1">
      <c r="A50" s="621" t="s">
        <v>2938</v>
      </c>
      <c r="B50" s="622"/>
      <c r="C50" s="623">
        <f>R50</f>
        <v>4678</v>
      </c>
      <c r="D50" s="623"/>
      <c r="E50" s="623"/>
      <c r="F50" s="623"/>
      <c r="G50" s="623"/>
      <c r="H50" s="623"/>
      <c r="I50" s="623"/>
      <c r="J50" s="623"/>
      <c r="K50" s="1341"/>
      <c r="L50" s="2145"/>
      <c r="M50" s="2133"/>
      <c r="N50" s="2133"/>
      <c r="O50" s="2146"/>
      <c r="P50" s="3400" t="str">
        <f>A50</f>
        <v>估价对象XX用房的比较价格（楼面单价，元/平方米）</v>
      </c>
      <c r="Q50" s="3401"/>
      <c r="R50" s="3402">
        <f>ROUND(AVERAGE(R49:V49),0)</f>
        <v>4678</v>
      </c>
      <c r="S50" s="3402"/>
      <c r="T50" s="3402"/>
      <c r="U50" s="3402"/>
      <c r="V50" s="3402"/>
      <c r="W50" s="340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1.3357821953327464E-2</v>
      </c>
      <c r="F53" s="627" t="str">
        <f>IF(OR(E53&gt;=0.3,E53&lt;=-0.3),"超过30%","")</f>
        <v/>
      </c>
      <c r="G53" s="626">
        <f>IF(G48&lt;G49,G49/G48-1,G48/G49-1)</f>
        <v>2.8871817383669951E-2</v>
      </c>
      <c r="H53" s="627" t="str">
        <f>IF(OR(G53&gt;=0.3,G53&lt;=-0.3),"超过30%","")</f>
        <v/>
      </c>
      <c r="I53" s="626">
        <f>IF(I48&lt;I49,I49/I48-1,I48/I49-1)</f>
        <v>8.8608247422680364E-2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1.5803336259877065E-2</v>
      </c>
      <c r="F54" s="627" t="str">
        <f>IF(OR(E54&gt;=0.2,E54&lt;=-0.2),"超过20%","")</f>
        <v/>
      </c>
      <c r="G54" s="626">
        <f>IF(G49&lt;I49,I49/G49-1,G49/I49-1)</f>
        <v>6.453028972783148E-2</v>
      </c>
      <c r="H54" s="627" t="str">
        <f>IF(OR(G54&gt;=0.2,G54&lt;=-0.2),"超过20%","")</f>
        <v/>
      </c>
      <c r="I54" s="626">
        <f>IF(I49&lt;E49,E49/I49-1,I49/E49-1)</f>
        <v>4.7968885047536824E-2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4.8639584942211656E-4</v>
      </c>
      <c r="F55" s="627" t="str">
        <f>IF(OR(E55&gt;=0.3,E55&lt;=-0.3),"超过30%","")</f>
        <v/>
      </c>
      <c r="G55" s="626">
        <f>IF(G48&lt;I48,I48/G48-1,G48/I48-1)</f>
        <v>0.12633705525712857</v>
      </c>
      <c r="H55" s="627" t="str">
        <f>IF(OR(G55&gt;=0.3,G55&lt;=-0.3),"超过30%","")</f>
        <v/>
      </c>
      <c r="I55" s="626">
        <f>IF(I48&lt;E48,E48/I48-1,I48/E48-1)</f>
        <v>0.1257894759287137</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361" t="s">
        <v>2283</v>
      </c>
      <c r="H57" s="3362"/>
      <c r="I57" s="1555" t="s">
        <v>1722</v>
      </c>
      <c r="J57" s="1555" t="str">
        <f>项目基本情况!F41</f>
        <v>河北省衡水市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4678</v>
      </c>
      <c r="C58" s="635">
        <v>1</v>
      </c>
      <c r="D58" s="2229">
        <v>1</v>
      </c>
      <c r="E58" s="635">
        <f>'数据-汇总表'!E8+'数据-汇总表'!E9</f>
        <v>152483.07</v>
      </c>
      <c r="F58" s="636">
        <f t="shared" ref="F58:F67" si="15">ROUND(B58*E58/10000,0)</f>
        <v>71332</v>
      </c>
      <c r="G58" s="3363"/>
      <c r="H58" s="336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365"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36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36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36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2296</v>
      </c>
      <c r="E68" s="643">
        <f>IF(B48="楼面地价",SUM(E58:E67),'数据-汇总表'!D3)</f>
        <v>152483.07</v>
      </c>
      <c r="F68" s="644">
        <f>IF(B48="楼面地价",SUM(F58:F67),ROUND(C50*E68/10000,0))</f>
        <v>71332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2650</v>
      </c>
      <c r="B73" s="479" t="str">
        <f>"北京市平均增长率"&amp;TEXT(SUMIF(基准地价!N21:N25,A73,基准地价!P21:P25),"0.00%")</f>
        <v>北京市平均增长率2.27%</v>
      </c>
      <c r="C73" s="894">
        <v>100</v>
      </c>
      <c r="D73" s="730">
        <v>99.5</v>
      </c>
      <c r="E73" s="3184">
        <v>99</v>
      </c>
      <c r="F73" s="730">
        <v>98.5</v>
      </c>
      <c r="G73" s="3184">
        <v>98</v>
      </c>
      <c r="H73" s="730">
        <v>97.5</v>
      </c>
      <c r="I73" s="3184">
        <v>97</v>
      </c>
      <c r="J73" s="730">
        <v>96.5</v>
      </c>
      <c r="K73" s="3184">
        <v>96</v>
      </c>
      <c r="L73" s="730">
        <v>95.5</v>
      </c>
      <c r="M73" s="3184">
        <v>95</v>
      </c>
      <c r="N73" s="73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5" t="s">
        <v>3036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2</v>
      </c>
      <c r="E82" s="541">
        <v>3</v>
      </c>
      <c r="F82" s="541">
        <v>4</v>
      </c>
      <c r="G82" s="541">
        <v>5</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550</v>
      </c>
      <c r="B118" s="665" t="s">
        <v>592</v>
      </c>
      <c r="C118" s="704" t="str">
        <f t="shared" ref="C118:L118" si="25">C119&amp;"(含)"&amp;"-"&amp;D119</f>
        <v>1(含)-50000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1</v>
      </c>
      <c r="D119" s="730">
        <v>50000</v>
      </c>
      <c r="E119" s="730">
        <v>100000</v>
      </c>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6" t="s">
        <v>3042</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3187" t="s">
        <v>3044</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2428</v>
      </c>
      <c r="C125" s="1375" t="s">
        <v>3045</v>
      </c>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7" t="s">
        <v>3046</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6" t="str">
        <f>项目基本情况!B1</f>
        <v>河北省衡水市桃城区人民路南侧、问津街西侧出让国有建设用地使用权抵押价格预评估</v>
      </c>
      <c r="C37" s="3196"/>
      <c r="D37" s="3196"/>
      <c r="E37" s="3196"/>
      <c r="F37" s="3196"/>
      <c r="G37" s="3196"/>
      <c r="H37" s="3196"/>
      <c r="I37" s="3196"/>
    </row>
    <row r="38" spans="1:9">
      <c r="A38" s="1656"/>
      <c r="B38" s="1656"/>
    </row>
    <row r="39" spans="1:9">
      <c r="A39" s="1654" t="s">
        <v>1901</v>
      </c>
      <c r="B39" s="1654" t="s">
        <v>2048</v>
      </c>
    </row>
    <row r="40" spans="1:9">
      <c r="A40" s="1654"/>
      <c r="B40" s="1654" t="str">
        <f>项目基本情况!B5</f>
        <v>衡水斯凯学园房地产开发有限公司</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郑燚、王鹏</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C13" sqref="C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7</v>
      </c>
    </row>
    <row r="2" spans="1:31" s="2042" customFormat="1" ht="18" customHeight="1">
      <c r="A2" s="2102" t="s">
        <v>466</v>
      </c>
      <c r="B2" s="2106">
        <f ca="1">C36</f>
        <v>75543</v>
      </c>
      <c r="C2" s="2105"/>
      <c r="D2" s="2105"/>
      <c r="E2" s="2105"/>
      <c r="F2" s="2105"/>
      <c r="G2" s="2105"/>
      <c r="H2" s="2105"/>
      <c r="I2" s="2105"/>
      <c r="J2" s="2105"/>
      <c r="K2" s="2105"/>
    </row>
    <row r="3" spans="1:31" s="2042" customFormat="1" ht="18" customHeight="1">
      <c r="A3" s="2107" t="s">
        <v>1684</v>
      </c>
      <c r="B3" s="2108">
        <f ca="1">ROUND(B2*10000/IF(B1="",'数据-汇总表'!E3,INDIRECT("'数据-取费表'!K"&amp;$K$1)),0)</f>
        <v>3871</v>
      </c>
      <c r="C3" s="2105"/>
      <c r="D3" s="2105"/>
      <c r="E3" s="2105"/>
      <c r="F3" s="2105"/>
      <c r="G3" s="2105"/>
      <c r="H3" s="2105"/>
      <c r="I3" s="2105"/>
      <c r="J3" s="2105"/>
      <c r="K3" s="2105"/>
    </row>
    <row r="4" spans="1:31" s="2042" customFormat="1" ht="18" customHeight="1">
      <c r="A4" s="426" t="s">
        <v>467</v>
      </c>
      <c r="B4" s="427">
        <f ca="1">ROUND(B2*10000/IF(B1="",'数据-汇总表'!D3,INDIRECT("'数据-取费表'!R"&amp;$K$1)),0)</f>
        <v>19733</v>
      </c>
      <c r="C4" s="428"/>
      <c r="D4" s="422"/>
      <c r="E4" s="422"/>
      <c r="F4" s="422"/>
      <c r="G4" s="422"/>
      <c r="H4" s="422"/>
      <c r="I4" s="422"/>
      <c r="J4" s="422"/>
      <c r="K4" s="422"/>
    </row>
    <row r="5" spans="1:31" s="2042" customFormat="1" ht="18" customHeight="1" thickBot="1">
      <c r="A5" s="429"/>
      <c r="B5" s="430">
        <f ca="1">ROUND(B2/(IF(B1="",'数据-汇总表'!D3,INDIRECT("'数据-取费表'!R"&amp;$K$1))/666.67),0)</f>
        <v>1316</v>
      </c>
      <c r="C5" s="431" t="s">
        <v>468</v>
      </c>
      <c r="D5" s="422"/>
      <c r="E5" s="422"/>
      <c r="F5" s="422"/>
      <c r="G5" s="422"/>
      <c r="H5" s="422"/>
      <c r="I5" s="422"/>
      <c r="J5" s="422"/>
      <c r="K5" s="422"/>
    </row>
    <row r="6" spans="1:31" s="2112" customFormat="1" ht="16.5" customHeight="1">
      <c r="A6" s="2853" t="s">
        <v>1842</v>
      </c>
      <c r="B6" s="2854"/>
      <c r="C6" s="2855">
        <f>SUM(C10:K10)</f>
        <v>188972</v>
      </c>
      <c r="D6" s="2854"/>
      <c r="E6" s="2854"/>
      <c r="F6" s="2854"/>
      <c r="G6" s="2854"/>
      <c r="H6" s="2854"/>
      <c r="I6" s="2854"/>
      <c r="J6" s="2854"/>
      <c r="K6" s="2856"/>
    </row>
    <row r="7" spans="1:31" s="2114" customFormat="1" ht="15">
      <c r="A7" s="2857" t="s">
        <v>469</v>
      </c>
      <c r="B7" s="2858" t="s">
        <v>470</v>
      </c>
      <c r="C7" s="436" t="s">
        <v>3009</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'不动产比较法-住宅'!B3</f>
        <v>12393</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152483.07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4">
        <f>'不动产比较法-住宅'!B2</f>
        <v>188972</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46174</v>
      </c>
      <c r="D13" s="2869"/>
      <c r="E13" s="2870"/>
      <c r="F13" s="2871"/>
      <c r="G13" s="2837"/>
      <c r="H13" s="2838"/>
      <c r="I13" s="2838"/>
      <c r="J13" s="2838"/>
      <c r="K13" s="2839"/>
    </row>
    <row r="14" spans="1:31" s="2117" customFormat="1" ht="13.5" customHeight="1">
      <c r="A14" s="2867" t="s">
        <v>1849</v>
      </c>
      <c r="B14" s="2868" t="s">
        <v>479</v>
      </c>
      <c r="C14" s="53">
        <f ca="1">ROUND(C13*F14,0)</f>
        <v>1385</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3812</v>
      </c>
      <c r="D15" s="2869"/>
      <c r="E15" s="2870"/>
      <c r="F15" s="2872">
        <f>'数据-取费表'!B34</f>
        <v>0.1</v>
      </c>
      <c r="G15" s="2837" t="s">
        <v>482</v>
      </c>
      <c r="H15" s="2838"/>
      <c r="I15" s="2838"/>
      <c r="J15" s="2838"/>
      <c r="K15" s="2839"/>
    </row>
    <row r="16" spans="1:31" s="2118" customFormat="1" ht="13.5" customHeight="1">
      <c r="A16" s="2867" t="s">
        <v>1851</v>
      </c>
      <c r="B16" s="2868" t="s">
        <v>483</v>
      </c>
      <c r="C16" s="53">
        <f ca="1">ROUND(D16*E16/10000,0)</f>
        <v>3903</v>
      </c>
      <c r="D16" s="2869">
        <f ca="1">IF(B1="",'数据-汇总表'!E3,INDIRECT("'数据-取费表'!K"&amp;$K$1)+INDIRECT("'数据-取费表'!S"&amp;$K$1))</f>
        <v>195134.96</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693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55967</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195134.96</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931</v>
      </c>
      <c r="D20" s="2879"/>
      <c r="E20" s="2833"/>
      <c r="F20" s="2880"/>
      <c r="G20" s="3114"/>
      <c r="H20" s="2835"/>
      <c r="I20" s="2836" t="s">
        <v>2654</v>
      </c>
      <c r="J20" s="2842"/>
      <c r="K20" s="2843"/>
    </row>
    <row r="21" spans="1:14" s="2117" customFormat="1" ht="13.5" customHeight="1">
      <c r="A21" s="2867" t="s">
        <v>1856</v>
      </c>
      <c r="B21" s="2868" t="s">
        <v>490</v>
      </c>
      <c r="C21" s="53">
        <f ca="1">ROUND(D21*E21/10000,0)</f>
        <v>762</v>
      </c>
      <c r="D21" s="2869">
        <f ca="1">IF(B1="",'数据-汇总表'!E5,IF(INDIRECT("'数据-取费表'!c"&amp;$K$1)="住宅",INDIRECT("'数据-取费表'!k"&amp;$K$1),0))</f>
        <v>152483.07</v>
      </c>
      <c r="E21" s="53">
        <f>'数据-取费表'!B27</f>
        <v>50</v>
      </c>
      <c r="F21" s="2872"/>
      <c r="G21" s="26"/>
      <c r="H21" s="51"/>
      <c r="I21" s="51"/>
      <c r="J21" s="51"/>
      <c r="K21" s="2844"/>
    </row>
    <row r="22" spans="1:14" s="2117" customFormat="1" ht="13.5" customHeight="1">
      <c r="A22" s="2867" t="s">
        <v>1857</v>
      </c>
      <c r="B22" s="2868" t="s">
        <v>491</v>
      </c>
      <c r="C22" s="53">
        <f ca="1">ROUND(D22*E22/10000,0)</f>
        <v>169</v>
      </c>
      <c r="D22" s="2869">
        <f ca="1">IF(B1="",'数据-汇总表'!E6,IF(INDIRECT("'数据-取费表'!c"&amp;$K$1)="住宅",INDIRECT("'数据-取费表'!s"&amp;$K$1),INDIRECT("'数据-取费表'!k"&amp;$K$1)+INDIRECT("'数据-取费表'!s"&amp;$K$1)))</f>
        <v>42651.889999999985</v>
      </c>
      <c r="E22" s="53">
        <f>'数据-取费表'!B28</f>
        <v>39.700000000000003</v>
      </c>
      <c r="F22" s="2872"/>
      <c r="G22" s="26"/>
      <c r="H22" s="51"/>
      <c r="I22" s="51"/>
      <c r="J22" s="51"/>
      <c r="K22" s="2844"/>
    </row>
    <row r="23" spans="1:14" s="2117" customFormat="1" ht="13.5" customHeight="1">
      <c r="A23" s="2875" t="s">
        <v>1858</v>
      </c>
      <c r="B23" s="3060" t="s">
        <v>2837</v>
      </c>
      <c r="C23" s="2877">
        <f ca="1">ROUND((C18+C19+C20)*F23,0)</f>
        <v>1138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60" t="s">
        <v>2840</v>
      </c>
      <c r="C24" s="2877">
        <f>ROUND(C6*F24,0)</f>
        <v>3779</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60" t="s">
        <v>2838</v>
      </c>
      <c r="C25" s="467">
        <f>ROUND(F25/(1+'数据-取费表'!C42),4)</f>
        <v>3.8600000000000002E-2</v>
      </c>
      <c r="D25" s="462" t="s">
        <v>2832</v>
      </c>
      <c r="E25" s="469"/>
      <c r="F25" s="2881">
        <f>'数据-取费表'!B48+'数据-取费表'!B49</f>
        <v>4.0500000000000001E-2</v>
      </c>
      <c r="G25" s="2845" t="s">
        <v>2291</v>
      </c>
      <c r="H25" s="2838"/>
      <c r="I25" s="2838"/>
      <c r="J25" s="2838"/>
      <c r="K25" s="2839"/>
    </row>
    <row r="26" spans="1:14" s="2119" customFormat="1" ht="13.5" customHeight="1">
      <c r="A26" s="2875" t="s">
        <v>1861</v>
      </c>
      <c r="B26" s="3061" t="s">
        <v>2839</v>
      </c>
      <c r="C26" s="2882">
        <f ca="1">C28</f>
        <v>2936</v>
      </c>
      <c r="D26" s="467">
        <f ca="1">C27</f>
        <v>0.10100000000000001</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2841</v>
      </c>
      <c r="C28" s="2885">
        <f ca="1">ROUND(IF('数据-取费表'!B22&lt;=1,(C18+C19+C20+C23+C24)*F26*'数据-取费表'!B24/2,(C18+C19+C20+C23+C24)*(POWER((1+F26),'数据-取费表'!B24/2)-1)),0)</f>
        <v>2936</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10079</v>
      </c>
      <c r="D29" s="468"/>
      <c r="E29" s="468"/>
      <c r="F29" s="3062">
        <f>'数据-取费表'!B41</f>
        <v>5.6000000000000001E-2</v>
      </c>
      <c r="G29" s="2846" t="s">
        <v>497</v>
      </c>
      <c r="H29" s="2838"/>
      <c r="I29" s="2838"/>
      <c r="J29" s="2838"/>
      <c r="K29" s="2839"/>
    </row>
    <row r="30" spans="1:14" s="2122" customFormat="1" ht="13.5" customHeight="1">
      <c r="A30" s="1635" t="s">
        <v>1863</v>
      </c>
      <c r="B30" s="2887" t="s">
        <v>499</v>
      </c>
      <c r="C30" s="2882">
        <f ca="1">C31</f>
        <v>74830</v>
      </c>
      <c r="D30" s="477">
        <f ca="1">C32</f>
        <v>0.1396</v>
      </c>
      <c r="E30" s="469" t="s">
        <v>494</v>
      </c>
      <c r="F30" s="471"/>
      <c r="G30" s="2845" t="s">
        <v>2978</v>
      </c>
      <c r="H30" s="2838"/>
      <c r="I30" s="2838"/>
      <c r="J30" s="2838"/>
      <c r="K30" s="2839"/>
    </row>
    <row r="31" spans="1:14" s="2121" customFormat="1" ht="13.5" customHeight="1">
      <c r="A31" s="803" t="s">
        <v>1856</v>
      </c>
      <c r="B31" s="2883"/>
      <c r="C31" s="450">
        <f ca="1">C18+C19+C20+C23+C24+C26+C29</f>
        <v>74830</v>
      </c>
      <c r="D31" s="472"/>
      <c r="E31" s="473"/>
      <c r="F31" s="474"/>
      <c r="G31" s="261"/>
      <c r="H31" s="2840"/>
      <c r="I31" s="2840"/>
      <c r="J31" s="2840"/>
      <c r="K31" s="279"/>
    </row>
    <row r="32" spans="1:14" s="2121" customFormat="1" ht="13.5" customHeight="1">
      <c r="A32" s="803" t="s">
        <v>1857</v>
      </c>
      <c r="B32" s="2883"/>
      <c r="C32" s="53">
        <f ca="1">ROUND(C25+D26,4)</f>
        <v>0.1396</v>
      </c>
      <c r="D32" s="472"/>
      <c r="E32" s="473"/>
      <c r="F32" s="474"/>
      <c r="G32" s="261"/>
      <c r="H32" s="2840"/>
      <c r="I32" s="2840"/>
      <c r="J32" s="2840"/>
      <c r="K32" s="279"/>
    </row>
    <row r="33" spans="1:11" s="2123" customFormat="1" ht="13.5" customHeight="1">
      <c r="A33" s="3059" t="s">
        <v>2836</v>
      </c>
      <c r="B33" s="3057" t="s">
        <v>2834</v>
      </c>
      <c r="C33" s="478">
        <f ca="1">C35</f>
        <v>12363</v>
      </c>
      <c r="D33" s="467">
        <f ca="1">C34</f>
        <v>0.2077</v>
      </c>
      <c r="E33" s="469" t="s">
        <v>494</v>
      </c>
      <c r="F33" s="479">
        <f ca="1">IF(B1="",'数据-取费表'!Q16,INDIRECT("'数据-取费表'!q"&amp;$K$1))</f>
        <v>0.2</v>
      </c>
      <c r="G33" s="2841"/>
      <c r="H33" s="2842"/>
      <c r="I33" s="2842"/>
      <c r="J33" s="2842"/>
      <c r="K33" s="2843"/>
    </row>
    <row r="34" spans="1:11" s="2124" customFormat="1" ht="13.5" customHeight="1">
      <c r="A34" s="375" t="s">
        <v>1856</v>
      </c>
      <c r="B34" s="2888" t="s">
        <v>500</v>
      </c>
      <c r="C34" s="472">
        <f ca="1">ROUND((1+C25)*F33,4)</f>
        <v>0.2077</v>
      </c>
      <c r="D34" s="472"/>
      <c r="E34" s="473"/>
      <c r="F34" s="480"/>
      <c r="G34" s="261" t="s">
        <v>2292</v>
      </c>
      <c r="H34" s="2840"/>
      <c r="I34" s="2840"/>
      <c r="J34" s="2840"/>
      <c r="K34" s="279"/>
    </row>
    <row r="35" spans="1:11" s="2124" customFormat="1" ht="13.5" customHeight="1" thickBot="1">
      <c r="A35" s="1636" t="s">
        <v>1857</v>
      </c>
      <c r="B35" s="3058" t="s">
        <v>2842</v>
      </c>
      <c r="C35" s="1628">
        <f ca="1">ROUND((C18+C19+C20+C23+C24)*F33,0)</f>
        <v>12363</v>
      </c>
      <c r="D35" s="1629"/>
      <c r="E35" s="2889"/>
      <c r="F35" s="1630"/>
      <c r="G35" s="2847"/>
      <c r="H35" s="2848"/>
      <c r="I35" s="2848"/>
      <c r="J35" s="2848"/>
      <c r="K35" s="2849"/>
    </row>
    <row r="36" spans="1:11" s="2086" customFormat="1" ht="13.5" customHeight="1" thickBot="1">
      <c r="A36" s="284" t="s">
        <v>1844</v>
      </c>
      <c r="B36" s="2851"/>
      <c r="C36" s="2890">
        <f ca="1">ROUND((C6-C30-C33)/(1+D30+D33),0)</f>
        <v>75543</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3009</v>
      </c>
      <c r="E1" s="2651"/>
      <c r="F1" s="2832" t="s">
        <v>3047</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188972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12393</v>
      </c>
      <c r="C3" s="852" t="s">
        <v>721</v>
      </c>
      <c r="D3" s="851">
        <f>SUMIF('数据-汇总表'!$C19:$C33,D1,'数据-汇总表'!$E19:$E33)</f>
        <v>152483.07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383" t="s">
        <v>521</v>
      </c>
      <c r="D4" s="3384"/>
      <c r="E4" s="3409" t="s">
        <v>522</v>
      </c>
      <c r="F4" s="3410"/>
      <c r="G4" s="3383" t="s">
        <v>523</v>
      </c>
      <c r="H4" s="3384"/>
      <c r="I4" s="3383" t="s">
        <v>524</v>
      </c>
      <c r="J4" s="3384"/>
      <c r="K4" s="853" t="s">
        <v>525</v>
      </c>
      <c r="L4" s="2134"/>
      <c r="M4" s="2135"/>
      <c r="N4" s="2135"/>
      <c r="O4" s="2135"/>
      <c r="P4" s="3385" t="s">
        <v>526</v>
      </c>
      <c r="Q4" s="3386"/>
      <c r="R4" s="3371" t="s">
        <v>522</v>
      </c>
      <c r="S4" s="3372"/>
      <c r="T4" s="3371" t="s">
        <v>523</v>
      </c>
      <c r="U4" s="3372"/>
      <c r="V4" s="3391" t="s">
        <v>524</v>
      </c>
      <c r="W4" s="3391"/>
      <c r="X4" s="1567"/>
      <c r="Y4" s="3371" t="s">
        <v>526</v>
      </c>
      <c r="Z4" s="3372"/>
      <c r="AA4" s="3366" t="s">
        <v>522</v>
      </c>
      <c r="AB4" s="3366" t="s">
        <v>523</v>
      </c>
      <c r="AC4" s="3366" t="s">
        <v>524</v>
      </c>
    </row>
    <row r="5" spans="1:29" ht="15">
      <c r="A5" s="515"/>
      <c r="B5" s="516"/>
      <c r="C5" s="3396" t="s">
        <v>2932</v>
      </c>
      <c r="D5" s="3395"/>
      <c r="E5" s="3404" t="s">
        <v>3050</v>
      </c>
      <c r="F5" s="3405"/>
      <c r="G5" s="3394" t="s">
        <v>3069</v>
      </c>
      <c r="H5" s="3395"/>
      <c r="I5" s="3394" t="s">
        <v>3071</v>
      </c>
      <c r="J5" s="3395"/>
      <c r="K5" s="854"/>
      <c r="L5" s="2134"/>
      <c r="M5" s="2135"/>
      <c r="N5" s="2135"/>
      <c r="O5" s="2135"/>
      <c r="P5" s="3387"/>
      <c r="Q5" s="3388"/>
      <c r="R5" s="3373"/>
      <c r="S5" s="3374"/>
      <c r="T5" s="3373"/>
      <c r="U5" s="3374"/>
      <c r="V5" s="3391"/>
      <c r="W5" s="3391"/>
      <c r="X5" s="1567"/>
      <c r="Y5" s="3373"/>
      <c r="Z5" s="3374"/>
      <c r="AA5" s="3367"/>
      <c r="AB5" s="3367"/>
      <c r="AC5" s="3367"/>
    </row>
    <row r="6" spans="1:29" ht="15.75" thickBot="1">
      <c r="A6" s="517"/>
      <c r="B6" s="518"/>
      <c r="C6" s="3406" t="s">
        <v>2936</v>
      </c>
      <c r="D6" s="3393"/>
      <c r="E6" s="3407" t="s">
        <v>3051</v>
      </c>
      <c r="F6" s="3408"/>
      <c r="G6" s="3392" t="s">
        <v>3070</v>
      </c>
      <c r="H6" s="3393"/>
      <c r="I6" s="3392" t="s">
        <v>3072</v>
      </c>
      <c r="J6" s="3393"/>
      <c r="K6" s="854" t="s">
        <v>527</v>
      </c>
      <c r="L6" s="2134"/>
      <c r="M6" s="2135"/>
      <c r="N6" s="2135"/>
      <c r="O6" s="2135"/>
      <c r="P6" s="3389"/>
      <c r="Q6" s="3390"/>
      <c r="R6" s="3373"/>
      <c r="S6" s="3374"/>
      <c r="T6" s="3375"/>
      <c r="U6" s="3376"/>
      <c r="V6" s="3391"/>
      <c r="W6" s="3391"/>
      <c r="X6" s="1567"/>
      <c r="Y6" s="3375"/>
      <c r="Z6" s="3376"/>
      <c r="AA6" s="3368"/>
      <c r="AB6" s="3368"/>
      <c r="AC6" s="3368"/>
    </row>
    <row r="7" spans="1:29" s="1219" customFormat="1" ht="15.75" thickBot="1">
      <c r="A7" s="2937"/>
      <c r="B7" s="2944" t="s">
        <v>528</v>
      </c>
      <c r="C7" s="519">
        <f>'数据-取费表'!B2</f>
        <v>43215</v>
      </c>
      <c r="D7" s="520">
        <v>100</v>
      </c>
      <c r="E7" s="521">
        <f>C7</f>
        <v>43215</v>
      </c>
      <c r="F7" s="522">
        <f>SUMIF(58:58,YEAR(E7)&amp;"-"&amp;MONTH(E7),59:59)</f>
        <v>100</v>
      </c>
      <c r="G7" s="523">
        <f>C7</f>
        <v>43215</v>
      </c>
      <c r="H7" s="520">
        <f>SUMIF(58:58,YEAR(G7)&amp;"-"&amp;MONTH(G7),59:59)</f>
        <v>100</v>
      </c>
      <c r="I7" s="523">
        <f>C7</f>
        <v>43215</v>
      </c>
      <c r="J7" s="520">
        <f>SUMIF(58:58,YEAR(I7)&amp;"-"&amp;MONTH(I7),59:59)</f>
        <v>100</v>
      </c>
      <c r="K7" s="855"/>
      <c r="L7" s="2136"/>
      <c r="M7" s="2137"/>
      <c r="N7" s="2137"/>
      <c r="O7" s="2137"/>
      <c r="P7" s="3369" t="s">
        <v>529</v>
      </c>
      <c r="Q7" s="3378"/>
      <c r="R7" s="1568" t="s">
        <v>13</v>
      </c>
      <c r="S7" s="1569">
        <f t="shared" ref="S7:S15" si="0">F7</f>
        <v>100</v>
      </c>
      <c r="T7" s="1568" t="s">
        <v>13</v>
      </c>
      <c r="U7" s="1569">
        <f t="shared" ref="U7:U15" si="1">H7</f>
        <v>100</v>
      </c>
      <c r="V7" s="1568" t="s">
        <v>13</v>
      </c>
      <c r="W7" s="1569">
        <f t="shared" ref="W7:W15" si="2">J7</f>
        <v>100</v>
      </c>
      <c r="X7" s="1570"/>
      <c r="Y7" s="3369" t="s">
        <v>529</v>
      </c>
      <c r="Z7" s="3370"/>
      <c r="AA7" s="1571">
        <f>D7/F7</f>
        <v>1</v>
      </c>
      <c r="AB7" s="1571">
        <f>D7/H7</f>
        <v>1</v>
      </c>
      <c r="AC7" s="1571">
        <f>D7/J7</f>
        <v>1</v>
      </c>
    </row>
    <row r="8" spans="1:29" s="1219" customFormat="1" ht="15.75" thickBot="1">
      <c r="A8" s="2938"/>
      <c r="B8" s="2945" t="s">
        <v>530</v>
      </c>
      <c r="C8" s="525" t="s">
        <v>575</v>
      </c>
      <c r="D8" s="520">
        <v>100</v>
      </c>
      <c r="E8" s="856" t="s">
        <v>3030</v>
      </c>
      <c r="F8" s="522">
        <f>SUMIF(61:61,E8,62:62)-SUMIF(61:61,C8,62:62)+100</f>
        <v>100</v>
      </c>
      <c r="G8" s="525" t="s">
        <v>3030</v>
      </c>
      <c r="H8" s="520">
        <f>SUMIF(61:61,G8,62:62)-SUMIF(61:61,C8,62:62)+100</f>
        <v>100</v>
      </c>
      <c r="I8" s="856" t="s">
        <v>3030</v>
      </c>
      <c r="J8" s="520">
        <f>SUMIF(61:61,I8,62:62)-SUMIF(61:61,C8,62:62)+100</f>
        <v>100</v>
      </c>
      <c r="K8" s="855"/>
      <c r="L8" s="2136"/>
      <c r="M8" s="2137"/>
      <c r="N8" s="2137"/>
      <c r="O8" s="2137"/>
      <c r="P8" s="3369" t="s">
        <v>532</v>
      </c>
      <c r="Q8" s="3370"/>
      <c r="R8" s="1568" t="s">
        <v>13</v>
      </c>
      <c r="S8" s="1569">
        <f t="shared" si="0"/>
        <v>100</v>
      </c>
      <c r="T8" s="1568" t="s">
        <v>13</v>
      </c>
      <c r="U8" s="1569">
        <f t="shared" si="1"/>
        <v>100</v>
      </c>
      <c r="V8" s="1568" t="s">
        <v>13</v>
      </c>
      <c r="W8" s="1569">
        <f t="shared" si="2"/>
        <v>100</v>
      </c>
      <c r="X8" s="1570"/>
      <c r="Y8" s="3369" t="s">
        <v>532</v>
      </c>
      <c r="Z8" s="3370"/>
      <c r="AA8" s="1571">
        <f t="shared" ref="AA8:AA46" si="3">D8/F8</f>
        <v>1</v>
      </c>
      <c r="AB8" s="1571">
        <f t="shared" ref="AB8:AB46" si="4">D8/H8</f>
        <v>1</v>
      </c>
      <c r="AC8" s="1571">
        <f t="shared" ref="AC8:AC46" si="5">D8/J8</f>
        <v>1</v>
      </c>
    </row>
    <row r="9" spans="1:29" s="1219" customFormat="1" ht="15">
      <c r="A9" s="2939"/>
      <c r="B9" s="2946" t="s">
        <v>2759</v>
      </c>
      <c r="C9" s="3188" t="s">
        <v>3048</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377" t="s">
        <v>534</v>
      </c>
      <c r="Q9" s="1150" t="str">
        <f t="shared" ref="Q9:Q15" si="6">B9</f>
        <v>用途</v>
      </c>
      <c r="R9" s="1568" t="s">
        <v>8</v>
      </c>
      <c r="S9" s="1569">
        <f t="shared" si="0"/>
        <v>100</v>
      </c>
      <c r="T9" s="1568" t="s">
        <v>8</v>
      </c>
      <c r="U9" s="1569">
        <f t="shared" si="1"/>
        <v>100</v>
      </c>
      <c r="V9" s="1568" t="s">
        <v>8</v>
      </c>
      <c r="W9" s="1569">
        <f t="shared" si="2"/>
        <v>100</v>
      </c>
      <c r="X9" s="1570"/>
      <c r="Y9" s="3334" t="s">
        <v>535</v>
      </c>
      <c r="Z9" s="1149" t="str">
        <f t="shared" ref="Z9:Z15" si="7">Q9</f>
        <v>用途</v>
      </c>
      <c r="AA9" s="1571">
        <f t="shared" si="3"/>
        <v>1</v>
      </c>
      <c r="AB9" s="1571">
        <f t="shared" si="4"/>
        <v>1</v>
      </c>
      <c r="AC9" s="1571">
        <f t="shared" si="5"/>
        <v>1</v>
      </c>
    </row>
    <row r="10" spans="1:29" s="1337" customFormat="1" ht="27">
      <c r="A10" s="2940"/>
      <c r="B10" s="2945" t="s">
        <v>2760</v>
      </c>
      <c r="C10" s="861" t="s">
        <v>3049</v>
      </c>
      <c r="D10" s="255">
        <v>100</v>
      </c>
      <c r="E10" s="862" t="s">
        <v>3049</v>
      </c>
      <c r="F10" s="863">
        <f>SUMIF(65:65,E10,66:66)-SUMIF(65:65,C10,66:66)+100</f>
        <v>100</v>
      </c>
      <c r="G10" s="861" t="s">
        <v>3049</v>
      </c>
      <c r="H10" s="255">
        <f>SUMIF(65:65,G10,66:66)-SUMIF(65:65,C10,66:66)+100</f>
        <v>100</v>
      </c>
      <c r="I10" s="861" t="s">
        <v>3049</v>
      </c>
      <c r="J10" s="255">
        <f>SUMIF(65:65,I10,66:66)-SUMIF(65:65,C10,66:66)+100</f>
        <v>100</v>
      </c>
      <c r="K10" s="864"/>
      <c r="L10" s="2139"/>
      <c r="M10" s="2179"/>
      <c r="N10" s="2179"/>
      <c r="O10" s="2140"/>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75" thickBot="1">
      <c r="A11" s="2941"/>
      <c r="B11" s="2945" t="s">
        <v>2761</v>
      </c>
      <c r="C11" s="533">
        <f>'数据-汇总表'!I4</f>
        <v>4.2</v>
      </c>
      <c r="D11" s="255">
        <v>100</v>
      </c>
      <c r="E11" s="534">
        <v>2.73</v>
      </c>
      <c r="F11" s="863">
        <f>LOOKUP(E11,68:68,69:69)-LOOKUP(C11,68:68,69:69)+100</f>
        <v>106</v>
      </c>
      <c r="G11" s="533">
        <v>2.8</v>
      </c>
      <c r="H11" s="255">
        <f>LOOKUP(G11,68:68,69:69)-LOOKUP(C11,68:68,69:69)+100</f>
        <v>106</v>
      </c>
      <c r="I11" s="533">
        <v>2.5</v>
      </c>
      <c r="J11" s="255">
        <f>LOOKUP(I11,68:68,69:69)-LOOKUP(C11,68:68,69:69)+100</f>
        <v>106</v>
      </c>
      <c r="K11" s="864">
        <v>3</v>
      </c>
      <c r="L11" s="2141"/>
      <c r="M11" s="2135"/>
      <c r="N11" s="2135"/>
      <c r="O11" s="2142"/>
      <c r="P11" s="3377"/>
      <c r="Q11" s="1150" t="str">
        <f t="shared" si="6"/>
        <v>容积率</v>
      </c>
      <c r="R11" s="1568" t="s">
        <v>11</v>
      </c>
      <c r="S11" s="1569">
        <f t="shared" si="0"/>
        <v>106</v>
      </c>
      <c r="T11" s="1568" t="s">
        <v>11</v>
      </c>
      <c r="U11" s="1569">
        <f t="shared" si="1"/>
        <v>106</v>
      </c>
      <c r="V11" s="1568" t="s">
        <v>11</v>
      </c>
      <c r="W11" s="1569">
        <f t="shared" si="2"/>
        <v>106</v>
      </c>
      <c r="X11" s="1570"/>
      <c r="Y11" s="3334"/>
      <c r="Z11" s="1149" t="str">
        <f t="shared" si="7"/>
        <v>容积率</v>
      </c>
      <c r="AA11" s="1571">
        <f t="shared" si="3"/>
        <v>0.94339622641509435</v>
      </c>
      <c r="AB11" s="1571">
        <f t="shared" si="4"/>
        <v>0.94339622641509435</v>
      </c>
      <c r="AC11" s="1571">
        <f t="shared" si="5"/>
        <v>0.94339622641509435</v>
      </c>
    </row>
    <row r="12" spans="1:29" s="1219"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7"/>
      <c r="Q12" s="1150">
        <f t="shared" si="6"/>
        <v>111</v>
      </c>
      <c r="R12" s="1568" t="s">
        <v>11</v>
      </c>
      <c r="S12" s="1569">
        <f t="shared" si="0"/>
        <v>100</v>
      </c>
      <c r="T12" s="1568" t="s">
        <v>11</v>
      </c>
      <c r="U12" s="1569">
        <f t="shared" si="1"/>
        <v>100</v>
      </c>
      <c r="V12" s="1568" t="s">
        <v>11</v>
      </c>
      <c r="W12" s="1569">
        <f t="shared" si="2"/>
        <v>100</v>
      </c>
      <c r="X12" s="1570"/>
      <c r="Y12" s="3334"/>
      <c r="Z12" s="1149">
        <f t="shared" si="7"/>
        <v>111</v>
      </c>
      <c r="AA12" s="1571">
        <f>D12/F12</f>
        <v>1</v>
      </c>
      <c r="AB12" s="1571">
        <f>D12/H12</f>
        <v>1</v>
      </c>
      <c r="AC12" s="1571">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7"/>
      <c r="Q13" s="1150">
        <f t="shared" si="6"/>
        <v>111</v>
      </c>
      <c r="R13" s="1568" t="s">
        <v>11</v>
      </c>
      <c r="S13" s="1569">
        <f t="shared" si="0"/>
        <v>100</v>
      </c>
      <c r="T13" s="1568" t="s">
        <v>11</v>
      </c>
      <c r="U13" s="1569">
        <f t="shared" si="1"/>
        <v>100</v>
      </c>
      <c r="V13" s="1568" t="s">
        <v>11</v>
      </c>
      <c r="W13" s="1569">
        <f t="shared" si="2"/>
        <v>100</v>
      </c>
      <c r="X13" s="1570"/>
      <c r="Y13" s="3334"/>
      <c r="Z13" s="1149">
        <f t="shared" si="7"/>
        <v>111</v>
      </c>
      <c r="AA13" s="1571">
        <f t="shared" si="3"/>
        <v>1</v>
      </c>
      <c r="AB13" s="1571">
        <f t="shared" si="4"/>
        <v>1</v>
      </c>
      <c r="AC13" s="1571">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7"/>
      <c r="Q14" s="1150">
        <f t="shared" si="6"/>
        <v>111</v>
      </c>
      <c r="R14" s="1568" t="s">
        <v>11</v>
      </c>
      <c r="S14" s="1569">
        <f t="shared" si="0"/>
        <v>100</v>
      </c>
      <c r="T14" s="1568" t="s">
        <v>11</v>
      </c>
      <c r="U14" s="1569">
        <f t="shared" si="1"/>
        <v>100</v>
      </c>
      <c r="V14" s="1568" t="s">
        <v>11</v>
      </c>
      <c r="W14" s="1569">
        <f t="shared" si="2"/>
        <v>100</v>
      </c>
      <c r="X14" s="1570"/>
      <c r="Y14" s="3334"/>
      <c r="Z14" s="1149">
        <f t="shared" si="7"/>
        <v>111</v>
      </c>
      <c r="AA14" s="1571">
        <f t="shared" si="3"/>
        <v>1</v>
      </c>
      <c r="AB14" s="1571">
        <f t="shared" si="4"/>
        <v>1</v>
      </c>
      <c r="AC14" s="1571">
        <f t="shared" si="5"/>
        <v>1</v>
      </c>
    </row>
    <row r="15" spans="1:29" ht="99.75">
      <c r="A15" s="2935"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379" t="s">
        <v>539</v>
      </c>
      <c r="Q15" s="1572" t="str">
        <f t="shared" si="6"/>
        <v>居住社区成熟度</v>
      </c>
      <c r="R15" s="1573" t="s">
        <v>11</v>
      </c>
      <c r="S15" s="1574">
        <f t="shared" si="0"/>
        <v>100</v>
      </c>
      <c r="T15" s="1573" t="s">
        <v>11</v>
      </c>
      <c r="U15" s="1574">
        <f t="shared" si="1"/>
        <v>100</v>
      </c>
      <c r="V15" s="1573" t="s">
        <v>11</v>
      </c>
      <c r="W15" s="1574">
        <f t="shared" si="2"/>
        <v>100</v>
      </c>
      <c r="X15" s="1567"/>
      <c r="Y15" s="3379" t="s">
        <v>539</v>
      </c>
      <c r="Z15" s="1575" t="str">
        <f t="shared" si="7"/>
        <v>居住社区成熟度</v>
      </c>
      <c r="AA15" s="1576">
        <f t="shared" si="3"/>
        <v>1</v>
      </c>
      <c r="AB15" s="1576">
        <f t="shared" si="4"/>
        <v>1</v>
      </c>
      <c r="AC15" s="1576">
        <f t="shared" si="5"/>
        <v>1</v>
      </c>
    </row>
    <row r="16" spans="1:29" ht="15">
      <c r="A16" s="532"/>
      <c r="B16" s="869"/>
      <c r="C16" s="576" t="s">
        <v>3038</v>
      </c>
      <c r="D16" s="555"/>
      <c r="E16" s="556" t="s">
        <v>3038</v>
      </c>
      <c r="F16" s="557"/>
      <c r="G16" s="558" t="s">
        <v>3038</v>
      </c>
      <c r="H16" s="559"/>
      <c r="I16" s="556" t="s">
        <v>3038</v>
      </c>
      <c r="J16" s="555"/>
      <c r="K16" s="870"/>
      <c r="L16" s="2143"/>
      <c r="M16" s="2135"/>
      <c r="N16" s="2135"/>
      <c r="O16" s="2142"/>
      <c r="P16" s="3380"/>
      <c r="Q16" s="1572"/>
      <c r="R16" s="1573"/>
      <c r="S16" s="1574"/>
      <c r="T16" s="1573"/>
      <c r="U16" s="1574"/>
      <c r="V16" s="1573"/>
      <c r="W16" s="1574"/>
      <c r="X16" s="1567"/>
      <c r="Y16" s="338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380"/>
      <c r="Q17" s="1572" t="str">
        <f>B17</f>
        <v>交通便捷度</v>
      </c>
      <c r="R17" s="1573" t="s">
        <v>11</v>
      </c>
      <c r="S17" s="1574">
        <f>F17</f>
        <v>100</v>
      </c>
      <c r="T17" s="1573" t="s">
        <v>11</v>
      </c>
      <c r="U17" s="1574">
        <f>H17</f>
        <v>100</v>
      </c>
      <c r="V17" s="1573" t="s">
        <v>11</v>
      </c>
      <c r="W17" s="1574">
        <f>J17</f>
        <v>100</v>
      </c>
      <c r="X17" s="1567"/>
      <c r="Y17" s="3380"/>
      <c r="Z17" s="1575" t="str">
        <f>Q17</f>
        <v>交通便捷度</v>
      </c>
      <c r="AA17" s="1576">
        <f t="shared" si="3"/>
        <v>1</v>
      </c>
      <c r="AB17" s="1576">
        <f t="shared" si="4"/>
        <v>1</v>
      </c>
      <c r="AC17" s="1576">
        <f t="shared" si="5"/>
        <v>1</v>
      </c>
    </row>
    <row r="18" spans="1:29" ht="15">
      <c r="A18" s="532"/>
      <c r="B18" s="595"/>
      <c r="C18" s="873" t="s">
        <v>3038</v>
      </c>
      <c r="D18" s="559"/>
      <c r="E18" s="568" t="s">
        <v>3038</v>
      </c>
      <c r="F18" s="563"/>
      <c r="G18" s="569" t="s">
        <v>3038</v>
      </c>
      <c r="H18" s="555"/>
      <c r="I18" s="568" t="s">
        <v>3038</v>
      </c>
      <c r="J18" s="555"/>
      <c r="K18" s="870"/>
      <c r="L18" s="2143"/>
      <c r="M18" s="2135"/>
      <c r="N18" s="2135"/>
      <c r="O18" s="2142"/>
      <c r="P18" s="3380"/>
      <c r="Q18" s="1572"/>
      <c r="R18" s="1573"/>
      <c r="S18" s="1574"/>
      <c r="T18" s="1573"/>
      <c r="U18" s="1574"/>
      <c r="V18" s="1573"/>
      <c r="W18" s="1574"/>
      <c r="X18" s="1567"/>
      <c r="Y18" s="338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380"/>
      <c r="Q19" s="1572" t="str">
        <f>B19</f>
        <v>公共配套设施</v>
      </c>
      <c r="R19" s="1573" t="s">
        <v>11</v>
      </c>
      <c r="S19" s="1574">
        <f>F19</f>
        <v>100</v>
      </c>
      <c r="T19" s="1573" t="s">
        <v>11</v>
      </c>
      <c r="U19" s="1574">
        <f>H19</f>
        <v>100</v>
      </c>
      <c r="V19" s="1573" t="s">
        <v>11</v>
      </c>
      <c r="W19" s="1574">
        <f>J19</f>
        <v>100</v>
      </c>
      <c r="X19" s="1567"/>
      <c r="Y19" s="3380"/>
      <c r="Z19" s="1575" t="str">
        <f>Q19</f>
        <v>公共配套设施</v>
      </c>
      <c r="AA19" s="1576">
        <f t="shared" si="3"/>
        <v>1</v>
      </c>
      <c r="AB19" s="1576">
        <f t="shared" si="4"/>
        <v>1</v>
      </c>
      <c r="AC19" s="1576">
        <f t="shared" si="5"/>
        <v>1</v>
      </c>
    </row>
    <row r="20" spans="1:29" ht="15">
      <c r="A20" s="532"/>
      <c r="B20" s="595"/>
      <c r="C20" s="576" t="s">
        <v>3038</v>
      </c>
      <c r="D20" s="555"/>
      <c r="E20" s="556" t="s">
        <v>3038</v>
      </c>
      <c r="F20" s="557"/>
      <c r="G20" s="558" t="s">
        <v>3038</v>
      </c>
      <c r="H20" s="555"/>
      <c r="I20" s="556" t="s">
        <v>3038</v>
      </c>
      <c r="J20" s="555"/>
      <c r="K20" s="870"/>
      <c r="L20" s="2143"/>
      <c r="M20" s="2135"/>
      <c r="N20" s="2135"/>
      <c r="O20" s="2142"/>
      <c r="P20" s="3380"/>
      <c r="Q20" s="1572"/>
      <c r="R20" s="1573"/>
      <c r="S20" s="1574"/>
      <c r="T20" s="1573"/>
      <c r="U20" s="1574"/>
      <c r="V20" s="1573"/>
      <c r="W20" s="1574"/>
      <c r="X20" s="1567"/>
      <c r="Y20" s="338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380"/>
      <c r="Q21" s="2604" t="str">
        <f>B21</f>
        <v>基础设施水平</v>
      </c>
      <c r="R21" s="1573" t="s">
        <v>11</v>
      </c>
      <c r="S21" s="1574">
        <f>F21</f>
        <v>100</v>
      </c>
      <c r="T21" s="1573" t="s">
        <v>11</v>
      </c>
      <c r="U21" s="1574">
        <f>H21</f>
        <v>100</v>
      </c>
      <c r="V21" s="1573" t="s">
        <v>11</v>
      </c>
      <c r="W21" s="1574">
        <f>J21</f>
        <v>100</v>
      </c>
      <c r="X21" s="2606"/>
      <c r="Y21" s="3380"/>
      <c r="Z21" s="2605" t="str">
        <f>Q21</f>
        <v>基础设施水平</v>
      </c>
      <c r="AA21" s="1576">
        <f t="shared" ref="AA21" si="8">D21/F21</f>
        <v>1</v>
      </c>
      <c r="AB21" s="1576">
        <f t="shared" ref="AB21" si="9">D21/H21</f>
        <v>1</v>
      </c>
      <c r="AC21" s="1576">
        <f t="shared" ref="AC21" si="10">D21/J21</f>
        <v>1</v>
      </c>
    </row>
    <row r="22" spans="1:29" ht="15">
      <c r="A22" s="532"/>
      <c r="B22" s="922"/>
      <c r="C22" s="873" t="s">
        <v>3040</v>
      </c>
      <c r="D22" s="555"/>
      <c r="E22" s="576" t="s">
        <v>3040</v>
      </c>
      <c r="F22" s="557"/>
      <c r="G22" s="576" t="s">
        <v>3040</v>
      </c>
      <c r="H22" s="555"/>
      <c r="I22" s="576" t="s">
        <v>3040</v>
      </c>
      <c r="J22" s="555"/>
      <c r="K22" s="2624"/>
      <c r="L22" s="2143"/>
      <c r="M22" s="2135"/>
      <c r="N22" s="2135"/>
      <c r="O22" s="2142"/>
      <c r="P22" s="3380"/>
      <c r="Q22" s="2604"/>
      <c r="R22" s="1573"/>
      <c r="S22" s="1574"/>
      <c r="T22" s="1573"/>
      <c r="U22" s="1574"/>
      <c r="V22" s="1573"/>
      <c r="W22" s="1574"/>
      <c r="X22" s="2606"/>
      <c r="Y22" s="3380"/>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380"/>
      <c r="Q23" s="1572" t="str">
        <f>B23</f>
        <v>自然及人文环境</v>
      </c>
      <c r="R23" s="1573" t="s">
        <v>11</v>
      </c>
      <c r="S23" s="1574">
        <f>F23</f>
        <v>100</v>
      </c>
      <c r="T23" s="1573" t="s">
        <v>11</v>
      </c>
      <c r="U23" s="1574">
        <f>H23</f>
        <v>100</v>
      </c>
      <c r="V23" s="1573" t="s">
        <v>11</v>
      </c>
      <c r="W23" s="1574">
        <f>J23</f>
        <v>100</v>
      </c>
      <c r="X23" s="1567"/>
      <c r="Y23" s="3380"/>
      <c r="Z23" s="1575" t="str">
        <f>Q23</f>
        <v>自然及人文环境</v>
      </c>
      <c r="AA23" s="1576">
        <f t="shared" si="3"/>
        <v>1</v>
      </c>
      <c r="AB23" s="1576">
        <f t="shared" si="4"/>
        <v>1</v>
      </c>
      <c r="AC23" s="1576">
        <f t="shared" si="5"/>
        <v>1</v>
      </c>
    </row>
    <row r="24" spans="1:29" ht="15.75" thickBot="1">
      <c r="A24" s="532"/>
      <c r="B24" s="595"/>
      <c r="C24" s="576" t="s">
        <v>3038</v>
      </c>
      <c r="D24" s="555"/>
      <c r="E24" s="556" t="s">
        <v>3038</v>
      </c>
      <c r="F24" s="557"/>
      <c r="G24" s="558" t="s">
        <v>3038</v>
      </c>
      <c r="H24" s="555"/>
      <c r="I24" s="556" t="s">
        <v>3038</v>
      </c>
      <c r="J24" s="555"/>
      <c r="K24" s="870"/>
      <c r="L24" s="2143"/>
      <c r="M24" s="2135"/>
      <c r="N24" s="2135"/>
      <c r="O24" s="2142"/>
      <c r="P24" s="3380"/>
      <c r="Q24" s="1572"/>
      <c r="R24" s="1573"/>
      <c r="S24" s="1574"/>
      <c r="T24" s="1573"/>
      <c r="U24" s="1574"/>
      <c r="V24" s="1573"/>
      <c r="W24" s="1574"/>
      <c r="X24" s="1567"/>
      <c r="Y24" s="3380"/>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0"/>
      <c r="Q25" s="1572" t="str">
        <f t="shared" ref="Q25:Q46" si="11">B25</f>
        <v>楼层-1</v>
      </c>
      <c r="R25" s="1573" t="s">
        <v>11</v>
      </c>
      <c r="S25" s="1574">
        <f>F25</f>
        <v>100</v>
      </c>
      <c r="T25" s="1573" t="s">
        <v>11</v>
      </c>
      <c r="U25" s="1574">
        <f>H25</f>
        <v>100</v>
      </c>
      <c r="V25" s="1573" t="s">
        <v>11</v>
      </c>
      <c r="W25" s="1574">
        <f>J25</f>
        <v>100</v>
      </c>
      <c r="X25" s="1567"/>
      <c r="Y25" s="3380"/>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0"/>
      <c r="Q26" s="1572" t="str">
        <f t="shared" si="11"/>
        <v>朝向</v>
      </c>
      <c r="R26" s="1573" t="s">
        <v>11</v>
      </c>
      <c r="S26" s="1574">
        <f>F26</f>
        <v>100</v>
      </c>
      <c r="T26" s="1573" t="s">
        <v>11</v>
      </c>
      <c r="U26" s="1574">
        <f>H26</f>
        <v>100</v>
      </c>
      <c r="V26" s="1573" t="s">
        <v>11</v>
      </c>
      <c r="W26" s="1574">
        <f>J26</f>
        <v>100</v>
      </c>
      <c r="X26" s="1567"/>
      <c r="Y26" s="3380"/>
      <c r="Z26" s="1575" t="str">
        <f>Q26</f>
        <v>朝向</v>
      </c>
      <c r="AA26" s="1576">
        <f t="shared" si="3"/>
        <v>1</v>
      </c>
      <c r="AB26" s="1576">
        <f t="shared" si="4"/>
        <v>1</v>
      </c>
      <c r="AC26" s="1576">
        <f t="shared" si="5"/>
        <v>1</v>
      </c>
    </row>
    <row r="27" spans="1:29" s="1219"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0"/>
      <c r="Q27" s="1150" t="str">
        <f t="shared" si="11"/>
        <v>道路级别</v>
      </c>
      <c r="R27" s="1568" t="s">
        <v>11</v>
      </c>
      <c r="S27" s="1569">
        <f>F27</f>
        <v>100</v>
      </c>
      <c r="T27" s="1568" t="s">
        <v>11</v>
      </c>
      <c r="U27" s="1569">
        <f>H27</f>
        <v>100</v>
      </c>
      <c r="V27" s="1568" t="s">
        <v>11</v>
      </c>
      <c r="W27" s="1569">
        <f>J27</f>
        <v>100</v>
      </c>
      <c r="X27" s="1570"/>
      <c r="Y27" s="3380"/>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0"/>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0"/>
      <c r="Q29" s="1572">
        <f t="shared" si="11"/>
        <v>111</v>
      </c>
      <c r="R29" s="1573" t="s">
        <v>11</v>
      </c>
      <c r="S29" s="1574">
        <f t="shared" si="12"/>
        <v>100</v>
      </c>
      <c r="T29" s="1573" t="s">
        <v>11</v>
      </c>
      <c r="U29" s="1574">
        <f t="shared" si="13"/>
        <v>100</v>
      </c>
      <c r="V29" s="1573" t="s">
        <v>11</v>
      </c>
      <c r="W29" s="1574">
        <f t="shared" si="14"/>
        <v>100</v>
      </c>
      <c r="X29" s="1567"/>
      <c r="Y29" s="3380"/>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0"/>
      <c r="Q30" s="1572">
        <f t="shared" si="11"/>
        <v>111</v>
      </c>
      <c r="R30" s="1573" t="s">
        <v>11</v>
      </c>
      <c r="S30" s="1574">
        <f t="shared" si="12"/>
        <v>100</v>
      </c>
      <c r="T30" s="1573" t="s">
        <v>11</v>
      </c>
      <c r="U30" s="1574">
        <f t="shared" si="13"/>
        <v>100</v>
      </c>
      <c r="V30" s="1573" t="s">
        <v>11</v>
      </c>
      <c r="W30" s="1574">
        <f t="shared" si="14"/>
        <v>100</v>
      </c>
      <c r="X30" s="1567"/>
      <c r="Y30" s="3380"/>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0"/>
      <c r="Q31" s="1572">
        <f t="shared" si="11"/>
        <v>111</v>
      </c>
      <c r="R31" s="1573" t="s">
        <v>11</v>
      </c>
      <c r="S31" s="1574">
        <f t="shared" si="12"/>
        <v>100</v>
      </c>
      <c r="T31" s="1573" t="s">
        <v>11</v>
      </c>
      <c r="U31" s="1574">
        <f t="shared" si="13"/>
        <v>100</v>
      </c>
      <c r="V31" s="1573" t="s">
        <v>11</v>
      </c>
      <c r="W31" s="1574">
        <f t="shared" si="14"/>
        <v>100</v>
      </c>
      <c r="X31" s="1567"/>
      <c r="Y31" s="3380"/>
      <c r="Z31" s="1575">
        <f t="shared" si="15"/>
        <v>111</v>
      </c>
      <c r="AA31" s="1576">
        <f t="shared" si="3"/>
        <v>1</v>
      </c>
      <c r="AB31" s="1576">
        <f t="shared" si="4"/>
        <v>1</v>
      </c>
      <c r="AC31" s="1576">
        <f t="shared" si="5"/>
        <v>1</v>
      </c>
    </row>
    <row r="32" spans="1:29" ht="15">
      <c r="A32" s="2932" t="s">
        <v>2758</v>
      </c>
      <c r="B32" s="172" t="s">
        <v>724</v>
      </c>
      <c r="C32" s="878" t="s">
        <v>3052</v>
      </c>
      <c r="D32" s="597">
        <v>100</v>
      </c>
      <c r="E32" s="879" t="s">
        <v>3052</v>
      </c>
      <c r="F32" s="575">
        <f>SUMIF(100:100,E32,101:101)-SUMIF(100:100,C32,101:101)+100</f>
        <v>100</v>
      </c>
      <c r="G32" s="878" t="s">
        <v>3052</v>
      </c>
      <c r="H32" s="597">
        <f>SUMIF(100:100,G32,101:101)-SUMIF(100:100,C32,101:101)+100</f>
        <v>100</v>
      </c>
      <c r="I32" s="879" t="s">
        <v>3052</v>
      </c>
      <c r="J32" s="540">
        <f>SUMIF(100:100,I32,101:101)-SUMIF(100:100,C32,101:101)+100</f>
        <v>100</v>
      </c>
      <c r="K32" s="864"/>
      <c r="L32" s="2143"/>
      <c r="M32" s="2135"/>
      <c r="N32" s="2135"/>
      <c r="O32" s="2142"/>
      <c r="P32" s="3381" t="s">
        <v>549</v>
      </c>
      <c r="Q32" s="1572" t="str">
        <f t="shared" si="11"/>
        <v>建筑类型</v>
      </c>
      <c r="R32" s="1573" t="s">
        <v>11</v>
      </c>
      <c r="S32" s="1574">
        <f t="shared" si="12"/>
        <v>100</v>
      </c>
      <c r="T32" s="1573" t="s">
        <v>11</v>
      </c>
      <c r="U32" s="1574">
        <f t="shared" si="13"/>
        <v>100</v>
      </c>
      <c r="V32" s="1573" t="s">
        <v>11</v>
      </c>
      <c r="W32" s="1574">
        <f t="shared" si="14"/>
        <v>100</v>
      </c>
      <c r="X32" s="1567"/>
      <c r="Y32" s="3382" t="s">
        <v>549</v>
      </c>
      <c r="Z32" s="1575" t="str">
        <f t="shared" si="15"/>
        <v>建筑类型</v>
      </c>
      <c r="AA32" s="1576">
        <f t="shared" si="3"/>
        <v>1</v>
      </c>
      <c r="AB32" s="1576">
        <f t="shared" si="4"/>
        <v>1</v>
      </c>
      <c r="AC32" s="1576">
        <f t="shared" si="5"/>
        <v>1</v>
      </c>
    </row>
    <row r="33" spans="1:29" s="1338" customFormat="1" ht="15">
      <c r="A33" s="603"/>
      <c r="B33" s="527" t="s">
        <v>725</v>
      </c>
      <c r="C33" s="880">
        <f>'数据-基础表'!B3</f>
        <v>545682.01</v>
      </c>
      <c r="D33" s="255">
        <v>100</v>
      </c>
      <c r="E33" s="534">
        <v>467089</v>
      </c>
      <c r="F33" s="863">
        <f>LOOKUP(E33,103:103,104:104)-LOOKUP(C33,103:103,104:104)+100</f>
        <v>100</v>
      </c>
      <c r="G33" s="533">
        <v>900000</v>
      </c>
      <c r="H33" s="255">
        <f>LOOKUP(G33,103:103,104:104)-LOOKUP(C33,103:103,104:104)+100</f>
        <v>102</v>
      </c>
      <c r="I33" s="534">
        <v>450000</v>
      </c>
      <c r="J33" s="255">
        <f>LOOKUP(I33,103:103,104:104)-LOOKUP(C33,103:103,104:104)+100</f>
        <v>100</v>
      </c>
      <c r="K33" s="865"/>
      <c r="L33" s="2141"/>
      <c r="M33" s="2172"/>
      <c r="N33" s="2172"/>
      <c r="O33" s="2144"/>
      <c r="P33" s="3382"/>
      <c r="Q33" s="1605" t="str">
        <f t="shared" si="11"/>
        <v>项目建筑规模</v>
      </c>
      <c r="R33" s="1577" t="s">
        <v>11</v>
      </c>
      <c r="S33" s="1578">
        <f t="shared" si="12"/>
        <v>100</v>
      </c>
      <c r="T33" s="1577" t="s">
        <v>11</v>
      </c>
      <c r="U33" s="1578">
        <f t="shared" si="13"/>
        <v>102</v>
      </c>
      <c r="V33" s="1577" t="s">
        <v>11</v>
      </c>
      <c r="W33" s="1578">
        <f t="shared" si="14"/>
        <v>100</v>
      </c>
      <c r="X33" s="1579"/>
      <c r="Y33" s="3382"/>
      <c r="Z33" s="1580" t="str">
        <f t="shared" si="15"/>
        <v>项目建筑规模</v>
      </c>
      <c r="AA33" s="1576">
        <f t="shared" si="3"/>
        <v>1</v>
      </c>
      <c r="AB33" s="1576">
        <f t="shared" si="4"/>
        <v>0.98039215686274506</v>
      </c>
      <c r="AC33" s="1576">
        <f t="shared" si="5"/>
        <v>1</v>
      </c>
    </row>
    <row r="34" spans="1:29" ht="15">
      <c r="A34" s="594"/>
      <c r="B34" s="527" t="s">
        <v>726</v>
      </c>
      <c r="C34" s="881" t="s">
        <v>3054</v>
      </c>
      <c r="D34" s="540">
        <v>100</v>
      </c>
      <c r="E34" s="881" t="s">
        <v>3054</v>
      </c>
      <c r="F34" s="575">
        <f>SUMIF(105:105,E34,106:106)-SUMIF(105:105,C34,106:106)+100</f>
        <v>100</v>
      </c>
      <c r="G34" s="881" t="s">
        <v>3054</v>
      </c>
      <c r="H34" s="540">
        <f>SUMIF(105:105,G34,106:106)-SUMIF(105:105,C34,106:106)+100</f>
        <v>100</v>
      </c>
      <c r="I34" s="881" t="s">
        <v>3054</v>
      </c>
      <c r="J34" s="540">
        <f>SUMIF(105:105,I34,106:106)-SUMIF(105:105,C34,106:106)+100</f>
        <v>100</v>
      </c>
      <c r="K34" s="864"/>
      <c r="L34" s="2143"/>
      <c r="M34" s="2135"/>
      <c r="N34" s="2135"/>
      <c r="O34" s="2142"/>
      <c r="P34" s="3382"/>
      <c r="Q34" s="1572" t="str">
        <f t="shared" si="11"/>
        <v>建筑结构</v>
      </c>
      <c r="R34" s="1573" t="s">
        <v>11</v>
      </c>
      <c r="S34" s="1574">
        <f t="shared" si="12"/>
        <v>100</v>
      </c>
      <c r="T34" s="1573" t="s">
        <v>11</v>
      </c>
      <c r="U34" s="1574">
        <f t="shared" si="13"/>
        <v>100</v>
      </c>
      <c r="V34" s="1573" t="s">
        <v>11</v>
      </c>
      <c r="W34" s="1574">
        <f t="shared" si="14"/>
        <v>100</v>
      </c>
      <c r="X34" s="1567"/>
      <c r="Y34" s="3382"/>
      <c r="Z34" s="1575" t="str">
        <f t="shared" si="15"/>
        <v>建筑结构</v>
      </c>
      <c r="AA34" s="1576">
        <f t="shared" si="3"/>
        <v>1</v>
      </c>
      <c r="AB34" s="1576">
        <f t="shared" si="4"/>
        <v>1</v>
      </c>
      <c r="AC34" s="1576">
        <f t="shared" si="5"/>
        <v>1</v>
      </c>
    </row>
    <row r="35" spans="1:29" ht="15">
      <c r="A35" s="594"/>
      <c r="B35" s="527" t="s">
        <v>727</v>
      </c>
      <c r="C35" s="599" t="s">
        <v>3056</v>
      </c>
      <c r="D35" s="540">
        <v>100</v>
      </c>
      <c r="E35" s="599" t="s">
        <v>3056</v>
      </c>
      <c r="F35" s="575">
        <f>SUMIF(107:107,E35,108:108)-SUMIF(107:107,C35,108:108)+100</f>
        <v>100</v>
      </c>
      <c r="G35" s="599" t="s">
        <v>3056</v>
      </c>
      <c r="H35" s="540">
        <f>SUMIF(107:107,G35,108:108)-SUMIF(107:107,C35,108:108)+100</f>
        <v>100</v>
      </c>
      <c r="I35" s="599" t="s">
        <v>3056</v>
      </c>
      <c r="J35" s="540">
        <f>SUMIF(107:107,I35,108:108)-SUMIF(107:107,C35,108:108)+100</f>
        <v>100</v>
      </c>
      <c r="K35" s="864"/>
      <c r="L35" s="2143"/>
      <c r="M35" s="2135"/>
      <c r="N35" s="2135"/>
      <c r="O35" s="2142"/>
      <c r="P35" s="3382"/>
      <c r="Q35" s="1572" t="str">
        <f t="shared" si="11"/>
        <v>建筑品质</v>
      </c>
      <c r="R35" s="1573" t="s">
        <v>11</v>
      </c>
      <c r="S35" s="1574">
        <f t="shared" si="12"/>
        <v>100</v>
      </c>
      <c r="T35" s="1573" t="s">
        <v>11</v>
      </c>
      <c r="U35" s="1574">
        <f t="shared" si="13"/>
        <v>100</v>
      </c>
      <c r="V35" s="1573" t="s">
        <v>11</v>
      </c>
      <c r="W35" s="1574">
        <f t="shared" si="14"/>
        <v>100</v>
      </c>
      <c r="X35" s="1567"/>
      <c r="Y35" s="3382"/>
      <c r="Z35" s="1575" t="str">
        <f t="shared" si="15"/>
        <v>建筑品质</v>
      </c>
      <c r="AA35" s="1576">
        <f t="shared" si="3"/>
        <v>1</v>
      </c>
      <c r="AB35" s="1576">
        <f t="shared" si="4"/>
        <v>1</v>
      </c>
      <c r="AC35" s="1576">
        <f t="shared" si="5"/>
        <v>1</v>
      </c>
    </row>
    <row r="36" spans="1:29" ht="15">
      <c r="A36" s="594"/>
      <c r="B36" s="527" t="s">
        <v>728</v>
      </c>
      <c r="C36" s="599" t="s">
        <v>3058</v>
      </c>
      <c r="D36" s="540">
        <v>100</v>
      </c>
      <c r="E36" s="599" t="s">
        <v>3058</v>
      </c>
      <c r="F36" s="575">
        <f>SUMIF(109:109,E36,110:110)-SUMIF(109:109,C36,110:110)+100</f>
        <v>100</v>
      </c>
      <c r="G36" s="599" t="s">
        <v>3058</v>
      </c>
      <c r="H36" s="540">
        <f>SUMIF(109:109,G36,110:110)-SUMIF(109:109,C36,110:110)+100</f>
        <v>100</v>
      </c>
      <c r="I36" s="599" t="s">
        <v>3058</v>
      </c>
      <c r="J36" s="540">
        <f>SUMIF(109:109,I36,110:110)-SUMIF(109:109,C36,110:110)+100</f>
        <v>100</v>
      </c>
      <c r="K36" s="864"/>
      <c r="L36" s="2143"/>
      <c r="M36" s="2135"/>
      <c r="N36" s="2135"/>
      <c r="O36" s="2142"/>
      <c r="P36" s="3382"/>
      <c r="Q36" s="1572" t="str">
        <f t="shared" si="11"/>
        <v>公共部分装修</v>
      </c>
      <c r="R36" s="1573" t="s">
        <v>11</v>
      </c>
      <c r="S36" s="1574">
        <f t="shared" si="12"/>
        <v>100</v>
      </c>
      <c r="T36" s="1573" t="s">
        <v>11</v>
      </c>
      <c r="U36" s="1574">
        <f t="shared" si="13"/>
        <v>100</v>
      </c>
      <c r="V36" s="1573" t="s">
        <v>11</v>
      </c>
      <c r="W36" s="1574">
        <f t="shared" si="14"/>
        <v>100</v>
      </c>
      <c r="X36" s="1567"/>
      <c r="Y36" s="3382"/>
      <c r="Z36" s="1575" t="str">
        <f t="shared" si="15"/>
        <v>公共部分装修</v>
      </c>
      <c r="AA36" s="1576">
        <f t="shared" si="3"/>
        <v>1</v>
      </c>
      <c r="AB36" s="1576">
        <f t="shared" si="4"/>
        <v>1</v>
      </c>
      <c r="AC36" s="1576">
        <f t="shared" si="5"/>
        <v>1</v>
      </c>
    </row>
    <row r="37" spans="1:29" s="1219" customFormat="1" ht="15" hidden="1">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6"/>
      <c r="M37" s="2137"/>
      <c r="N37" s="2137"/>
      <c r="O37" s="2138"/>
      <c r="P37" s="3382"/>
      <c r="Q37" s="1150" t="str">
        <f t="shared" si="11"/>
        <v>成新度</v>
      </c>
      <c r="R37" s="1568" t="s">
        <v>11</v>
      </c>
      <c r="S37" s="1569">
        <f t="shared" si="12"/>
        <v>100</v>
      </c>
      <c r="T37" s="1568" t="s">
        <v>11</v>
      </c>
      <c r="U37" s="1569">
        <f t="shared" si="13"/>
        <v>100</v>
      </c>
      <c r="V37" s="1568" t="s">
        <v>11</v>
      </c>
      <c r="W37" s="1569">
        <f t="shared" si="14"/>
        <v>100</v>
      </c>
      <c r="X37" s="1570"/>
      <c r="Y37" s="3382"/>
      <c r="Z37" s="1149" t="str">
        <f t="shared" si="15"/>
        <v>成新度</v>
      </c>
      <c r="AA37" s="1571">
        <f t="shared" si="3"/>
        <v>1</v>
      </c>
      <c r="AB37" s="1571">
        <f t="shared" si="4"/>
        <v>1</v>
      </c>
      <c r="AC37" s="1571">
        <f t="shared" si="5"/>
        <v>1</v>
      </c>
    </row>
    <row r="38" spans="1:29" ht="15">
      <c r="A38" s="594"/>
      <c r="B38" s="3192" t="s">
        <v>730</v>
      </c>
      <c r="C38" s="599" t="s">
        <v>3089</v>
      </c>
      <c r="D38" s="540">
        <v>100</v>
      </c>
      <c r="E38" s="599" t="s">
        <v>3089</v>
      </c>
      <c r="F38" s="575">
        <f>SUMIF(114:114,E38,115:115)-SUMIF(114:114,C38,115:115)+100</f>
        <v>100</v>
      </c>
      <c r="G38" s="599" t="s">
        <v>3060</v>
      </c>
      <c r="H38" s="540">
        <f>SUMIF(114:114,G38,115:115)-SUMIF(114:114,C38,115:115)+100</f>
        <v>95</v>
      </c>
      <c r="I38" s="599" t="s">
        <v>3089</v>
      </c>
      <c r="J38" s="540">
        <f>SUMIF(114:114,I38,115:115)-SUMIF(114:114,C38,115:115)+100</f>
        <v>100</v>
      </c>
      <c r="K38" s="864">
        <v>5</v>
      </c>
      <c r="L38" s="2143"/>
      <c r="M38" s="2135"/>
      <c r="N38" s="2135"/>
      <c r="O38" s="2142"/>
      <c r="P38" s="3382" t="s">
        <v>549</v>
      </c>
      <c r="Q38" s="1572" t="str">
        <f t="shared" si="11"/>
        <v>物业管理</v>
      </c>
      <c r="R38" s="1573" t="s">
        <v>11</v>
      </c>
      <c r="S38" s="1574">
        <f t="shared" si="12"/>
        <v>100</v>
      </c>
      <c r="T38" s="1573" t="s">
        <v>11</v>
      </c>
      <c r="U38" s="1574">
        <f t="shared" si="13"/>
        <v>95</v>
      </c>
      <c r="V38" s="1573" t="s">
        <v>11</v>
      </c>
      <c r="W38" s="1574">
        <f t="shared" si="14"/>
        <v>100</v>
      </c>
      <c r="X38" s="1567"/>
      <c r="Y38" s="3382" t="s">
        <v>549</v>
      </c>
      <c r="Z38" s="1575" t="str">
        <f t="shared" si="15"/>
        <v>物业管理</v>
      </c>
      <c r="AA38" s="1576">
        <f t="shared" si="3"/>
        <v>1</v>
      </c>
      <c r="AB38" s="1576">
        <f t="shared" si="4"/>
        <v>1.0526315789473684</v>
      </c>
      <c r="AC38" s="1576">
        <f t="shared" si="5"/>
        <v>1</v>
      </c>
    </row>
    <row r="39" spans="1:29" ht="15">
      <c r="A39" s="594"/>
      <c r="B39" s="1896" t="s">
        <v>2567</v>
      </c>
      <c r="C39" s="599" t="s">
        <v>3040</v>
      </c>
      <c r="D39" s="540">
        <v>100</v>
      </c>
      <c r="E39" s="599" t="s">
        <v>3040</v>
      </c>
      <c r="F39" s="575">
        <f>SUMIF(116:116,E39,117:117)-SUMIF(116:116,C39,117:117)+100</f>
        <v>100</v>
      </c>
      <c r="G39" s="599" t="s">
        <v>3040</v>
      </c>
      <c r="H39" s="540">
        <f>SUMIF(116:116,G39,117:117)-SUMIF(116:116,C39,117:117)+100</f>
        <v>100</v>
      </c>
      <c r="I39" s="599" t="s">
        <v>3040</v>
      </c>
      <c r="J39" s="540">
        <f>SUMIF(116:116,I39,117:117)-SUMIF(116:116,C39,117:117)+100</f>
        <v>100</v>
      </c>
      <c r="K39" s="864"/>
      <c r="L39" s="2143"/>
      <c r="M39" s="2135"/>
      <c r="N39" s="2135"/>
      <c r="O39" s="2142"/>
      <c r="P39" s="3382"/>
      <c r="Q39" s="1572" t="str">
        <f t="shared" si="11"/>
        <v>市政基础设施</v>
      </c>
      <c r="R39" s="1573" t="s">
        <v>11</v>
      </c>
      <c r="S39" s="1574">
        <f t="shared" si="12"/>
        <v>100</v>
      </c>
      <c r="T39" s="1573" t="s">
        <v>11</v>
      </c>
      <c r="U39" s="1574">
        <f t="shared" si="13"/>
        <v>100</v>
      </c>
      <c r="V39" s="1573" t="s">
        <v>11</v>
      </c>
      <c r="W39" s="1574">
        <f t="shared" si="14"/>
        <v>100</v>
      </c>
      <c r="X39" s="1567"/>
      <c r="Y39" s="3382"/>
      <c r="Z39" s="1575" t="str">
        <f t="shared" si="15"/>
        <v>市政基础设施</v>
      </c>
      <c r="AA39" s="1576">
        <f t="shared" si="3"/>
        <v>1</v>
      </c>
      <c r="AB39" s="1576">
        <f t="shared" si="4"/>
        <v>1</v>
      </c>
      <c r="AC39" s="1576">
        <f t="shared" si="5"/>
        <v>1</v>
      </c>
    </row>
    <row r="40" spans="1:29" ht="15">
      <c r="A40" s="594"/>
      <c r="B40" s="527" t="s">
        <v>731</v>
      </c>
      <c r="C40" s="599" t="s">
        <v>3062</v>
      </c>
      <c r="D40" s="540">
        <v>100</v>
      </c>
      <c r="E40" s="599" t="s">
        <v>3062</v>
      </c>
      <c r="F40" s="575">
        <f>SUMIF(118:118,E40,119:119)-SUMIF(118:118,C40,119:119)+100</f>
        <v>100</v>
      </c>
      <c r="G40" s="599" t="s">
        <v>3062</v>
      </c>
      <c r="H40" s="540">
        <f>SUMIF(118:118,G40,119:119)-SUMIF(118:118,C40,119:119)+100</f>
        <v>100</v>
      </c>
      <c r="I40" s="599" t="s">
        <v>3062</v>
      </c>
      <c r="J40" s="540">
        <f>SUMIF(118:118,I40,119:119)-SUMIF(118:118,C40,119:119)+100</f>
        <v>100</v>
      </c>
      <c r="K40" s="864"/>
      <c r="L40" s="2143"/>
      <c r="M40" s="2135"/>
      <c r="N40" s="2135"/>
      <c r="O40" s="2142"/>
      <c r="P40" s="3382"/>
      <c r="Q40" s="1572" t="str">
        <f t="shared" si="11"/>
        <v>房型</v>
      </c>
      <c r="R40" s="1573" t="s">
        <v>11</v>
      </c>
      <c r="S40" s="1574">
        <f t="shared" si="12"/>
        <v>100</v>
      </c>
      <c r="T40" s="1573" t="s">
        <v>11</v>
      </c>
      <c r="U40" s="1574">
        <f t="shared" si="13"/>
        <v>100</v>
      </c>
      <c r="V40" s="1573" t="s">
        <v>11</v>
      </c>
      <c r="W40" s="1574">
        <f t="shared" si="14"/>
        <v>100</v>
      </c>
      <c r="X40" s="1567"/>
      <c r="Y40" s="3382"/>
      <c r="Z40" s="1575" t="str">
        <f t="shared" si="15"/>
        <v>房型</v>
      </c>
      <c r="AA40" s="1576">
        <f t="shared" si="3"/>
        <v>1</v>
      </c>
      <c r="AB40" s="1576">
        <f t="shared" si="4"/>
        <v>1</v>
      </c>
      <c r="AC40" s="1576">
        <f t="shared" si="5"/>
        <v>1</v>
      </c>
    </row>
    <row r="41" spans="1:29" s="1338"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2"/>
      <c r="Q41" s="1605" t="str">
        <f t="shared" si="11"/>
        <v>单套/主力户型建筑面积</v>
      </c>
      <c r="R41" s="1577" t="s">
        <v>11</v>
      </c>
      <c r="S41" s="1578">
        <f t="shared" si="12"/>
        <v>100</v>
      </c>
      <c r="T41" s="1577" t="s">
        <v>11</v>
      </c>
      <c r="U41" s="1578">
        <f t="shared" si="13"/>
        <v>100</v>
      </c>
      <c r="V41" s="1577" t="s">
        <v>11</v>
      </c>
      <c r="W41" s="1578">
        <f t="shared" si="14"/>
        <v>100</v>
      </c>
      <c r="X41" s="1579"/>
      <c r="Y41" s="3382"/>
      <c r="Z41" s="1580" t="str">
        <f t="shared" si="15"/>
        <v>单套/主力户型建筑面积</v>
      </c>
      <c r="AA41" s="1576">
        <f t="shared" si="3"/>
        <v>1</v>
      </c>
      <c r="AB41" s="1576">
        <f t="shared" si="4"/>
        <v>1</v>
      </c>
      <c r="AC41" s="1576">
        <f t="shared" si="5"/>
        <v>1</v>
      </c>
    </row>
    <row r="42" spans="1:29" ht="15.75" thickBot="1">
      <c r="A42" s="594"/>
      <c r="B42" s="527" t="s">
        <v>733</v>
      </c>
      <c r="C42" s="599" t="s">
        <v>3058</v>
      </c>
      <c r="D42" s="540">
        <v>100</v>
      </c>
      <c r="E42" s="874" t="s">
        <v>3058</v>
      </c>
      <c r="F42" s="575">
        <f>SUMIF(122:122,E42,123:123)-SUMIF(122:122,C42,123:123)+100</f>
        <v>100</v>
      </c>
      <c r="G42" s="599" t="s">
        <v>3067</v>
      </c>
      <c r="H42" s="540">
        <f>SUMIF(122:122,G42,123:123)-SUMIF(122:122,C42,123:123)+100</f>
        <v>94</v>
      </c>
      <c r="I42" s="874" t="s">
        <v>3067</v>
      </c>
      <c r="J42" s="540">
        <f>SUMIF(122:122,I42,123:123)-SUMIF(122:122,C42,123:123)+100</f>
        <v>94</v>
      </c>
      <c r="K42" s="864">
        <v>2</v>
      </c>
      <c r="L42" s="2143"/>
      <c r="M42" s="2135"/>
      <c r="N42" s="2135"/>
      <c r="O42" s="2142"/>
      <c r="P42" s="3382"/>
      <c r="Q42" s="1572" t="str">
        <f t="shared" si="11"/>
        <v>内部装修</v>
      </c>
      <c r="R42" s="1573" t="s">
        <v>11</v>
      </c>
      <c r="S42" s="1574">
        <f t="shared" si="12"/>
        <v>100</v>
      </c>
      <c r="T42" s="1573" t="s">
        <v>11</v>
      </c>
      <c r="U42" s="1574">
        <f t="shared" si="13"/>
        <v>94</v>
      </c>
      <c r="V42" s="1573" t="s">
        <v>11</v>
      </c>
      <c r="W42" s="1574">
        <f t="shared" si="14"/>
        <v>94</v>
      </c>
      <c r="X42" s="1567"/>
      <c r="Y42" s="3382"/>
      <c r="Z42" s="1575" t="str">
        <f t="shared" si="15"/>
        <v>内部装修</v>
      </c>
      <c r="AA42" s="1576">
        <f t="shared" si="3"/>
        <v>1</v>
      </c>
      <c r="AB42" s="1576">
        <f t="shared" si="4"/>
        <v>1.0638297872340425</v>
      </c>
      <c r="AC42" s="1576">
        <f t="shared" si="5"/>
        <v>1.0638297872340425</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2"/>
      <c r="Q43" s="1572" t="str">
        <f t="shared" si="11"/>
        <v>内部装修维护情况</v>
      </c>
      <c r="R43" s="1573" t="s">
        <v>11</v>
      </c>
      <c r="S43" s="1574">
        <f t="shared" si="12"/>
        <v>100</v>
      </c>
      <c r="T43" s="1573" t="s">
        <v>11</v>
      </c>
      <c r="U43" s="1574">
        <f t="shared" si="13"/>
        <v>100</v>
      </c>
      <c r="V43" s="1573" t="s">
        <v>11</v>
      </c>
      <c r="W43" s="1574">
        <f t="shared" si="14"/>
        <v>100</v>
      </c>
      <c r="X43" s="1567"/>
      <c r="Y43" s="3382"/>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2"/>
      <c r="Q44" s="1150">
        <f t="shared" si="11"/>
        <v>111</v>
      </c>
      <c r="R44" s="1568" t="s">
        <v>11</v>
      </c>
      <c r="S44" s="1569">
        <f t="shared" si="12"/>
        <v>100</v>
      </c>
      <c r="T44" s="1568" t="s">
        <v>11</v>
      </c>
      <c r="U44" s="1569">
        <f t="shared" si="13"/>
        <v>100</v>
      </c>
      <c r="V44" s="1568" t="s">
        <v>11</v>
      </c>
      <c r="W44" s="1569">
        <f t="shared" si="14"/>
        <v>100</v>
      </c>
      <c r="X44" s="1570"/>
      <c r="Y44" s="3382"/>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2"/>
      <c r="Q45" s="1572">
        <f t="shared" si="11"/>
        <v>111</v>
      </c>
      <c r="R45" s="1573" t="s">
        <v>11</v>
      </c>
      <c r="S45" s="1574">
        <f t="shared" si="12"/>
        <v>100</v>
      </c>
      <c r="T45" s="1573" t="s">
        <v>11</v>
      </c>
      <c r="U45" s="1574">
        <f t="shared" si="13"/>
        <v>100</v>
      </c>
      <c r="V45" s="1573" t="s">
        <v>11</v>
      </c>
      <c r="W45" s="1574">
        <f t="shared" si="14"/>
        <v>100</v>
      </c>
      <c r="X45" s="1567"/>
      <c r="Y45" s="3382"/>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13"/>
      <c r="Q46" s="1572">
        <f t="shared" si="11"/>
        <v>111</v>
      </c>
      <c r="R46" s="1573" t="s">
        <v>10</v>
      </c>
      <c r="S46" s="1574">
        <f t="shared" si="12"/>
        <v>100</v>
      </c>
      <c r="T46" s="1573" t="s">
        <v>10</v>
      </c>
      <c r="U46" s="1574">
        <f t="shared" si="13"/>
        <v>100</v>
      </c>
      <c r="V46" s="1573" t="s">
        <v>10</v>
      </c>
      <c r="W46" s="1574">
        <f t="shared" si="14"/>
        <v>100</v>
      </c>
      <c r="X46" s="1567"/>
      <c r="Y46" s="3413"/>
      <c r="Z46" s="1575">
        <f t="shared" si="15"/>
        <v>111</v>
      </c>
      <c r="AA46" s="1576">
        <f t="shared" si="3"/>
        <v>1</v>
      </c>
      <c r="AB46" s="1576">
        <f t="shared" si="4"/>
        <v>1</v>
      </c>
      <c r="AC46" s="1576">
        <f t="shared" si="5"/>
        <v>1</v>
      </c>
    </row>
    <row r="47" spans="1:29" ht="15">
      <c r="A47" s="607" t="s">
        <v>735</v>
      </c>
      <c r="B47" s="887"/>
      <c r="C47" s="2652" t="s">
        <v>9</v>
      </c>
      <c r="D47" s="2653"/>
      <c r="E47" s="2654">
        <v>14000</v>
      </c>
      <c r="F47" s="2655"/>
      <c r="G47" s="2656">
        <v>12000</v>
      </c>
      <c r="H47" s="2657"/>
      <c r="I47" s="2654">
        <v>11500</v>
      </c>
      <c r="J47" s="2657"/>
      <c r="K47" s="1606"/>
      <c r="L47" s="2145"/>
      <c r="M47" s="2146"/>
      <c r="N47" s="2135"/>
      <c r="O47" s="2146"/>
      <c r="P47" s="3377" t="str">
        <f>A47</f>
        <v>成交单价（元/平方米）</v>
      </c>
      <c r="Q47" s="3377"/>
      <c r="R47" s="3412">
        <f>E47</f>
        <v>14000</v>
      </c>
      <c r="S47" s="3412"/>
      <c r="T47" s="3412">
        <f>G47</f>
        <v>12000</v>
      </c>
      <c r="U47" s="3412"/>
      <c r="V47" s="3412">
        <f>I47</f>
        <v>11500</v>
      </c>
      <c r="W47" s="3412"/>
      <c r="X47" s="1559"/>
      <c r="Y47" s="1581"/>
      <c r="Z47" s="1559"/>
      <c r="AA47" s="1559"/>
      <c r="AB47" s="1559"/>
      <c r="AC47" s="1559"/>
    </row>
    <row r="48" spans="1:29" ht="15.75" thickBot="1">
      <c r="A48" s="615" t="s">
        <v>2763</v>
      </c>
      <c r="B48" s="888"/>
      <c r="C48" s="2658">
        <f>R49</f>
        <v>12393</v>
      </c>
      <c r="D48" s="2659"/>
      <c r="E48" s="2660">
        <f>R48</f>
        <v>13208</v>
      </c>
      <c r="F48" s="2660"/>
      <c r="G48" s="2658">
        <f>T48</f>
        <v>12429</v>
      </c>
      <c r="H48" s="2659"/>
      <c r="I48" s="2660">
        <f>V48</f>
        <v>11542</v>
      </c>
      <c r="J48" s="2659"/>
      <c r="K48" s="1607"/>
      <c r="L48" s="2145"/>
      <c r="M48" s="2146"/>
      <c r="N48" s="2146"/>
      <c r="O48" s="2146"/>
      <c r="P48" s="3377" t="str">
        <f>A48</f>
        <v>比较价格（元/平方米）</v>
      </c>
      <c r="Q48" s="3377"/>
      <c r="R48" s="3412">
        <f>IF(F1="售价",ROUND(PRODUCT(R47,AA7:AA46),0),ROUND(PRODUCT(R47,AA7:AA46),1))</f>
        <v>13208</v>
      </c>
      <c r="S48" s="3412"/>
      <c r="T48" s="3412">
        <f>IF(F1="售价",ROUND(PRODUCT(T47,AB7:AB46),0),ROUND(PRODUCT(T47,AB7:AB46),1))</f>
        <v>12429</v>
      </c>
      <c r="U48" s="3412"/>
      <c r="V48" s="3412">
        <f>IF(F1="售价",ROUND(PRODUCT(V47,AC7:AC46),0),ROUND(PRODUCT(V47,AC7:AC46),1))</f>
        <v>11542</v>
      </c>
      <c r="W48" s="3412"/>
      <c r="X48" s="1559"/>
      <c r="Y48" s="1559"/>
      <c r="Z48" s="1559"/>
      <c r="AA48" s="1559"/>
      <c r="AB48" s="1559"/>
      <c r="AC48" s="1559"/>
    </row>
    <row r="49" spans="1:29" ht="15.75" thickBot="1">
      <c r="A49" s="621" t="s">
        <v>2938</v>
      </c>
      <c r="B49" s="622"/>
      <c r="C49" s="2661">
        <f>R49</f>
        <v>12393</v>
      </c>
      <c r="D49" s="2661"/>
      <c r="E49" s="2661"/>
      <c r="F49" s="2661"/>
      <c r="G49" s="2661"/>
      <c r="H49" s="2661"/>
      <c r="I49" s="2661"/>
      <c r="J49" s="2661"/>
      <c r="K49" s="1608"/>
      <c r="L49" s="2145"/>
      <c r="M49" s="2146"/>
      <c r="N49" s="2146"/>
      <c r="O49" s="2146"/>
      <c r="P49" s="3400" t="str">
        <f>A49</f>
        <v>估价对象XX用房的比较价格（楼面单价，元/平方米）</v>
      </c>
      <c r="Q49" s="3401"/>
      <c r="R49" s="3411">
        <f>IF(F1="售价",ROUND(AVERAGE(R48:V48),0),ROUND(AVERAGE(R48:V48),1))</f>
        <v>12393</v>
      </c>
      <c r="S49" s="3411"/>
      <c r="T49" s="3411"/>
      <c r="U49" s="3411"/>
      <c r="V49" s="3411"/>
      <c r="W49" s="34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5.9963658388855201E-2</v>
      </c>
      <c r="F52" s="627" t="str">
        <f>IF(OR(E52&gt;=0.3,E52&lt;=-0.3),"超过30%","")</f>
        <v/>
      </c>
      <c r="G52" s="626">
        <f>IF(G47&lt;G48,G48/G47-1,G47/G48-1)</f>
        <v>3.5749999999999948E-2</v>
      </c>
      <c r="H52" s="627" t="str">
        <f>IF(OR(G52&gt;=0.3,G52&lt;=-0.3),"超过30%","")</f>
        <v/>
      </c>
      <c r="I52" s="626">
        <f>IF(I47&lt;I48,I48/I47-1,I47/I48-1)</f>
        <v>3.6521739130435105E-3</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6.2675999678172056E-2</v>
      </c>
      <c r="F53" s="627" t="str">
        <f>IF(OR(E53&gt;=0.2,E53&lt;=-0.2),"超过20%","")</f>
        <v/>
      </c>
      <c r="G53" s="626">
        <f>IF(G48&lt;I48,I48/G48-1,G48/I48-1)</f>
        <v>7.684976607173799E-2</v>
      </c>
      <c r="H53" s="627" t="str">
        <f>IF(OR(G53&gt;=0.2,G53&lt;=-0.2),"超过20%","")</f>
        <v/>
      </c>
      <c r="I53" s="626">
        <f>IF(I48&lt;E48,E48/I48-1,I48/E48-1)</f>
        <v>0.14434240166348977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0.16666666666666674</v>
      </c>
      <c r="F54" s="627" t="str">
        <f>IF(OR(E54&gt;=0.3,E54&lt;=-0.3),"超过30%","")</f>
        <v/>
      </c>
      <c r="G54" s="626">
        <f>IF(G47&lt;I47,I47/G47-1,G47/I47-1)</f>
        <v>4.3478260869565188E-2</v>
      </c>
      <c r="H54" s="627" t="str">
        <f>IF(OR(G54&gt;=0.3,G54&lt;=-0.3),"超过30%","")</f>
        <v/>
      </c>
      <c r="I54" s="626">
        <f>IF(I47&lt;E47,E47/I47-1,I47/E47-1)</f>
        <v>0.21739130434782616</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v>2</v>
      </c>
      <c r="E68" s="541">
        <v>3</v>
      </c>
      <c r="F68" s="541">
        <v>4</v>
      </c>
      <c r="G68" s="541">
        <v>5</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5" t="s">
        <v>3053</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10000(含)-200000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10000</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92">
        <v>102</v>
      </c>
      <c r="F104" s="671">
        <v>103</v>
      </c>
      <c r="G104" s="692">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187" t="s">
        <v>3055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86" t="s">
        <v>3057</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187" t="s">
        <v>3059</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187" t="s">
        <v>3090</v>
      </c>
      <c r="D114" s="3187" t="s">
        <v>3091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7" t="s">
        <v>3061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3186" t="s">
        <v>3063</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187" t="s">
        <v>3064</v>
      </c>
      <c r="D122" s="3187" t="s">
        <v>3065</v>
      </c>
      <c r="E122" s="3187" t="s">
        <v>3066</v>
      </c>
      <c r="F122" s="3186" t="s">
        <v>3068</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46174</v>
      </c>
      <c r="D13" s="451"/>
      <c r="E13" s="365"/>
      <c r="F13" s="452"/>
      <c r="G13" s="444"/>
      <c r="H13" s="447"/>
      <c r="I13" s="447"/>
      <c r="J13" s="447"/>
      <c r="K13" s="448"/>
    </row>
    <row r="14" spans="1:41" s="2117" customFormat="1" ht="13.5" customHeight="1">
      <c r="A14" s="1633" t="s">
        <v>1849</v>
      </c>
      <c r="B14" s="449" t="s">
        <v>479</v>
      </c>
      <c r="C14" s="53">
        <f ca="1">ROUND(C13*F14,0)</f>
        <v>1385</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3812</v>
      </c>
      <c r="D15" s="451"/>
      <c r="E15" s="365"/>
      <c r="F15" s="453">
        <f>'数据-取费表'!B34</f>
        <v>0.1</v>
      </c>
      <c r="G15" s="444" t="s">
        <v>501</v>
      </c>
      <c r="H15" s="447"/>
      <c r="I15" s="447"/>
      <c r="J15" s="447"/>
      <c r="K15" s="448"/>
    </row>
    <row r="16" spans="1:41" s="2118" customFormat="1" ht="13.5" customHeight="1">
      <c r="A16" s="1633" t="s">
        <v>1851</v>
      </c>
      <c r="B16" s="449" t="s">
        <v>483</v>
      </c>
      <c r="C16" s="53">
        <f ca="1">ROUND(D16*E16/10000,0)</f>
        <v>3903</v>
      </c>
      <c r="D16" s="451">
        <f ca="1">IF(B1="",'数据-汇总表'!E3,INDIRECT("'数据-取费表'!K"&amp;$K$1)+INDIRECT("'数据-取费表'!S"&amp;$K$1))</f>
        <v>195134.96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693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55967</v>
      </c>
      <c r="D18" s="461"/>
      <c r="E18" s="462"/>
      <c r="F18" s="462"/>
      <c r="G18" s="1326" t="s">
        <v>2435</v>
      </c>
      <c r="H18" s="447"/>
      <c r="I18" s="447"/>
      <c r="J18" s="447"/>
      <c r="K18" s="448"/>
    </row>
    <row r="19" spans="1:14" s="2120" customFormat="1" ht="13.5" customHeight="1">
      <c r="A19" s="1634" t="s">
        <v>1854</v>
      </c>
      <c r="B19" s="459" t="s">
        <v>492</v>
      </c>
      <c r="C19" s="460">
        <f ca="1">ROUND(C18*F19,0)</f>
        <v>1119</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5">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2712</v>
      </c>
      <c r="D21" s="467">
        <f ca="1">C23</f>
        <v>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7" t="s">
        <v>2438</v>
      </c>
      <c r="C22" s="487">
        <f ca="1">ROUND(IF('数据-取费表'!B22&lt;=1,(C18+C19)*F21*'数据-取费表'!B20/2,(C18+C19)*(POWER((1+F21),'数据-取费表'!B20/2)-1)),0)</f>
        <v>2712</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7" t="s">
        <v>2835</v>
      </c>
      <c r="C24" s="478">
        <f ca="1">C25</f>
        <v>11417</v>
      </c>
      <c r="D24" s="489">
        <f ca="1">C26</f>
        <v>4.0000000000000001E-3</v>
      </c>
      <c r="E24" s="469" t="s">
        <v>506</v>
      </c>
      <c r="F24" s="479">
        <f ca="1">IF(B1="",'数据-取费表'!Q16,INDIRECT("'数据-取费表'!q"&amp;$K$1))</f>
        <v>0.2</v>
      </c>
      <c r="G24" s="444"/>
      <c r="H24" s="447"/>
      <c r="I24" s="447"/>
      <c r="J24" s="447"/>
      <c r="K24" s="448"/>
    </row>
    <row r="25" spans="1:14" s="2121" customFormat="1" ht="13.5" customHeight="1">
      <c r="A25" s="1633" t="s">
        <v>1848</v>
      </c>
      <c r="B25" s="1327" t="s">
        <v>2439</v>
      </c>
      <c r="C25" s="490">
        <f ca="1">ROUND((C18+C19)*F24,0)</f>
        <v>11417</v>
      </c>
      <c r="D25" s="472"/>
      <c r="E25" s="473"/>
      <c r="F25" s="480"/>
      <c r="G25" s="1325" t="s">
        <v>2436</v>
      </c>
      <c r="H25" s="457"/>
      <c r="I25" s="457"/>
      <c r="J25" s="457"/>
      <c r="K25" s="458"/>
    </row>
    <row r="26" spans="1:14" s="2121" customFormat="1" ht="13.5" customHeight="1">
      <c r="A26" s="1633" t="s">
        <v>1849</v>
      </c>
      <c r="B26" s="1327" t="s">
        <v>508</v>
      </c>
      <c r="C26" s="491">
        <f ca="1">ROUND(F20*F24,4)</f>
        <v>4.0000000000000001E-3</v>
      </c>
      <c r="D26" s="472"/>
      <c r="E26" s="481"/>
      <c r="F26" s="480"/>
      <c r="G26" s="1325" t="s">
        <v>509</v>
      </c>
      <c r="H26" s="457"/>
      <c r="I26" s="457"/>
      <c r="J26" s="457"/>
      <c r="K26" s="458"/>
    </row>
    <row r="27" spans="1:14" s="2121" customFormat="1" ht="13.5" customHeight="1">
      <c r="A27" s="1637" t="s">
        <v>1867</v>
      </c>
      <c r="B27" s="459" t="s">
        <v>510</v>
      </c>
      <c r="C27" s="3056">
        <f>ROUND(F27/(1+'数据-取费表'!C42),4)</f>
        <v>5.33E-2</v>
      </c>
      <c r="D27" s="462" t="s">
        <v>2833</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77265</v>
      </c>
      <c r="D28" s="477"/>
      <c r="E28" s="469"/>
      <c r="F28" s="471"/>
      <c r="G28" s="1326" t="s">
        <v>2437</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507"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383" t="s">
        <v>521</v>
      </c>
      <c r="D6" s="3384"/>
      <c r="E6" s="3409" t="s">
        <v>522</v>
      </c>
      <c r="F6" s="3410"/>
      <c r="G6" s="3383" t="s">
        <v>523</v>
      </c>
      <c r="H6" s="3384"/>
      <c r="I6" s="3383" t="s">
        <v>524</v>
      </c>
      <c r="J6" s="3384"/>
      <c r="K6" s="514" t="s">
        <v>525</v>
      </c>
      <c r="L6" s="2134"/>
      <c r="M6" s="2135"/>
      <c r="N6" s="2135"/>
      <c r="O6" s="2135"/>
      <c r="P6" s="3385" t="s">
        <v>526</v>
      </c>
      <c r="Q6" s="3386"/>
      <c r="R6" s="3371" t="s">
        <v>522</v>
      </c>
      <c r="S6" s="3372"/>
      <c r="T6" s="3371" t="s">
        <v>523</v>
      </c>
      <c r="U6" s="3372"/>
      <c r="V6" s="3391" t="s">
        <v>524</v>
      </c>
      <c r="W6" s="3391"/>
      <c r="X6" s="1567"/>
      <c r="Y6" s="3371" t="s">
        <v>526</v>
      </c>
      <c r="Z6" s="3372"/>
      <c r="AA6" s="3366" t="s">
        <v>522</v>
      </c>
      <c r="AB6" s="3367" t="s">
        <v>523</v>
      </c>
      <c r="AC6" s="3366" t="s">
        <v>524</v>
      </c>
    </row>
    <row r="7" spans="1:29" ht="15">
      <c r="A7" s="515"/>
      <c r="B7" s="516"/>
      <c r="C7" s="3396" t="s">
        <v>2932</v>
      </c>
      <c r="D7" s="3395"/>
      <c r="E7" s="3419" t="s">
        <v>2933</v>
      </c>
      <c r="F7" s="3405"/>
      <c r="G7" s="3396" t="s">
        <v>2934</v>
      </c>
      <c r="H7" s="3395"/>
      <c r="I7" s="3396" t="s">
        <v>2935</v>
      </c>
      <c r="J7" s="3395"/>
      <c r="K7" s="514"/>
      <c r="L7" s="2134"/>
      <c r="M7" s="2135"/>
      <c r="N7" s="2135"/>
      <c r="O7" s="2135"/>
      <c r="P7" s="3387"/>
      <c r="Q7" s="3388"/>
      <c r="R7" s="3373"/>
      <c r="S7" s="3374"/>
      <c r="T7" s="3373"/>
      <c r="U7" s="3374"/>
      <c r="V7" s="3391"/>
      <c r="W7" s="3391"/>
      <c r="X7" s="1567"/>
      <c r="Y7" s="3373"/>
      <c r="Z7" s="3374"/>
      <c r="AA7" s="3367"/>
      <c r="AB7" s="3367"/>
      <c r="AC7" s="3367"/>
    </row>
    <row r="8" spans="1:29" ht="15.75" thickBot="1">
      <c r="A8" s="517"/>
      <c r="B8" s="518"/>
      <c r="C8" s="3406" t="s">
        <v>2936</v>
      </c>
      <c r="D8" s="3393"/>
      <c r="E8" s="3420" t="s">
        <v>2936</v>
      </c>
      <c r="F8" s="3408"/>
      <c r="G8" s="3406" t="s">
        <v>2936</v>
      </c>
      <c r="H8" s="3393"/>
      <c r="I8" s="3406" t="s">
        <v>2936</v>
      </c>
      <c r="J8" s="3393"/>
      <c r="K8" s="514" t="s">
        <v>527</v>
      </c>
      <c r="L8" s="2134"/>
      <c r="M8" s="2135"/>
      <c r="N8" s="2135"/>
      <c r="O8" s="2135"/>
      <c r="P8" s="3389"/>
      <c r="Q8" s="3390"/>
      <c r="R8" s="3373"/>
      <c r="S8" s="3374"/>
      <c r="T8" s="3375"/>
      <c r="U8" s="3376"/>
      <c r="V8" s="3391"/>
      <c r="W8" s="3391"/>
      <c r="X8" s="1567"/>
      <c r="Y8" s="3375"/>
      <c r="Z8" s="3376"/>
      <c r="AA8" s="3368"/>
      <c r="AB8" s="3368"/>
      <c r="AC8" s="3368"/>
    </row>
    <row r="9" spans="1:29" s="1219" customFormat="1" ht="15.75" thickBot="1">
      <c r="A9" s="2937"/>
      <c r="B9" s="2944" t="s">
        <v>528</v>
      </c>
      <c r="C9" s="519">
        <f>'数据-取费表'!B2</f>
        <v>43215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9" t="s">
        <v>529</v>
      </c>
      <c r="Q9" s="3378"/>
      <c r="R9" s="1568" t="s">
        <v>8</v>
      </c>
      <c r="S9" s="1569">
        <f t="shared" ref="S9:S17" si="0">F9</f>
        <v>0</v>
      </c>
      <c r="T9" s="1568" t="s">
        <v>8</v>
      </c>
      <c r="U9" s="1569">
        <f t="shared" ref="U9:U17" si="1">H9</f>
        <v>0</v>
      </c>
      <c r="V9" s="1568" t="s">
        <v>8</v>
      </c>
      <c r="W9" s="1569">
        <f t="shared" ref="W9:W17" si="2">J9</f>
        <v>0</v>
      </c>
      <c r="X9" s="1570"/>
      <c r="Y9" s="3369" t="s">
        <v>529</v>
      </c>
      <c r="Z9" s="3370"/>
      <c r="AA9" s="1571" t="e">
        <f>D9/F9</f>
        <v>#DIV/0!</v>
      </c>
      <c r="AB9" s="1571" t="e">
        <f>D9/H9</f>
        <v>#DIV/0!</v>
      </c>
      <c r="AC9" s="1571" t="e">
        <f>D9/J9</f>
        <v>#DIV/0!</v>
      </c>
    </row>
    <row r="10" spans="1:29" s="1219"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9" t="s">
        <v>532</v>
      </c>
      <c r="Q10" s="3370"/>
      <c r="R10" s="1568" t="s">
        <v>8</v>
      </c>
      <c r="S10" s="1569">
        <f t="shared" si="0"/>
        <v>0</v>
      </c>
      <c r="T10" s="1568" t="s">
        <v>8</v>
      </c>
      <c r="U10" s="1569">
        <f t="shared" si="1"/>
        <v>0</v>
      </c>
      <c r="V10" s="1568" t="s">
        <v>8</v>
      </c>
      <c r="W10" s="1569">
        <f t="shared" si="2"/>
        <v>0</v>
      </c>
      <c r="X10" s="1570"/>
      <c r="Y10" s="3369" t="s">
        <v>532</v>
      </c>
      <c r="Z10" s="3370"/>
      <c r="AA10" s="1571" t="e">
        <f t="shared" ref="AA10:AA42" si="3">D10/F10</f>
        <v>#DIV/0!</v>
      </c>
      <c r="AB10" s="1571" t="e">
        <f t="shared" ref="AB10:AB42" si="4">D10/H10</f>
        <v>#DIV/0!</v>
      </c>
      <c r="AC10" s="1571" t="e">
        <f t="shared" ref="AC10:AC42" si="5">D10/J10</f>
        <v>#DIV/0!</v>
      </c>
    </row>
    <row r="11" spans="1:29" s="1219"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7" t="s">
        <v>534</v>
      </c>
      <c r="Q11" s="1150" t="str">
        <f t="shared" ref="Q11:Q17" si="6">B11</f>
        <v>用途</v>
      </c>
      <c r="R11" s="1568" t="s">
        <v>8</v>
      </c>
      <c r="S11" s="1569">
        <f t="shared" si="0"/>
        <v>100</v>
      </c>
      <c r="T11" s="1568" t="s">
        <v>8</v>
      </c>
      <c r="U11" s="1569">
        <f t="shared" si="1"/>
        <v>100</v>
      </c>
      <c r="V11" s="1568" t="s">
        <v>8</v>
      </c>
      <c r="W11" s="1569">
        <f t="shared" si="2"/>
        <v>100</v>
      </c>
      <c r="X11" s="1570"/>
      <c r="Y11" s="3334" t="s">
        <v>535</v>
      </c>
      <c r="Z11" s="1149" t="str">
        <f t="shared" ref="Z11:Z17" si="7">Q11</f>
        <v>用途</v>
      </c>
      <c r="AA11" s="1571">
        <f t="shared" si="3"/>
        <v>1</v>
      </c>
      <c r="AB11" s="1571">
        <f t="shared" si="4"/>
        <v>1</v>
      </c>
      <c r="AC11" s="1571">
        <f t="shared" si="5"/>
        <v>1</v>
      </c>
    </row>
    <row r="12" spans="1:29" s="1337" customFormat="1" ht="27">
      <c r="A12" s="2940"/>
      <c r="B12" s="2945" t="s">
        <v>2760</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377"/>
      <c r="Q12" s="1150" t="str">
        <f t="shared" si="6"/>
        <v>土地使用年限（年）</v>
      </c>
      <c r="R12" s="1568" t="s">
        <v>8</v>
      </c>
      <c r="S12" s="1569">
        <f t="shared" si="0"/>
        <v>102</v>
      </c>
      <c r="T12" s="1568" t="s">
        <v>8</v>
      </c>
      <c r="U12" s="1569">
        <f t="shared" si="1"/>
        <v>102</v>
      </c>
      <c r="V12" s="1568" t="s">
        <v>8</v>
      </c>
      <c r="W12" s="1569">
        <f t="shared" si="2"/>
        <v>102</v>
      </c>
      <c r="X12" s="1570"/>
      <c r="Y12" s="3334"/>
      <c r="Z12" s="1149" t="str">
        <f t="shared" si="7"/>
        <v>土地使用年限（年）</v>
      </c>
      <c r="AA12" s="1571">
        <f t="shared" si="3"/>
        <v>0.98039215686274506</v>
      </c>
      <c r="AB12" s="1571">
        <f t="shared" si="4"/>
        <v>0.98039215686274506</v>
      </c>
      <c r="AC12" s="1571">
        <f t="shared" si="5"/>
        <v>0.98039215686274506</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7"/>
      <c r="Q13" s="1150" t="str">
        <f t="shared" si="6"/>
        <v>容积率</v>
      </c>
      <c r="R13" s="1568" t="s">
        <v>8</v>
      </c>
      <c r="S13" s="1569" t="e">
        <f t="shared" si="0"/>
        <v>#N/A</v>
      </c>
      <c r="T13" s="1568" t="s">
        <v>8</v>
      </c>
      <c r="U13" s="1569" t="e">
        <f t="shared" si="1"/>
        <v>#N/A</v>
      </c>
      <c r="V13" s="1568" t="s">
        <v>8</v>
      </c>
      <c r="W13" s="1569" t="e">
        <f t="shared" si="2"/>
        <v>#N/A</v>
      </c>
      <c r="X13" s="1570"/>
      <c r="Y13" s="3334"/>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7"/>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7"/>
      <c r="Q15" s="1150">
        <f t="shared" si="6"/>
        <v>111</v>
      </c>
      <c r="R15" s="1568" t="s">
        <v>8</v>
      </c>
      <c r="S15" s="1569">
        <f t="shared" si="0"/>
        <v>100</v>
      </c>
      <c r="T15" s="1568" t="s">
        <v>8</v>
      </c>
      <c r="U15" s="1569">
        <f t="shared" si="1"/>
        <v>100</v>
      </c>
      <c r="V15" s="1568" t="s">
        <v>8</v>
      </c>
      <c r="W15" s="1569">
        <f t="shared" si="2"/>
        <v>100</v>
      </c>
      <c r="X15" s="1570"/>
      <c r="Y15" s="3334"/>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7"/>
      <c r="Q16" s="1150">
        <f t="shared" si="6"/>
        <v>111</v>
      </c>
      <c r="R16" s="1568" t="s">
        <v>8</v>
      </c>
      <c r="S16" s="1569">
        <f t="shared" si="0"/>
        <v>100</v>
      </c>
      <c r="T16" s="1568" t="s">
        <v>8</v>
      </c>
      <c r="U16" s="1569">
        <f t="shared" si="1"/>
        <v>100</v>
      </c>
      <c r="V16" s="1568" t="s">
        <v>8</v>
      </c>
      <c r="W16" s="1569">
        <f t="shared" si="2"/>
        <v>100</v>
      </c>
      <c r="X16" s="1570"/>
      <c r="Y16" s="3334"/>
      <c r="Z16" s="1149">
        <f t="shared" si="7"/>
        <v>111</v>
      </c>
      <c r="AA16" s="1571">
        <f t="shared" si="3"/>
        <v>1</v>
      </c>
      <c r="AB16" s="1571">
        <f t="shared" si="4"/>
        <v>1</v>
      </c>
      <c r="AC16" s="1571">
        <f t="shared" si="5"/>
        <v>1</v>
      </c>
    </row>
    <row r="17" spans="1:29" ht="57">
      <c r="A17" s="2935" t="s">
        <v>2757</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9" t="s">
        <v>539</v>
      </c>
      <c r="Q17" s="1572" t="str">
        <f t="shared" si="6"/>
        <v>产业集聚程度</v>
      </c>
      <c r="R17" s="1573" t="s">
        <v>8</v>
      </c>
      <c r="S17" s="1574">
        <f t="shared" si="0"/>
        <v>100</v>
      </c>
      <c r="T17" s="1573" t="s">
        <v>8</v>
      </c>
      <c r="U17" s="1574">
        <f t="shared" si="1"/>
        <v>100</v>
      </c>
      <c r="V17" s="1573" t="s">
        <v>8</v>
      </c>
      <c r="W17" s="1574">
        <f t="shared" si="2"/>
        <v>100</v>
      </c>
      <c r="X17" s="1567"/>
      <c r="Y17" s="3379"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0"/>
      <c r="Q18" s="1572"/>
      <c r="R18" s="1573"/>
      <c r="S18" s="1574"/>
      <c r="T18" s="1573"/>
      <c r="U18" s="1574"/>
      <c r="V18" s="1573"/>
      <c r="W18" s="1574"/>
      <c r="X18" s="1567"/>
      <c r="Y18" s="3380"/>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0"/>
      <c r="Q19" s="1572" t="str">
        <f>B19</f>
        <v>交通便捷度</v>
      </c>
      <c r="R19" s="1573" t="s">
        <v>8</v>
      </c>
      <c r="S19" s="1574">
        <f>F19</f>
        <v>100</v>
      </c>
      <c r="T19" s="1573" t="s">
        <v>8</v>
      </c>
      <c r="U19" s="1574">
        <f>H19</f>
        <v>100</v>
      </c>
      <c r="V19" s="1573" t="s">
        <v>8</v>
      </c>
      <c r="W19" s="1574">
        <f>J19</f>
        <v>100</v>
      </c>
      <c r="X19" s="1567"/>
      <c r="Y19" s="338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80"/>
      <c r="Q20" s="1572"/>
      <c r="R20" s="1573"/>
      <c r="S20" s="1574"/>
      <c r="T20" s="1573"/>
      <c r="U20" s="1574"/>
      <c r="V20" s="1573"/>
      <c r="W20" s="1574"/>
      <c r="X20" s="1567"/>
      <c r="Y20" s="3380"/>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80"/>
      <c r="Q21" s="1572" t="str">
        <f t="shared" ref="Q21:Q35" si="8">B21</f>
        <v>区域土地利用方向</v>
      </c>
      <c r="R21" s="1573" t="s">
        <v>8</v>
      </c>
      <c r="S21" s="1574">
        <f>F21</f>
        <v>100</v>
      </c>
      <c r="T21" s="1573" t="s">
        <v>8</v>
      </c>
      <c r="U21" s="1574">
        <f>H21</f>
        <v>100</v>
      </c>
      <c r="V21" s="1573" t="s">
        <v>8</v>
      </c>
      <c r="W21" s="1574">
        <f>J21</f>
        <v>100</v>
      </c>
      <c r="X21" s="1567"/>
      <c r="Y21" s="338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80"/>
      <c r="Q22" s="1572"/>
      <c r="R22" s="1573"/>
      <c r="S22" s="1574"/>
      <c r="T22" s="1573"/>
      <c r="U22" s="1574"/>
      <c r="V22" s="1573"/>
      <c r="W22" s="1574"/>
      <c r="X22" s="1567"/>
      <c r="Y22" s="3380"/>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0"/>
      <c r="Q23" s="1572" t="str">
        <f t="shared" si="8"/>
        <v>环境状况</v>
      </c>
      <c r="R23" s="1573" t="s">
        <v>8</v>
      </c>
      <c r="S23" s="1574">
        <f>F23</f>
        <v>100</v>
      </c>
      <c r="T23" s="1573" t="s">
        <v>8</v>
      </c>
      <c r="U23" s="1574">
        <f>H23</f>
        <v>100</v>
      </c>
      <c r="V23" s="1573" t="s">
        <v>8</v>
      </c>
      <c r="W23" s="1574">
        <f>J23</f>
        <v>100</v>
      </c>
      <c r="X23" s="1567"/>
      <c r="Y23" s="338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0"/>
      <c r="Q24" s="1572"/>
      <c r="R24" s="1573"/>
      <c r="S24" s="1574"/>
      <c r="T24" s="1573"/>
      <c r="U24" s="1574"/>
      <c r="V24" s="1573"/>
      <c r="W24" s="1574"/>
      <c r="X24" s="1567"/>
      <c r="Y24" s="3380"/>
      <c r="Z24" s="1575"/>
      <c r="AA24" s="1576">
        <v>1</v>
      </c>
      <c r="AB24" s="1576">
        <v>1</v>
      </c>
      <c r="AC24" s="1576">
        <v>1</v>
      </c>
    </row>
    <row r="25" spans="1:29" s="1219" customFormat="1" ht="42.75">
      <c r="A25" s="577"/>
      <c r="B25" s="2618"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0"/>
      <c r="Q25" s="1150" t="str">
        <f t="shared" si="8"/>
        <v>公共配套设施</v>
      </c>
      <c r="R25" s="1568" t="s">
        <v>8</v>
      </c>
      <c r="S25" s="1569">
        <f>F25</f>
        <v>100</v>
      </c>
      <c r="T25" s="1568" t="s">
        <v>8</v>
      </c>
      <c r="U25" s="1569">
        <f>H25</f>
        <v>100</v>
      </c>
      <c r="V25" s="1568" t="s">
        <v>8</v>
      </c>
      <c r="W25" s="1569">
        <f>J25</f>
        <v>100</v>
      </c>
      <c r="X25" s="1570"/>
      <c r="Y25" s="3380"/>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380"/>
      <c r="Q26" s="1150"/>
      <c r="R26" s="1568"/>
      <c r="S26" s="1569"/>
      <c r="T26" s="1568"/>
      <c r="U26" s="1569"/>
      <c r="V26" s="1568"/>
      <c r="W26" s="1569"/>
      <c r="X26" s="1570"/>
      <c r="Y26" s="3380"/>
      <c r="Z26" s="1149"/>
      <c r="AA26" s="1571">
        <v>1</v>
      </c>
      <c r="AB26" s="1571">
        <v>1</v>
      </c>
      <c r="AC26" s="1571">
        <v>1</v>
      </c>
    </row>
    <row r="27" spans="1:29" s="1219" customFormat="1" ht="28.5">
      <c r="A27" s="577"/>
      <c r="B27" s="2618"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0"/>
      <c r="Q27" s="2603" t="str">
        <f t="shared" ref="Q27" si="9">B27</f>
        <v>基础设施水平</v>
      </c>
      <c r="R27" s="1568" t="s">
        <v>8</v>
      </c>
      <c r="S27" s="1569">
        <f>F27</f>
        <v>100</v>
      </c>
      <c r="T27" s="1568" t="s">
        <v>8</v>
      </c>
      <c r="U27" s="1569">
        <f>H27</f>
        <v>100</v>
      </c>
      <c r="V27" s="1568" t="s">
        <v>8</v>
      </c>
      <c r="W27" s="1569">
        <f>J27</f>
        <v>100</v>
      </c>
      <c r="X27" s="1570"/>
      <c r="Y27" s="3380"/>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380"/>
      <c r="Q28" s="2603"/>
      <c r="R28" s="1568"/>
      <c r="S28" s="1569"/>
      <c r="T28" s="1568"/>
      <c r="U28" s="1569"/>
      <c r="V28" s="1568"/>
      <c r="W28" s="1569"/>
      <c r="X28" s="1570"/>
      <c r="Y28" s="3380"/>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0"/>
      <c r="Z29" s="1575" t="str">
        <f t="shared" ref="Z29:Z42" si="13">Q29</f>
        <v>临街状况</v>
      </c>
      <c r="AA29" s="1576">
        <f t="shared" si="3"/>
        <v>1</v>
      </c>
      <c r="AB29" s="1576">
        <f t="shared" si="4"/>
        <v>1</v>
      </c>
      <c r="AC29" s="1576">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0"/>
      <c r="Q30" s="1572" t="str">
        <f t="shared" si="8"/>
        <v>毗邻道路的类型与等级</v>
      </c>
      <c r="R30" s="1573" t="s">
        <v>8</v>
      </c>
      <c r="S30" s="1574">
        <f t="shared" si="10"/>
        <v>100</v>
      </c>
      <c r="T30" s="1573" t="s">
        <v>8</v>
      </c>
      <c r="U30" s="1574">
        <f t="shared" si="11"/>
        <v>100</v>
      </c>
      <c r="V30" s="1573" t="s">
        <v>8</v>
      </c>
      <c r="W30" s="1574">
        <f t="shared" si="12"/>
        <v>100</v>
      </c>
      <c r="X30" s="1567"/>
      <c r="Y30" s="338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0"/>
      <c r="Q31" s="1572"/>
      <c r="R31" s="1573"/>
      <c r="S31" s="1574"/>
      <c r="T31" s="1573"/>
      <c r="U31" s="1574"/>
      <c r="V31" s="1573"/>
      <c r="W31" s="1574"/>
      <c r="X31" s="1567"/>
      <c r="Y31" s="3380"/>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0"/>
      <c r="Q32" s="1572" t="str">
        <f t="shared" si="8"/>
        <v>土地级别</v>
      </c>
      <c r="R32" s="1573" t="s">
        <v>8</v>
      </c>
      <c r="S32" s="1574">
        <f t="shared" si="10"/>
        <v>100</v>
      </c>
      <c r="T32" s="1573" t="s">
        <v>8</v>
      </c>
      <c r="U32" s="1574">
        <f t="shared" si="11"/>
        <v>100</v>
      </c>
      <c r="V32" s="1573" t="s">
        <v>8</v>
      </c>
      <c r="W32" s="1574">
        <f t="shared" si="12"/>
        <v>100</v>
      </c>
      <c r="X32" s="1567"/>
      <c r="Y32" s="338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0"/>
      <c r="Q33" s="1572">
        <f t="shared" si="8"/>
        <v>111</v>
      </c>
      <c r="R33" s="1573" t="s">
        <v>8</v>
      </c>
      <c r="S33" s="1574">
        <f t="shared" si="10"/>
        <v>100</v>
      </c>
      <c r="T33" s="1573" t="s">
        <v>8</v>
      </c>
      <c r="U33" s="1574">
        <f t="shared" si="11"/>
        <v>100</v>
      </c>
      <c r="V33" s="1573" t="s">
        <v>8</v>
      </c>
      <c r="W33" s="1574">
        <f t="shared" si="12"/>
        <v>100</v>
      </c>
      <c r="X33" s="1567"/>
      <c r="Y33" s="338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1" t="s">
        <v>549</v>
      </c>
      <c r="Q34" s="1572">
        <f t="shared" si="8"/>
        <v>111</v>
      </c>
      <c r="R34" s="1573" t="s">
        <v>8</v>
      </c>
      <c r="S34" s="1574">
        <f t="shared" si="10"/>
        <v>100</v>
      </c>
      <c r="T34" s="1573" t="s">
        <v>8</v>
      </c>
      <c r="U34" s="1574">
        <f t="shared" si="11"/>
        <v>100</v>
      </c>
      <c r="V34" s="1573" t="s">
        <v>8</v>
      </c>
      <c r="W34" s="1574">
        <f t="shared" si="12"/>
        <v>100</v>
      </c>
      <c r="X34" s="1567"/>
      <c r="Y34" s="3382" t="s">
        <v>549</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2"/>
      <c r="Q35" s="1572">
        <f t="shared" si="8"/>
        <v>111</v>
      </c>
      <c r="R35" s="1577" t="s">
        <v>8</v>
      </c>
      <c r="S35" s="1578">
        <f t="shared" si="10"/>
        <v>100</v>
      </c>
      <c r="T35" s="1577" t="s">
        <v>8</v>
      </c>
      <c r="U35" s="1578">
        <f t="shared" si="11"/>
        <v>100</v>
      </c>
      <c r="V35" s="1577" t="s">
        <v>8</v>
      </c>
      <c r="W35" s="1578">
        <f t="shared" si="12"/>
        <v>100</v>
      </c>
      <c r="X35" s="1579"/>
      <c r="Y35" s="3382"/>
      <c r="Z35" s="1580">
        <f t="shared" si="13"/>
        <v>111</v>
      </c>
      <c r="AA35" s="1576">
        <f t="shared" si="3"/>
        <v>1</v>
      </c>
      <c r="AB35" s="1576">
        <f t="shared" si="4"/>
        <v>1</v>
      </c>
      <c r="AC35" s="1576">
        <f t="shared" si="5"/>
        <v>1</v>
      </c>
    </row>
    <row r="36" spans="1:29" ht="15">
      <c r="A36" s="2932" t="s">
        <v>2758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2"/>
      <c r="Q36" s="1572" t="str">
        <f>B36</f>
        <v>宗地面积</v>
      </c>
      <c r="R36" s="1573" t="s">
        <v>8</v>
      </c>
      <c r="S36" s="1574" t="e">
        <f t="shared" si="10"/>
        <v>#N/A</v>
      </c>
      <c r="T36" s="1573" t="s">
        <v>8</v>
      </c>
      <c r="U36" s="1574" t="e">
        <f t="shared" si="11"/>
        <v>#N/A</v>
      </c>
      <c r="V36" s="1573" t="s">
        <v>8</v>
      </c>
      <c r="W36" s="1574" t="e">
        <f t="shared" si="12"/>
        <v>#N/A</v>
      </c>
      <c r="X36" s="1567"/>
      <c r="Y36" s="3382"/>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2"/>
      <c r="Q37" s="1572" t="str">
        <f t="shared" ref="Q37:Q42" si="14">B37</f>
        <v>宗地形状</v>
      </c>
      <c r="R37" s="1573" t="s">
        <v>8</v>
      </c>
      <c r="S37" s="1574">
        <f t="shared" si="10"/>
        <v>100</v>
      </c>
      <c r="T37" s="1573" t="s">
        <v>8</v>
      </c>
      <c r="U37" s="1574">
        <f t="shared" si="11"/>
        <v>100</v>
      </c>
      <c r="V37" s="1573" t="s">
        <v>8</v>
      </c>
      <c r="W37" s="1574">
        <f t="shared" si="12"/>
        <v>100</v>
      </c>
      <c r="X37" s="1567"/>
      <c r="Y37" s="3382"/>
      <c r="Z37" s="1575" t="str">
        <f t="shared" si="13"/>
        <v>宗地形状</v>
      </c>
      <c r="AA37" s="1576">
        <f t="shared" si="3"/>
        <v>1</v>
      </c>
      <c r="AB37" s="1576">
        <f t="shared" si="4"/>
        <v>1</v>
      </c>
      <c r="AC37" s="1576">
        <f t="shared" si="5"/>
        <v>1</v>
      </c>
    </row>
    <row r="38" spans="1:29" s="1219"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2"/>
      <c r="Q38" s="1572" t="str">
        <f t="shared" si="14"/>
        <v>宗地开发程度</v>
      </c>
      <c r="R38" s="1568" t="s">
        <v>8</v>
      </c>
      <c r="S38" s="1569">
        <f t="shared" si="10"/>
        <v>100</v>
      </c>
      <c r="T38" s="1568" t="s">
        <v>8</v>
      </c>
      <c r="U38" s="1569">
        <f t="shared" si="11"/>
        <v>100</v>
      </c>
      <c r="V38" s="1568" t="s">
        <v>8</v>
      </c>
      <c r="W38" s="1569">
        <f t="shared" si="12"/>
        <v>100</v>
      </c>
      <c r="X38" s="1570"/>
      <c r="Y38" s="3382"/>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2" t="s">
        <v>600</v>
      </c>
      <c r="Q39" s="1572" t="str">
        <f t="shared" si="14"/>
        <v>工程地质条件</v>
      </c>
      <c r="R39" s="1573" t="s">
        <v>8</v>
      </c>
      <c r="S39" s="1574">
        <f t="shared" si="10"/>
        <v>100</v>
      </c>
      <c r="T39" s="1573" t="s">
        <v>8</v>
      </c>
      <c r="U39" s="1574">
        <f t="shared" si="11"/>
        <v>100</v>
      </c>
      <c r="V39" s="1573" t="s">
        <v>8</v>
      </c>
      <c r="W39" s="1574">
        <f t="shared" si="12"/>
        <v>100</v>
      </c>
      <c r="X39" s="1567"/>
      <c r="Y39" s="3382"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2"/>
      <c r="Q40" s="1572">
        <f t="shared" si="14"/>
        <v>111</v>
      </c>
      <c r="R40" s="1573" t="s">
        <v>8</v>
      </c>
      <c r="S40" s="1574">
        <f t="shared" si="10"/>
        <v>100</v>
      </c>
      <c r="T40" s="1573" t="s">
        <v>8</v>
      </c>
      <c r="U40" s="1574">
        <f t="shared" si="11"/>
        <v>100</v>
      </c>
      <c r="V40" s="1573" t="s">
        <v>8</v>
      </c>
      <c r="W40" s="1574">
        <f t="shared" si="12"/>
        <v>100</v>
      </c>
      <c r="X40" s="1567"/>
      <c r="Y40" s="338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2"/>
      <c r="Q41" s="1572">
        <f t="shared" si="14"/>
        <v>111</v>
      </c>
      <c r="R41" s="1573" t="s">
        <v>8</v>
      </c>
      <c r="S41" s="1574">
        <f t="shared" si="10"/>
        <v>100</v>
      </c>
      <c r="T41" s="1573" t="s">
        <v>8</v>
      </c>
      <c r="U41" s="1574">
        <f t="shared" si="11"/>
        <v>100</v>
      </c>
      <c r="V41" s="1573" t="s">
        <v>8</v>
      </c>
      <c r="W41" s="1574">
        <f t="shared" si="12"/>
        <v>100</v>
      </c>
      <c r="X41" s="1567"/>
      <c r="Y41" s="3382"/>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2"/>
      <c r="Q42" s="1572">
        <f t="shared" si="14"/>
        <v>111</v>
      </c>
      <c r="R42" s="1577" t="s">
        <v>8</v>
      </c>
      <c r="S42" s="1578">
        <f t="shared" si="10"/>
        <v>100</v>
      </c>
      <c r="T42" s="1577" t="s">
        <v>8</v>
      </c>
      <c r="U42" s="1578">
        <f t="shared" si="11"/>
        <v>100</v>
      </c>
      <c r="V42" s="1577" t="s">
        <v>8</v>
      </c>
      <c r="W42" s="1578">
        <f t="shared" si="12"/>
        <v>100</v>
      </c>
      <c r="X42" s="1579"/>
      <c r="Y42" s="3382"/>
      <c r="Z42" s="1580">
        <f t="shared" si="13"/>
        <v>111</v>
      </c>
      <c r="AA42" s="1576">
        <f t="shared" si="3"/>
        <v>1</v>
      </c>
      <c r="AB42" s="1576">
        <f t="shared" si="4"/>
        <v>1</v>
      </c>
      <c r="AC42" s="1576">
        <f t="shared" si="5"/>
        <v>1</v>
      </c>
    </row>
    <row r="43" spans="1:29" ht="15">
      <c r="A43" s="607" t="s">
        <v>555</v>
      </c>
      <c r="B43" s="608" t="s">
        <v>2937</v>
      </c>
      <c r="C43" s="609" t="s">
        <v>1</v>
      </c>
      <c r="D43" s="610"/>
      <c r="E43" s="611"/>
      <c r="F43" s="612"/>
      <c r="G43" s="613"/>
      <c r="H43" s="614"/>
      <c r="I43" s="611"/>
      <c r="J43" s="614"/>
      <c r="K43" s="1339"/>
      <c r="L43" s="2145"/>
      <c r="M43" s="2135"/>
      <c r="N43" s="2135"/>
      <c r="O43" s="2146"/>
      <c r="P43" s="3377" t="str">
        <f>A43</f>
        <v>成交单价</v>
      </c>
      <c r="Q43" s="3377"/>
      <c r="R43" s="3391">
        <f>E43</f>
        <v>0</v>
      </c>
      <c r="S43" s="3391"/>
      <c r="T43" s="3391">
        <f>G43</f>
        <v>0</v>
      </c>
      <c r="U43" s="3391"/>
      <c r="V43" s="3391">
        <f>I43</f>
        <v>0</v>
      </c>
      <c r="W43" s="3391"/>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5"/>
      <c r="M44" s="2135"/>
      <c r="N44" s="2135"/>
      <c r="O44" s="2146"/>
      <c r="P44" s="3377" t="str">
        <f>A44</f>
        <v>比较价格（元/平方米）</v>
      </c>
      <c r="Q44" s="3377"/>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1" t="s">
        <v>2938</v>
      </c>
      <c r="B45" s="622"/>
      <c r="C45" s="623" t="e">
        <f>R45</f>
        <v>#DIV/0!</v>
      </c>
      <c r="D45" s="623"/>
      <c r="E45" s="623"/>
      <c r="F45" s="623"/>
      <c r="G45" s="623"/>
      <c r="H45" s="623"/>
      <c r="I45" s="623"/>
      <c r="J45" s="623"/>
      <c r="K45" s="1341"/>
      <c r="L45" s="2145"/>
      <c r="M45" s="2135"/>
      <c r="N45" s="2135"/>
      <c r="O45" s="2146"/>
      <c r="P45" s="3400" t="str">
        <f>A45</f>
        <v>估价对象XX用房的比较价格（楼面单价，元/平方米）</v>
      </c>
      <c r="Q45" s="3401"/>
      <c r="R45" s="3402" t="e">
        <f>ROUND(AVERAGE(R44:V44),0)</f>
        <v>#DIV/0!</v>
      </c>
      <c r="S45" s="3402"/>
      <c r="T45" s="3402"/>
      <c r="U45" s="3402"/>
      <c r="V45" s="3402"/>
      <c r="W45" s="340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14" t="s">
        <v>2286</v>
      </c>
      <c r="H52" s="3415"/>
      <c r="I52" s="1953" t="s">
        <v>1947</v>
      </c>
      <c r="J52" s="1555" t="str">
        <f>项目基本情况!F41</f>
        <v>河北省衡水市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152483.07</v>
      </c>
      <c r="F53" s="1951" t="e">
        <f t="shared" ref="F53:F62" si="15">ROUND(B53*E53/10000,0)</f>
        <v>#DIV/0!</v>
      </c>
      <c r="G53" s="3416"/>
      <c r="H53" s="341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18"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1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1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1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2296</v>
      </c>
      <c r="E63" s="643">
        <f>IF(B43="楼面地价",SUM(E53:E62),'数据-汇总表'!D3)</f>
        <v>38282.36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2652</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0</v>
      </c>
      <c r="E1" s="1406" t="s">
        <v>2430</v>
      </c>
      <c r="F1" s="2477"/>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2765</v>
      </c>
      <c r="S1" s="2961" t="s">
        <v>2766</v>
      </c>
      <c r="T1" s="2961" t="s">
        <v>2787</v>
      </c>
      <c r="U1" s="2961" t="s">
        <v>2788</v>
      </c>
      <c r="V1" s="2961" t="s">
        <v>2789</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2939</v>
      </c>
      <c r="G3" s="1038">
        <f>IF(F3="宗地容积率",'数据-汇总表'!I4,IF(F3="估价对象容积率",'数据-汇总表'!I6,'数据-汇总表'!I7))</f>
        <v>4.2</v>
      </c>
      <c r="H3" s="1414" t="s">
        <v>928</v>
      </c>
      <c r="I3" s="1039">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22" t="str">
        <f>IF(E2="商业",IF(C8="不临58条商业街","",2),"")</f>
        <v/>
      </c>
      <c r="B7" s="1427" t="s">
        <v>931</v>
      </c>
      <c r="C7" s="1042" t="e">
        <f>IF(C8="不临58条商业街",1,ROUND(1+(1.6*E8+1.2*E9+0.8*E10+0.4*E11)*C9,4))</f>
        <v>#DIV/0!</v>
      </c>
      <c r="D7" s="1428" t="s">
        <v>932</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2768</v>
      </c>
      <c r="X7" s="2952">
        <f>G2</f>
        <v>0</v>
      </c>
      <c r="Y7" s="2952" t="s">
        <v>2769</v>
      </c>
      <c r="Z7" s="2953">
        <f>G3</f>
        <v>4.2</v>
      </c>
      <c r="AA7" s="2193"/>
      <c r="AB7" s="2193"/>
      <c r="AC7" s="2194"/>
      <c r="AD7" s="2954"/>
      <c r="AE7" s="2954"/>
      <c r="AF7" s="2954"/>
      <c r="AG7" s="2954"/>
      <c r="AH7" s="2954"/>
      <c r="AI7" s="2954"/>
      <c r="AJ7" s="2955"/>
    </row>
    <row r="8" spans="1:39" ht="15">
      <c r="A8" s="3423"/>
      <c r="B8" s="1414" t="s">
        <v>933</v>
      </c>
      <c r="C8" s="1529"/>
      <c r="D8" s="1044" t="s">
        <v>934</v>
      </c>
      <c r="E8" s="1045"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32" t="s">
        <v>2786</v>
      </c>
      <c r="X8" s="3433"/>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23"/>
      <c r="B9" s="1414" t="s">
        <v>936</v>
      </c>
      <c r="C9" s="1046">
        <f>SUMIF(修正!C59:C119,C8,修正!E59:E119)</f>
        <v>0</v>
      </c>
      <c r="D9" s="1047" t="s">
        <v>937</v>
      </c>
      <c r="E9" s="1047"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31" t="s">
        <v>2782</v>
      </c>
      <c r="X9" s="2956" t="s">
        <v>2783</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3"/>
      <c r="B10" s="1414" t="s">
        <v>939</v>
      </c>
      <c r="C10" s="1047">
        <f>SUMIF(修正!C59:C119,C8,修正!F59:F119)</f>
        <v>0</v>
      </c>
      <c r="D10" s="1047" t="s">
        <v>940</v>
      </c>
      <c r="E10" s="1047"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3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3"/>
      <c r="B11" s="1435" t="s">
        <v>942</v>
      </c>
      <c r="C11" s="1048">
        <f>C10/4</f>
        <v>0</v>
      </c>
      <c r="D11" s="1048" t="s">
        <v>943</v>
      </c>
      <c r="E11" s="1048"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31" t="s">
        <v>2784</v>
      </c>
      <c r="X11" s="1047" t="s">
        <v>2769</v>
      </c>
      <c r="Y11" s="1653">
        <f>$G$3</f>
        <v>4.2</v>
      </c>
      <c r="Z11" s="1653">
        <f t="shared" ref="Z11:AJ11" si="3">$G$3</f>
        <v>4.2</v>
      </c>
      <c r="AA11" s="1653">
        <f t="shared" si="3"/>
        <v>4.2</v>
      </c>
      <c r="AB11" s="1653">
        <f t="shared" si="3"/>
        <v>4.2</v>
      </c>
      <c r="AC11" s="1653">
        <f t="shared" si="3"/>
        <v>4.2</v>
      </c>
      <c r="AD11" s="1653">
        <f t="shared" si="3"/>
        <v>4.2</v>
      </c>
      <c r="AE11" s="1653">
        <f t="shared" si="3"/>
        <v>4.2</v>
      </c>
      <c r="AF11" s="1653">
        <f t="shared" si="3"/>
        <v>4.2</v>
      </c>
      <c r="AG11" s="1653">
        <f t="shared" si="3"/>
        <v>4.2</v>
      </c>
      <c r="AH11" s="1653">
        <f t="shared" si="3"/>
        <v>4.2</v>
      </c>
      <c r="AI11" s="1653">
        <f t="shared" si="3"/>
        <v>4.2</v>
      </c>
      <c r="AJ11" s="1653">
        <f t="shared" si="3"/>
        <v>4.2</v>
      </c>
    </row>
    <row r="12" spans="1:39" ht="25.5" thickBot="1">
      <c r="A12" s="3422" t="s">
        <v>1871</v>
      </c>
      <c r="B12" s="1439" t="s">
        <v>945</v>
      </c>
      <c r="C12" s="1042">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31"/>
      <c r="X12" s="2959" t="s">
        <v>2785</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4"/>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31"/>
      <c r="X13" s="2959"/>
      <c r="Y13" s="2958">
        <f>(-0.163*(Y12^2)-0.59*Y12+7617)*(10^(-4))/Y11</f>
        <v>0.18135714285714286</v>
      </c>
      <c r="Z13" s="2958">
        <f t="shared" ref="Z13:AJ13" si="5">(-0.163*(Z12^2)-0.59*Z12+7617)*(10^(-4))/Z11</f>
        <v>0.18135714285714286</v>
      </c>
      <c r="AA13" s="2958">
        <f t="shared" si="5"/>
        <v>0.18135714285714286</v>
      </c>
      <c r="AB13" s="2958">
        <f t="shared" si="5"/>
        <v>0.18135714285714286</v>
      </c>
      <c r="AC13" s="2958">
        <f t="shared" si="5"/>
        <v>0.18135714285714286</v>
      </c>
      <c r="AD13" s="2958">
        <f t="shared" si="5"/>
        <v>0.18135714285714286</v>
      </c>
      <c r="AE13" s="2958">
        <f t="shared" si="5"/>
        <v>0.18135714285714286</v>
      </c>
      <c r="AF13" s="2958">
        <f t="shared" si="5"/>
        <v>0.18135714285714286</v>
      </c>
      <c r="AG13" s="2958">
        <f t="shared" si="5"/>
        <v>0.18135714285714286</v>
      </c>
      <c r="AH13" s="2958">
        <f t="shared" si="5"/>
        <v>0.18135714285714286</v>
      </c>
      <c r="AI13" s="2958">
        <f t="shared" si="5"/>
        <v>0.18135714285714286</v>
      </c>
      <c r="AJ13" s="2958">
        <f t="shared" si="5"/>
        <v>0.18135714285714286</v>
      </c>
    </row>
    <row r="14" spans="1:39" ht="12.75" customHeight="1" thickBot="1">
      <c r="A14" s="3424"/>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25"/>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22"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23"/>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ROUND(IF(H19="按公示增长率计算",SUMPRODUCT((地价!A3:A22=YEAR(G19)&amp;"-"&amp;ROUNDUP(MONTH(G19)/3,0))*(地价!X2:AB2=E2)*(地价!X3:AB22)),IF(H19="地价指数",M20/M19,(1+I19)^O19)),4)</f>
        <v>#DIV/0!</v>
      </c>
      <c r="D19" s="1474" t="s">
        <v>957</v>
      </c>
      <c r="E19" s="1057">
        <v>41640</v>
      </c>
      <c r="F19" s="1474" t="s">
        <v>958</v>
      </c>
      <c r="G19" s="1058">
        <f>'数据-取费表'!B2</f>
        <v>43215</v>
      </c>
      <c r="H19" s="1475" t="s">
        <v>2940</v>
      </c>
      <c r="I19" s="2809" t="str">
        <f>IF(H19="季度增幅（自定义）",SUMIF(N21:N24,E2,O21:O24),"")</f>
        <v/>
      </c>
      <c r="J19" s="1471"/>
      <c r="K19" s="1481"/>
      <c r="L19" s="3065" t="s">
        <v>2844</v>
      </c>
      <c r="M19" s="3066">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21">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7" t="s">
        <v>2845</v>
      </c>
      <c r="M20" s="3068">
        <f>ROUND(SUMPRODUCT((地价!A4:A22=YEAR(G19)&amp;"-"&amp;ROUNDUP(MONTH(G19)/3,0))*(地价!B2:F2=E2)*(地价!B4:F22)),0)</f>
        <v>0</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2764</v>
      </c>
      <c r="C21" s="1157">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4.2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8" t="s">
        <v>2967</v>
      </c>
      <c r="B33" s="1524" t="s">
        <v>999</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9"/>
      <c r="B34" s="1445" t="s">
        <v>1000</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9"/>
      <c r="B35" s="1445" t="s">
        <v>1001</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0"/>
      <c r="B36" s="1445" t="s">
        <v>1002</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1020</v>
      </c>
      <c r="B47" s="2436" t="str">
        <f>估价对象房地状况!C16</f>
        <v>估价对象位于XX商圈，周边商业氛围成熟，人流量大，商业繁华度好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1021</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123" t="s">
        <v>2942</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122" t="s">
        <v>2941</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1030</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1021</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123" t="s">
        <v>2943</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122" t="s">
        <v>2941</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34" t="str">
        <f>估价对象房地状况!C21</f>
        <v>估价对象所在区域公共配套设施齐备情况</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34" t="str">
        <f>估价对象房地状况!C22</f>
        <v>估价对象所在区域基础设施水平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1032</v>
      </c>
      <c r="B69" s="2436" t="str">
        <f>估价对象房地状况!C15</f>
        <v>估价对象周边居住用地比例、居住小区规模和社区发展完善程度，综合评价居住社区成熟度一般</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1033</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34" t="str">
        <f>估价对象房地状况!C21</f>
        <v>估价对象所在区域公共配套设施齐备情况</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34" t="str">
        <f>估价对象房地状况!C22</f>
        <v>估价对象所在区域基础设施水平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122" t="s">
        <v>2941</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1028</v>
      </c>
      <c r="B76" s="2436" t="str">
        <f>估价对象房地状况!C20</f>
        <v>区域自然环境：；人文环境；综合评价环境状况一般</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6" t="s">
        <v>1037</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1033</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1022</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1034</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1026</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1027</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1025</v>
      </c>
      <c r="B86" s="3122" t="s">
        <v>2941</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26" t="s">
        <v>1633</v>
      </c>
      <c r="B90" s="3426"/>
      <c r="C90" s="3426"/>
      <c r="D90" s="3426"/>
      <c r="E90" s="3426"/>
      <c r="F90" s="3426"/>
      <c r="G90" s="3426"/>
      <c r="H90" s="3426"/>
      <c r="I90" s="3426"/>
      <c r="J90" s="3426"/>
      <c r="K90" s="2475"/>
      <c r="L90" s="2475"/>
      <c r="M90" s="2475"/>
      <c r="N90" s="2475"/>
    </row>
    <row r="91" spans="1:40">
      <c r="A91" s="3427" t="s">
        <v>1443</v>
      </c>
      <c r="B91" s="3427" t="s">
        <v>1634</v>
      </c>
      <c r="C91" s="1139" t="s">
        <v>1635</v>
      </c>
      <c r="D91" s="1140"/>
      <c r="E91" s="1140"/>
      <c r="F91" s="1140"/>
      <c r="G91" s="1140"/>
      <c r="H91" s="1140"/>
      <c r="I91" s="1140"/>
      <c r="J91" s="1141"/>
      <c r="K91" s="1133"/>
      <c r="L91" s="1133"/>
      <c r="M91" s="1133"/>
      <c r="N91" s="1133"/>
    </row>
    <row r="92" spans="1:40">
      <c r="A92" s="3427"/>
      <c r="B92" s="3427"/>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34"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4" t="s">
        <v>1637</v>
      </c>
      <c r="B101" s="1146" t="s">
        <v>905</v>
      </c>
      <c r="C101" s="1147">
        <f>$G$3</f>
        <v>4.2</v>
      </c>
      <c r="D101" s="1147">
        <f t="shared" ref="D101:N101" si="31">$G$3</f>
        <v>4.2</v>
      </c>
      <c r="E101" s="1147">
        <f t="shared" si="31"/>
        <v>4.2</v>
      </c>
      <c r="F101" s="1147">
        <f t="shared" si="31"/>
        <v>4.2</v>
      </c>
      <c r="G101" s="1147">
        <f t="shared" si="31"/>
        <v>4.2</v>
      </c>
      <c r="H101" s="1147">
        <f t="shared" si="31"/>
        <v>4.2</v>
      </c>
      <c r="I101" s="1147">
        <f t="shared" si="31"/>
        <v>4.2</v>
      </c>
      <c r="J101" s="1147">
        <f t="shared" si="31"/>
        <v>4.2</v>
      </c>
      <c r="K101" s="1147">
        <f t="shared" si="31"/>
        <v>4.2</v>
      </c>
      <c r="L101" s="1147">
        <f t="shared" si="31"/>
        <v>4.2</v>
      </c>
      <c r="M101" s="1147">
        <f t="shared" si="31"/>
        <v>4.2</v>
      </c>
      <c r="N101" s="1147">
        <f t="shared" si="31"/>
        <v>4.2</v>
      </c>
    </row>
    <row r="102" spans="1:14">
      <c r="A102" s="3435"/>
      <c r="B102" s="1142">
        <v>1</v>
      </c>
      <c r="C102" s="1143">
        <f>1.9362/C101</f>
        <v>0.46099999999999997</v>
      </c>
      <c r="D102" s="1143">
        <f>1.9362/D101</f>
        <v>0.46099999999999997</v>
      </c>
      <c r="E102" s="1143">
        <f>1.8629/E101</f>
        <v>0.44354761904761902</v>
      </c>
      <c r="F102" s="1143">
        <f>1.8629/F101</f>
        <v>0.44354761904761902</v>
      </c>
      <c r="G102" s="1143">
        <f>1.8629/G101</f>
        <v>0.44354761904761902</v>
      </c>
      <c r="H102" s="1143">
        <f>1.8629/H101</f>
        <v>0.44354761904761902</v>
      </c>
      <c r="I102" s="1143">
        <f>1.8629/I101</f>
        <v>0.44354761904761902</v>
      </c>
      <c r="J102" s="1143">
        <f>1.942/J101</f>
        <v>0.46238095238095234</v>
      </c>
      <c r="K102" s="1143">
        <f>1.942/K101</f>
        <v>0.46238095238095234</v>
      </c>
      <c r="L102" s="1143">
        <f>1.942/L101</f>
        <v>0.46238095238095234</v>
      </c>
      <c r="M102" s="1143">
        <f>1.942/M101</f>
        <v>0.46238095238095234</v>
      </c>
      <c r="N102" s="1143">
        <f>1.942/N101</f>
        <v>0.46238095238095234</v>
      </c>
    </row>
    <row r="103" spans="1:14">
      <c r="A103" s="3435"/>
      <c r="B103" s="1142">
        <v>2</v>
      </c>
      <c r="C103" s="1143">
        <f>1.4198/C101</f>
        <v>0.33804761904761904</v>
      </c>
      <c r="D103" s="1143">
        <f>1.4198/D101</f>
        <v>0.33804761904761904</v>
      </c>
      <c r="E103" s="1143">
        <f>1.3372/E101</f>
        <v>0.31838095238095238</v>
      </c>
      <c r="F103" s="1143">
        <f>1.3372/F101</f>
        <v>0.31838095238095238</v>
      </c>
      <c r="G103" s="1143">
        <f>1.3372/G101</f>
        <v>0.31838095238095238</v>
      </c>
      <c r="H103" s="1143">
        <f>1.3372/H101</f>
        <v>0.31838095238095238</v>
      </c>
      <c r="I103" s="1143">
        <f>1.3372/I101</f>
        <v>0.31838095238095238</v>
      </c>
      <c r="J103" s="1143">
        <f>1.2799/J101</f>
        <v>0.30473809523809525</v>
      </c>
      <c r="K103" s="1143">
        <f>1.2799/K101</f>
        <v>0.30473809523809525</v>
      </c>
      <c r="L103" s="1143">
        <f>1.2799/L101</f>
        <v>0.30473809523809525</v>
      </c>
      <c r="M103" s="1143">
        <f>1.2799/M101</f>
        <v>0.30473809523809525</v>
      </c>
      <c r="N103" s="1143">
        <f>1.2799/N101</f>
        <v>0.30473809523809525</v>
      </c>
    </row>
    <row r="104" spans="1:14">
      <c r="A104" s="3435"/>
      <c r="B104" s="1142">
        <v>3</v>
      </c>
      <c r="C104" s="1143">
        <f>1.1594/C101</f>
        <v>0.27604761904761904</v>
      </c>
      <c r="D104" s="1143">
        <f>1.1594/D101</f>
        <v>0.27604761904761904</v>
      </c>
      <c r="E104" s="1143">
        <f>1.0788/E101</f>
        <v>0.25685714285714284</v>
      </c>
      <c r="F104" s="1143">
        <f>1.0788/F101</f>
        <v>0.25685714285714284</v>
      </c>
      <c r="G104" s="1143">
        <f>1.0788/G101</f>
        <v>0.25685714285714284</v>
      </c>
      <c r="H104" s="1143">
        <f>1.0788/H101</f>
        <v>0.25685714285714284</v>
      </c>
      <c r="I104" s="1143">
        <f>1.0788/I101</f>
        <v>0.25685714285714284</v>
      </c>
      <c r="J104" s="1143">
        <f>1.0072/J101</f>
        <v>0.23980952380952383</v>
      </c>
      <c r="K104" s="1143">
        <f>1.0072/K101</f>
        <v>0.23980952380952383</v>
      </c>
      <c r="L104" s="1143">
        <f>1.0072/L101</f>
        <v>0.23980952380952383</v>
      </c>
      <c r="M104" s="1143">
        <f>1.0072/M101</f>
        <v>0.23980952380952383</v>
      </c>
      <c r="N104" s="1143">
        <f>1.0072/N101</f>
        <v>0.23980952380952383</v>
      </c>
    </row>
    <row r="105" spans="1:14">
      <c r="A105" s="3435"/>
      <c r="B105" s="1142">
        <v>4</v>
      </c>
      <c r="C105" s="1143">
        <f>0.9622/C101</f>
        <v>0.2290952380952381</v>
      </c>
      <c r="D105" s="1143">
        <f>0.9622/D101</f>
        <v>0.2290952380952381</v>
      </c>
      <c r="E105" s="1143">
        <f>0.8656/E101</f>
        <v>0.20609523809523808</v>
      </c>
      <c r="F105" s="1143">
        <f>0.8656/F101</f>
        <v>0.20609523809523808</v>
      </c>
      <c r="G105" s="1143">
        <f>0.8656/G101</f>
        <v>0.20609523809523808</v>
      </c>
      <c r="H105" s="1143">
        <f>0.8656/H101</f>
        <v>0.20609523809523808</v>
      </c>
      <c r="I105" s="1143">
        <f>0.8656/I101</f>
        <v>0.20609523809523808</v>
      </c>
      <c r="J105" s="1143">
        <f>0.7525/J101</f>
        <v>0.17916666666666664</v>
      </c>
      <c r="K105" s="1143">
        <f>0.7525/K101</f>
        <v>0.17916666666666664</v>
      </c>
      <c r="L105" s="1143">
        <f>0.7525/L101</f>
        <v>0.17916666666666664</v>
      </c>
      <c r="M105" s="1143">
        <f>0.7525/M101</f>
        <v>0.17916666666666664</v>
      </c>
      <c r="N105" s="1143">
        <f>0.7525/N101</f>
        <v>0.17916666666666664</v>
      </c>
    </row>
    <row r="106" spans="1:14">
      <c r="A106" s="3435"/>
      <c r="B106" s="1142">
        <v>5</v>
      </c>
      <c r="C106" s="1143">
        <f>0.8417/C101</f>
        <v>0.20040476190476189</v>
      </c>
      <c r="D106" s="1143">
        <f>0.8417/D101</f>
        <v>0.20040476190476189</v>
      </c>
      <c r="E106" s="1143">
        <f>0.7371/E101</f>
        <v>0.17549999999999999</v>
      </c>
      <c r="F106" s="1143">
        <f>0.7371/F101</f>
        <v>0.17549999999999999</v>
      </c>
      <c r="G106" s="1143">
        <f>0.7371/G101</f>
        <v>0.17549999999999999</v>
      </c>
      <c r="H106" s="1143">
        <f>0.7371/H101</f>
        <v>0.17549999999999999</v>
      </c>
      <c r="I106" s="1143">
        <f>0.7371/I101</f>
        <v>0.17549999999999999</v>
      </c>
      <c r="J106" s="1143">
        <f>0.5659/J101</f>
        <v>0.13473809523809521</v>
      </c>
      <c r="K106" s="1143">
        <f>0.5659/K101</f>
        <v>0.13473809523809521</v>
      </c>
      <c r="L106" s="1143">
        <f>0.5659/L101</f>
        <v>0.13473809523809521</v>
      </c>
      <c r="M106" s="1143">
        <f>0.5659/M101</f>
        <v>0.13473809523809521</v>
      </c>
      <c r="N106" s="1143">
        <f>0.5659/N101</f>
        <v>0.13473809523809521</v>
      </c>
    </row>
    <row r="107" spans="1:14">
      <c r="A107" s="3435"/>
      <c r="B107" s="1142">
        <v>6</v>
      </c>
      <c r="C107" s="1143">
        <f>0.7608/C101</f>
        <v>0.18114285714285713</v>
      </c>
      <c r="D107" s="1143">
        <f>0.7608/D101</f>
        <v>0.18114285714285713</v>
      </c>
      <c r="E107" s="1143">
        <f>0.6482/E101</f>
        <v>0.15433333333333332</v>
      </c>
      <c r="F107" s="1143">
        <f>0.6482/F101</f>
        <v>0.15433333333333332</v>
      </c>
      <c r="G107" s="1143">
        <f>0.6482/G101</f>
        <v>0.15433333333333332</v>
      </c>
      <c r="H107" s="1143">
        <f>0.6482/H101</f>
        <v>0.15433333333333332</v>
      </c>
      <c r="I107" s="1143">
        <f>0.6482/I101</f>
        <v>0.15433333333333332</v>
      </c>
      <c r="J107" s="1143">
        <f>0.4525/J101</f>
        <v>0.10773809523809523</v>
      </c>
      <c r="K107" s="1143">
        <f>0.4525/K101</f>
        <v>0.10773809523809523</v>
      </c>
      <c r="L107" s="1143">
        <f>0.4525/L101</f>
        <v>0.10773809523809523</v>
      </c>
      <c r="M107" s="1143">
        <f>0.4525/M101</f>
        <v>0.10773809523809523</v>
      </c>
      <c r="N107" s="1143">
        <f>0.4525/N101</f>
        <v>0.10773809523809523</v>
      </c>
    </row>
    <row r="108" spans="1:14">
      <c r="A108" s="3435"/>
      <c r="B108" s="343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6"/>
      <c r="B109" s="3438"/>
      <c r="C109" s="1145">
        <f>(-0.163*(C108^2)-0.59*C108+7617)*(10^(-4))/C101</f>
        <v>0.18099638095238094</v>
      </c>
      <c r="D109" s="1145">
        <f>(-0.163*(D108^2)-0.59*D108+7617)*(10^(-4))/D101</f>
        <v>0.18099638095238094</v>
      </c>
      <c r="E109" s="1145">
        <f>(-0.161*(E108^2)-7.509*E108+6533)*(10^(-4))/E101</f>
        <v>0.15387200000000001</v>
      </c>
      <c r="F109" s="1145">
        <f>(-0.161*(F108^2)-7.509*F108+6533)*(10^(-4))/F101</f>
        <v>0.15387200000000001</v>
      </c>
      <c r="G109" s="1145">
        <f>(-0.161*(G108^2)-7.509*G108+6533)*(10^(-4))/G101</f>
        <v>0.15387200000000001</v>
      </c>
      <c r="H109" s="1145">
        <f>(-0.161*(H108^2)-7.509*H108+6533)*(10^(-4))/H101</f>
        <v>0.15387200000000001</v>
      </c>
      <c r="I109" s="1145">
        <f>(-0.161*(I108^2)-7.509*I108+6533)*(10^(-4))/I101</f>
        <v>0.15387200000000001</v>
      </c>
      <c r="J109" s="1145">
        <f>(-0.214*(J108^2)-21.991*J108+4665)*(10^(-4))/J101</f>
        <v>0.10655657142857143</v>
      </c>
      <c r="K109" s="1145">
        <f>(-0.214*(K108^2)-21.991*K108+4665)*(10^(-4))/K101</f>
        <v>0.10655657142857143</v>
      </c>
      <c r="L109" s="1145">
        <f>(-0.214*(L108^2)-21.991*L108+4665)*(10^(-4))/L101</f>
        <v>0.10655657142857143</v>
      </c>
      <c r="M109" s="1145">
        <f>(-0.214*(M108^2)-21.991*M108+4665)*(10^(-4))/M101</f>
        <v>0.10655657142857143</v>
      </c>
      <c r="N109" s="1145">
        <f>(-0.214*(N108^2)-21.991*N108+4665)*(10^(-4))/N101</f>
        <v>0.10655657142857143</v>
      </c>
    </row>
    <row r="110" spans="1:14">
      <c r="A110" s="3421" t="s">
        <v>1639</v>
      </c>
      <c r="B110" s="3421"/>
      <c r="C110" s="3421"/>
      <c r="D110" s="3421"/>
      <c r="E110" s="3421"/>
      <c r="F110" s="3421"/>
      <c r="G110" s="3421"/>
      <c r="H110" s="3421"/>
      <c r="I110" s="3421"/>
      <c r="J110" s="3421"/>
      <c r="K110" s="2473"/>
      <c r="L110" s="2473"/>
      <c r="M110" s="2473"/>
      <c r="N110" s="2473"/>
    </row>
    <row r="112" spans="1:14" ht="12.75" thickBot="1"/>
    <row r="113" spans="1:13" ht="25.5" thickBot="1">
      <c r="A113" s="1015" t="s">
        <v>895</v>
      </c>
      <c r="B113" s="2476">
        <f>G3</f>
        <v>4.2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0.89400000000000002</v>
      </c>
      <c r="C115" s="1029">
        <f>B115</f>
        <v>0.89400000000000002</v>
      </c>
      <c r="D115" s="1029">
        <f>ROUND(0.8331-0.0109*B113,4)</f>
        <v>0.7873</v>
      </c>
      <c r="E115" s="1029">
        <f>D115</f>
        <v>0.7873</v>
      </c>
      <c r="F115" s="1029">
        <f>E115</f>
        <v>0.7873</v>
      </c>
      <c r="G115" s="1029">
        <f>F115</f>
        <v>0.7873</v>
      </c>
      <c r="H115" s="1029">
        <f>G115</f>
        <v>0.7873</v>
      </c>
      <c r="I115" s="1029">
        <f>ROUND(0.689-0.0155*B113,4)</f>
        <v>0.62390000000000001</v>
      </c>
      <c r="J115" s="1029">
        <f t="shared" ref="J115:M118" si="33">I115</f>
        <v>0.62390000000000001</v>
      </c>
      <c r="K115" s="1029">
        <f t="shared" si="33"/>
        <v>0.62390000000000001</v>
      </c>
      <c r="L115" s="1029">
        <f t="shared" si="33"/>
        <v>0.62390000000000001</v>
      </c>
      <c r="M115" s="1030">
        <f t="shared" si="33"/>
        <v>0.62390000000000001</v>
      </c>
    </row>
    <row r="116" spans="1:13" ht="12.75">
      <c r="A116" s="1028" t="s">
        <v>900</v>
      </c>
      <c r="B116" s="1029">
        <f>ROUND(0.949-0.012*B113,4)</f>
        <v>0.89859999999999995</v>
      </c>
      <c r="C116" s="1029">
        <f>B116</f>
        <v>0.89859999999999995</v>
      </c>
      <c r="D116" s="1029">
        <f>ROUND(0.8567-0.013*B113,4)</f>
        <v>0.80210000000000004</v>
      </c>
      <c r="E116" s="1029">
        <f t="shared" ref="E116:H117" si="34">D116</f>
        <v>0.80210000000000004</v>
      </c>
      <c r="F116" s="1029">
        <f t="shared" si="34"/>
        <v>0.80210000000000004</v>
      </c>
      <c r="G116" s="1029">
        <f t="shared" si="34"/>
        <v>0.80210000000000004</v>
      </c>
      <c r="H116" s="1029">
        <f t="shared" si="34"/>
        <v>0.80210000000000004</v>
      </c>
      <c r="I116" s="1029">
        <f>ROUND(0.7694-0.014*B113,4)</f>
        <v>0.71060000000000001</v>
      </c>
      <c r="J116" s="1029">
        <f t="shared" si="33"/>
        <v>0.71060000000000001</v>
      </c>
      <c r="K116" s="1029">
        <f t="shared" si="33"/>
        <v>0.71060000000000001</v>
      </c>
      <c r="L116" s="1029">
        <f t="shared" si="33"/>
        <v>0.71060000000000001</v>
      </c>
      <c r="M116" s="1030">
        <f t="shared" si="33"/>
        <v>0.71060000000000001</v>
      </c>
    </row>
    <row r="117" spans="1:13" ht="12.75">
      <c r="A117" s="1031" t="s">
        <v>901</v>
      </c>
      <c r="B117" s="1029">
        <f>ROUND(0.8808-0.006*B113,4)</f>
        <v>0.85560000000000003</v>
      </c>
      <c r="C117" s="1029">
        <f>B117</f>
        <v>0.85560000000000003</v>
      </c>
      <c r="D117" s="1029">
        <f>ROUND(0.8748-0.008*B113,4)</f>
        <v>0.84119999999999995</v>
      </c>
      <c r="E117" s="1029">
        <f t="shared" si="34"/>
        <v>0.84119999999999995</v>
      </c>
      <c r="F117" s="1029">
        <f t="shared" si="34"/>
        <v>0.84119999999999995</v>
      </c>
      <c r="G117" s="1029">
        <f t="shared" si="34"/>
        <v>0.84119999999999995</v>
      </c>
      <c r="H117" s="1029">
        <f t="shared" si="34"/>
        <v>0.84119999999999995</v>
      </c>
      <c r="I117" s="1029">
        <f>ROUND(0.7412-0.0095*B113,4)</f>
        <v>0.70130000000000003</v>
      </c>
      <c r="J117" s="1029">
        <f t="shared" si="33"/>
        <v>0.70130000000000003</v>
      </c>
      <c r="K117" s="1029">
        <f t="shared" si="33"/>
        <v>0.70130000000000003</v>
      </c>
      <c r="L117" s="1029">
        <f t="shared" si="33"/>
        <v>0.70130000000000003</v>
      </c>
      <c r="M117" s="1030">
        <f t="shared" si="33"/>
        <v>0.70130000000000003</v>
      </c>
    </row>
    <row r="118" spans="1:13" ht="13.5" thickBot="1">
      <c r="A118" s="1032" t="s">
        <v>902</v>
      </c>
      <c r="B118" s="1033">
        <f>ROUND(0.7275-0.01*B113,4)</f>
        <v>0.6855</v>
      </c>
      <c r="C118" s="1033">
        <f>B118</f>
        <v>0.6855</v>
      </c>
      <c r="D118" s="1033">
        <f>ROUND(0.7043-0.012*B113,4)</f>
        <v>0.65390000000000004</v>
      </c>
      <c r="E118" s="1033">
        <f>D118</f>
        <v>0.65390000000000004</v>
      </c>
      <c r="F118" s="1033">
        <f>E118</f>
        <v>0.65390000000000004</v>
      </c>
      <c r="G118" s="1033">
        <f>ROUND(0.6299-0.0122*B113,4)</f>
        <v>0.57869999999999999</v>
      </c>
      <c r="H118" s="1033">
        <f>G118</f>
        <v>0.57869999999999999</v>
      </c>
      <c r="I118" s="1033">
        <f>ROUND(0.5667-0.0136*B113,4)</f>
        <v>0.50960000000000005</v>
      </c>
      <c r="J118" s="1033">
        <f t="shared" si="33"/>
        <v>0.50960000000000005</v>
      </c>
      <c r="K118" s="1033">
        <f t="shared" si="33"/>
        <v>0.50960000000000005</v>
      </c>
      <c r="L118" s="1033">
        <f t="shared" si="33"/>
        <v>0.50960000000000005</v>
      </c>
      <c r="M118" s="1034">
        <f t="shared" si="33"/>
        <v>0.50960000000000005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27" t="s">
        <v>1007</v>
      </c>
      <c r="B18" s="1153" t="s">
        <v>1446</v>
      </c>
      <c r="C18" s="1130" t="s">
        <v>1447</v>
      </c>
      <c r="D18" s="1131"/>
      <c r="E18" s="1153">
        <v>1</v>
      </c>
      <c r="F18" s="1132" t="s">
        <v>1448</v>
      </c>
      <c r="G18" s="1133"/>
      <c r="H18" s="1104"/>
      <c r="I18" s="1104"/>
    </row>
    <row r="19" spans="1:9" s="1599" customFormat="1" ht="19.5" customHeight="1">
      <c r="A19" s="3427"/>
      <c r="B19" s="3427" t="s">
        <v>1449</v>
      </c>
      <c r="C19" s="1130" t="s">
        <v>1450</v>
      </c>
      <c r="D19" s="1131"/>
      <c r="E19" s="1153">
        <v>0.9</v>
      </c>
      <c r="F19" s="1132" t="s">
        <v>1451</v>
      </c>
      <c r="G19" s="1133"/>
      <c r="H19" s="1104"/>
      <c r="I19" s="1104"/>
    </row>
    <row r="20" spans="1:9" s="1599" customFormat="1" ht="19.5" customHeight="1">
      <c r="A20" s="3427"/>
      <c r="B20" s="3427"/>
      <c r="C20" s="1130" t="s">
        <v>1452</v>
      </c>
      <c r="D20" s="1131"/>
      <c r="E20" s="1153">
        <v>1.1000000000000001</v>
      </c>
      <c r="F20" s="1132" t="s">
        <v>1453</v>
      </c>
      <c r="G20" s="1133"/>
      <c r="H20" s="1104"/>
      <c r="I20" s="1104"/>
    </row>
    <row r="21" spans="1:9" s="1599" customFormat="1" ht="19.5" customHeight="1">
      <c r="A21" s="3427"/>
      <c r="B21" s="3427"/>
      <c r="C21" s="1130" t="s">
        <v>1454</v>
      </c>
      <c r="D21" s="1131"/>
      <c r="E21" s="1153">
        <v>0.8</v>
      </c>
      <c r="F21" s="1132" t="s">
        <v>1455</v>
      </c>
      <c r="G21" s="1133"/>
      <c r="H21" s="1104"/>
      <c r="I21" s="1104"/>
    </row>
    <row r="22" spans="1:9" s="1599" customFormat="1" ht="19.5" customHeight="1">
      <c r="A22" s="3427"/>
      <c r="B22" s="3427"/>
      <c r="C22" s="1130" t="s">
        <v>1456</v>
      </c>
      <c r="D22" s="1131"/>
      <c r="E22" s="1153">
        <v>0.5</v>
      </c>
      <c r="F22" s="1132"/>
      <c r="G22" s="1133"/>
      <c r="H22" s="1104"/>
      <c r="I22" s="1104"/>
    </row>
    <row r="23" spans="1:9" s="1599" customFormat="1" ht="19.5" customHeight="1">
      <c r="A23" s="3427" t="s">
        <v>1029</v>
      </c>
      <c r="B23" s="1153" t="s">
        <v>1446</v>
      </c>
      <c r="C23" s="1130" t="s">
        <v>1457</v>
      </c>
      <c r="D23" s="1131"/>
      <c r="E23" s="1153">
        <v>1</v>
      </c>
      <c r="F23" s="1132" t="s">
        <v>1458</v>
      </c>
      <c r="G23" s="1133"/>
      <c r="H23" s="1104"/>
      <c r="I23" s="1104"/>
    </row>
    <row r="24" spans="1:9" s="1599" customFormat="1" ht="19.5" customHeight="1">
      <c r="A24" s="3427"/>
      <c r="B24" s="3427" t="s">
        <v>1449</v>
      </c>
      <c r="C24" s="1130" t="s">
        <v>1459</v>
      </c>
      <c r="D24" s="1131"/>
      <c r="E24" s="1153">
        <v>0.5</v>
      </c>
      <c r="F24" s="1132"/>
      <c r="G24" s="1133"/>
      <c r="H24" s="1104"/>
      <c r="I24" s="1104"/>
    </row>
    <row r="25" spans="1:9" s="1599" customFormat="1" ht="19.5" customHeight="1">
      <c r="A25" s="3427"/>
      <c r="B25" s="3427"/>
      <c r="C25" s="1130" t="s">
        <v>1460</v>
      </c>
      <c r="D25" s="1131"/>
      <c r="E25" s="1153">
        <v>1.1000000000000001</v>
      </c>
      <c r="F25" s="1132"/>
      <c r="G25" s="1133"/>
      <c r="H25" s="1104"/>
      <c r="I25" s="1104"/>
    </row>
    <row r="26" spans="1:9" s="1599" customFormat="1" ht="19.5" customHeight="1">
      <c r="A26" s="3427"/>
      <c r="B26" s="3427"/>
      <c r="C26" s="1130" t="s">
        <v>1461</v>
      </c>
      <c r="D26" s="1131"/>
      <c r="E26" s="1153">
        <v>1.1000000000000001</v>
      </c>
      <c r="F26" s="1132"/>
      <c r="G26" s="1133"/>
      <c r="H26" s="1104"/>
      <c r="I26" s="1104"/>
    </row>
    <row r="27" spans="1:9" s="1599" customFormat="1" ht="19.5" customHeight="1">
      <c r="A27" s="3427"/>
      <c r="B27" s="3427"/>
      <c r="C27" s="1130" t="s">
        <v>1462</v>
      </c>
      <c r="D27" s="1131"/>
      <c r="E27" s="1153">
        <v>0.9</v>
      </c>
      <c r="F27" s="1132" t="s">
        <v>1463</v>
      </c>
      <c r="G27" s="1133"/>
      <c r="H27" s="1104"/>
      <c r="I27" s="1104"/>
    </row>
    <row r="28" spans="1:9" s="1599" customFormat="1" ht="19.5" customHeight="1">
      <c r="A28" s="3427"/>
      <c r="B28" s="3427"/>
      <c r="C28" s="1130" t="s">
        <v>1464</v>
      </c>
      <c r="D28" s="1131"/>
      <c r="E28" s="1153">
        <v>0.9</v>
      </c>
      <c r="F28" s="1132" t="s">
        <v>1465</v>
      </c>
      <c r="G28" s="1133"/>
      <c r="H28" s="1104"/>
      <c r="I28" s="1104"/>
    </row>
    <row r="29" spans="1:9" s="1599" customFormat="1" ht="19.5" customHeight="1">
      <c r="A29" s="3427"/>
      <c r="B29" s="3427"/>
      <c r="C29" s="1130" t="s">
        <v>1466</v>
      </c>
      <c r="D29" s="1131"/>
      <c r="E29" s="1153">
        <v>0.9</v>
      </c>
      <c r="F29" s="1132" t="s">
        <v>1467</v>
      </c>
      <c r="G29" s="1133"/>
      <c r="H29" s="1104"/>
      <c r="I29" s="1104"/>
    </row>
    <row r="30" spans="1:9" s="1599" customFormat="1" ht="19.5" customHeight="1">
      <c r="A30" s="3427"/>
      <c r="B30" s="3427"/>
      <c r="C30" s="1130" t="s">
        <v>1468</v>
      </c>
      <c r="D30" s="1131"/>
      <c r="E30" s="1153">
        <v>0.9</v>
      </c>
      <c r="F30" s="1132" t="s">
        <v>1469</v>
      </c>
      <c r="G30" s="1133"/>
      <c r="H30" s="1104"/>
      <c r="I30" s="1104"/>
    </row>
    <row r="31" spans="1:9" s="1599" customFormat="1" ht="19.5" customHeight="1">
      <c r="A31" s="3427"/>
      <c r="B31" s="3427"/>
      <c r="C31" s="1130" t="s">
        <v>1470</v>
      </c>
      <c r="D31" s="1131"/>
      <c r="E31" s="1153">
        <v>0.8</v>
      </c>
      <c r="F31" s="1132" t="s">
        <v>1471</v>
      </c>
      <c r="G31" s="1133"/>
      <c r="H31" s="1104"/>
      <c r="I31" s="1104"/>
    </row>
    <row r="32" spans="1:9" s="1599" customFormat="1" ht="19.5" customHeight="1">
      <c r="A32" s="3427"/>
      <c r="B32" s="3427"/>
      <c r="C32" s="1130" t="s">
        <v>1472</v>
      </c>
      <c r="D32" s="1131"/>
      <c r="E32" s="1153">
        <v>0.8</v>
      </c>
      <c r="F32" s="1132" t="s">
        <v>1473</v>
      </c>
      <c r="G32" s="1133"/>
      <c r="H32" s="1104"/>
      <c r="I32" s="1104"/>
    </row>
    <row r="33" spans="1:9" s="1599" customFormat="1" ht="19.5" customHeight="1">
      <c r="A33" s="3427" t="s">
        <v>1474</v>
      </c>
      <c r="B33" s="1153" t="s">
        <v>1446</v>
      </c>
      <c r="C33" s="1130" t="s">
        <v>1475</v>
      </c>
      <c r="D33" s="1131"/>
      <c r="E33" s="1153">
        <v>1</v>
      </c>
      <c r="F33" s="1132" t="s">
        <v>1476</v>
      </c>
      <c r="G33" s="1133"/>
      <c r="H33" s="1104"/>
      <c r="I33" s="1104"/>
    </row>
    <row r="34" spans="1:9" s="1599" customFormat="1" ht="19.5" customHeight="1">
      <c r="A34" s="3427"/>
      <c r="B34" s="1153" t="s">
        <v>1449</v>
      </c>
      <c r="C34" s="1130" t="s">
        <v>1477</v>
      </c>
      <c r="D34" s="1131"/>
      <c r="E34" s="1153">
        <v>1.5</v>
      </c>
      <c r="F34" s="1132" t="s">
        <v>1478</v>
      </c>
      <c r="G34" s="1133"/>
      <c r="H34" s="1104"/>
      <c r="I34" s="1104"/>
    </row>
    <row r="35" spans="1:9" s="1599" customFormat="1" ht="19.5" customHeight="1">
      <c r="A35" s="3427" t="s">
        <v>1432</v>
      </c>
      <c r="B35" s="1153" t="s">
        <v>1446</v>
      </c>
      <c r="C35" s="1130" t="s">
        <v>1479</v>
      </c>
      <c r="D35" s="1131"/>
      <c r="E35" s="1153">
        <v>1</v>
      </c>
      <c r="F35" s="1132" t="s">
        <v>1480</v>
      </c>
      <c r="G35" s="1133"/>
      <c r="H35" s="1104"/>
      <c r="I35" s="1104"/>
    </row>
    <row r="36" spans="1:9" s="1599" customFormat="1" ht="19.5" customHeight="1">
      <c r="A36" s="3427"/>
      <c r="B36" s="3427" t="s">
        <v>1449</v>
      </c>
      <c r="C36" s="1130" t="s">
        <v>1481</v>
      </c>
      <c r="D36" s="1131"/>
      <c r="E36" s="1153">
        <v>1</v>
      </c>
      <c r="F36" s="1132" t="s">
        <v>1482</v>
      </c>
      <c r="G36" s="1133"/>
      <c r="H36" s="1104"/>
      <c r="I36" s="1104"/>
    </row>
    <row r="37" spans="1:9" s="1599" customFormat="1" ht="19.5" customHeight="1">
      <c r="A37" s="3427"/>
      <c r="B37" s="3427"/>
      <c r="C37" s="1130" t="s">
        <v>1483</v>
      </c>
      <c r="D37" s="1131"/>
      <c r="E37" s="1153">
        <v>1.5</v>
      </c>
      <c r="F37" s="1132" t="s">
        <v>1484</v>
      </c>
      <c r="G37" s="1133"/>
      <c r="H37" s="1104"/>
      <c r="I37" s="1104"/>
    </row>
    <row r="38" spans="1:9" s="1599" customFormat="1" ht="19.5" customHeight="1">
      <c r="A38" s="3427"/>
      <c r="B38" s="3427"/>
      <c r="C38" s="1130" t="s">
        <v>1485</v>
      </c>
      <c r="D38" s="1131"/>
      <c r="E38" s="1153">
        <v>1</v>
      </c>
      <c r="F38" s="1132" t="s">
        <v>1486</v>
      </c>
      <c r="G38" s="1133"/>
      <c r="H38" s="1104"/>
      <c r="I38" s="1104"/>
    </row>
    <row r="39" spans="1:9" s="1599" customFormat="1" ht="19.5" customHeight="1">
      <c r="A39" s="3427"/>
      <c r="B39" s="3427"/>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7" t="s">
        <v>1501</v>
      </c>
      <c r="C61" s="1067" t="s">
        <v>1502</v>
      </c>
      <c r="D61" s="1067" t="s">
        <v>1503</v>
      </c>
      <c r="E61" s="1138">
        <v>0.5</v>
      </c>
      <c r="F61" s="1153">
        <v>80</v>
      </c>
      <c r="H61" s="1104">
        <f>SUMIF(C59:C119,基准地价!C8,E59:E119)</f>
        <v>0</v>
      </c>
    </row>
    <row r="62" spans="1:8" s="1104" customFormat="1" ht="24">
      <c r="A62" s="1153">
        <v>2</v>
      </c>
      <c r="B62" s="3427"/>
      <c r="C62" s="1067" t="s">
        <v>1504</v>
      </c>
      <c r="D62" s="1067" t="s">
        <v>1505</v>
      </c>
      <c r="E62" s="1138">
        <v>0.5</v>
      </c>
      <c r="F62" s="1153">
        <v>80</v>
      </c>
    </row>
    <row r="63" spans="1:8" s="1104" customFormat="1" ht="36">
      <c r="A63" s="1153">
        <v>3</v>
      </c>
      <c r="B63" s="3427"/>
      <c r="C63" s="1067" t="s">
        <v>1506</v>
      </c>
      <c r="D63" s="1067" t="s">
        <v>1507</v>
      </c>
      <c r="E63" s="1138">
        <v>0.5</v>
      </c>
      <c r="F63" s="1153">
        <v>80</v>
      </c>
    </row>
    <row r="64" spans="1:8" s="1104" customFormat="1" ht="36">
      <c r="A64" s="1153">
        <v>4</v>
      </c>
      <c r="B64" s="3427"/>
      <c r="C64" s="1067" t="s">
        <v>1508</v>
      </c>
      <c r="D64" s="1067" t="s">
        <v>1509</v>
      </c>
      <c r="E64" s="1138">
        <v>0.4</v>
      </c>
      <c r="F64" s="1153">
        <v>60</v>
      </c>
    </row>
    <row r="65" spans="1:6" s="1104" customFormat="1" ht="36">
      <c r="A65" s="1153">
        <v>5</v>
      </c>
      <c r="B65" s="3427"/>
      <c r="C65" s="1067" t="s">
        <v>1510</v>
      </c>
      <c r="D65" s="1067" t="s">
        <v>1511</v>
      </c>
      <c r="E65" s="1138">
        <v>0.2</v>
      </c>
      <c r="F65" s="1153">
        <v>30</v>
      </c>
    </row>
    <row r="66" spans="1:6" s="1104" customFormat="1" ht="36">
      <c r="A66" s="1153">
        <v>6</v>
      </c>
      <c r="B66" s="3427"/>
      <c r="C66" s="1067" t="s">
        <v>1512</v>
      </c>
      <c r="D66" s="1067" t="s">
        <v>1513</v>
      </c>
      <c r="E66" s="1138">
        <v>0.3</v>
      </c>
      <c r="F66" s="1153">
        <v>50</v>
      </c>
    </row>
    <row r="67" spans="1:6" s="1104" customFormat="1" ht="36">
      <c r="A67" s="1153">
        <v>7</v>
      </c>
      <c r="B67" s="3427"/>
      <c r="C67" s="1067" t="s">
        <v>1514</v>
      </c>
      <c r="D67" s="1067" t="s">
        <v>1515</v>
      </c>
      <c r="E67" s="1138">
        <v>0.2</v>
      </c>
      <c r="F67" s="1153">
        <v>30</v>
      </c>
    </row>
    <row r="68" spans="1:6" s="1104" customFormat="1" ht="36">
      <c r="A68" s="1153">
        <v>8</v>
      </c>
      <c r="B68" s="3427"/>
      <c r="C68" s="1067" t="s">
        <v>1516</v>
      </c>
      <c r="D68" s="1067" t="s">
        <v>1517</v>
      </c>
      <c r="E68" s="1138">
        <v>0.2</v>
      </c>
      <c r="F68" s="1153">
        <v>30</v>
      </c>
    </row>
    <row r="69" spans="1:6" s="1104" customFormat="1" ht="36">
      <c r="A69" s="1153">
        <v>9</v>
      </c>
      <c r="B69" s="3427"/>
      <c r="C69" s="1067" t="s">
        <v>1518</v>
      </c>
      <c r="D69" s="1067" t="s">
        <v>1519</v>
      </c>
      <c r="E69" s="1138">
        <v>0.2</v>
      </c>
      <c r="F69" s="1153">
        <v>30</v>
      </c>
    </row>
    <row r="70" spans="1:6" s="1104" customFormat="1" ht="48">
      <c r="A70" s="1153">
        <v>10</v>
      </c>
      <c r="B70" s="3427"/>
      <c r="C70" s="1067" t="s">
        <v>1520</v>
      </c>
      <c r="D70" s="1067" t="s">
        <v>1521</v>
      </c>
      <c r="E70" s="1138">
        <v>0.2</v>
      </c>
      <c r="F70" s="1153">
        <v>30</v>
      </c>
    </row>
    <row r="71" spans="1:6" s="1104" customFormat="1" ht="48">
      <c r="A71" s="1153">
        <v>11</v>
      </c>
      <c r="B71" s="3427"/>
      <c r="C71" s="1067" t="s">
        <v>1522</v>
      </c>
      <c r="D71" s="1067" t="s">
        <v>1523</v>
      </c>
      <c r="E71" s="1138">
        <v>0.2</v>
      </c>
      <c r="F71" s="1153">
        <v>30</v>
      </c>
    </row>
    <row r="72" spans="1:6" s="1104" customFormat="1" ht="36">
      <c r="A72" s="1153">
        <v>12</v>
      </c>
      <c r="B72" s="3427"/>
      <c r="C72" s="1067" t="s">
        <v>1524</v>
      </c>
      <c r="D72" s="1067" t="s">
        <v>1525</v>
      </c>
      <c r="E72" s="1138">
        <v>0.5</v>
      </c>
      <c r="F72" s="1153">
        <v>80</v>
      </c>
    </row>
    <row r="73" spans="1:6" s="1104" customFormat="1" ht="24">
      <c r="A73" s="1153">
        <v>13</v>
      </c>
      <c r="B73" s="3427"/>
      <c r="C73" s="1067" t="s">
        <v>1526</v>
      </c>
      <c r="D73" s="1067" t="s">
        <v>1527</v>
      </c>
      <c r="E73" s="1138">
        <v>0.4</v>
      </c>
      <c r="F73" s="1153">
        <v>60</v>
      </c>
    </row>
    <row r="74" spans="1:6" s="1104" customFormat="1" ht="24">
      <c r="A74" s="1153">
        <v>14</v>
      </c>
      <c r="B74" s="3427"/>
      <c r="C74" s="1067" t="s">
        <v>1528</v>
      </c>
      <c r="D74" s="1067" t="s">
        <v>1529</v>
      </c>
      <c r="E74" s="1138">
        <v>0.2</v>
      </c>
      <c r="F74" s="1153">
        <v>30</v>
      </c>
    </row>
    <row r="75" spans="1:6" s="1104" customFormat="1" ht="24">
      <c r="A75" s="1153">
        <v>15</v>
      </c>
      <c r="B75" s="3427"/>
      <c r="C75" s="1067" t="s">
        <v>1530</v>
      </c>
      <c r="D75" s="1067" t="s">
        <v>1531</v>
      </c>
      <c r="E75" s="1138">
        <v>0.2</v>
      </c>
      <c r="F75" s="1153">
        <v>30</v>
      </c>
    </row>
    <row r="76" spans="1:6" s="1104" customFormat="1" ht="24">
      <c r="A76" s="1153">
        <v>16</v>
      </c>
      <c r="B76" s="3427" t="s">
        <v>1532</v>
      </c>
      <c r="C76" s="1067" t="s">
        <v>1533</v>
      </c>
      <c r="D76" s="1067" t="s">
        <v>1534</v>
      </c>
      <c r="E76" s="1138">
        <v>0.5</v>
      </c>
      <c r="F76" s="1153">
        <v>80</v>
      </c>
    </row>
    <row r="77" spans="1:6" s="1104" customFormat="1" ht="24">
      <c r="A77" s="1153">
        <v>17</v>
      </c>
      <c r="B77" s="3427"/>
      <c r="C77" s="1067" t="s">
        <v>1535</v>
      </c>
      <c r="D77" s="1067" t="s">
        <v>1536</v>
      </c>
      <c r="E77" s="1138">
        <v>0.5</v>
      </c>
      <c r="F77" s="1153">
        <v>80</v>
      </c>
    </row>
    <row r="78" spans="1:6" s="1104" customFormat="1" ht="24">
      <c r="A78" s="1153">
        <v>18</v>
      </c>
      <c r="B78" s="3427"/>
      <c r="C78" s="1067" t="s">
        <v>1537</v>
      </c>
      <c r="D78" s="1067" t="s">
        <v>1538</v>
      </c>
      <c r="E78" s="1138">
        <v>0.2</v>
      </c>
      <c r="F78" s="1153">
        <v>30</v>
      </c>
    </row>
    <row r="79" spans="1:6" s="1104" customFormat="1" ht="24">
      <c r="A79" s="1153">
        <v>19</v>
      </c>
      <c r="B79" s="3427"/>
      <c r="C79" s="1067" t="s">
        <v>1539</v>
      </c>
      <c r="D79" s="1067" t="s">
        <v>1540</v>
      </c>
      <c r="E79" s="1138">
        <v>0.5</v>
      </c>
      <c r="F79" s="1153">
        <v>80</v>
      </c>
    </row>
    <row r="80" spans="1:6" s="1104" customFormat="1" ht="36">
      <c r="A80" s="1153">
        <v>20</v>
      </c>
      <c r="B80" s="3427"/>
      <c r="C80" s="1067" t="s">
        <v>1541</v>
      </c>
      <c r="D80" s="1067" t="s">
        <v>1542</v>
      </c>
      <c r="E80" s="1138">
        <v>0.2</v>
      </c>
      <c r="F80" s="1153">
        <v>30</v>
      </c>
    </row>
    <row r="81" spans="1:6" s="1104" customFormat="1" ht="36">
      <c r="A81" s="1153">
        <v>21</v>
      </c>
      <c r="B81" s="3427"/>
      <c r="C81" s="1067" t="s">
        <v>1543</v>
      </c>
      <c r="D81" s="1067" t="s">
        <v>1544</v>
      </c>
      <c r="E81" s="1138">
        <v>0.2</v>
      </c>
      <c r="F81" s="1153">
        <v>30</v>
      </c>
    </row>
    <row r="82" spans="1:6" s="1104" customFormat="1" ht="48">
      <c r="A82" s="1153">
        <v>22</v>
      </c>
      <c r="B82" s="3427"/>
      <c r="C82" s="1067" t="s">
        <v>1545</v>
      </c>
      <c r="D82" s="1067" t="s">
        <v>1546</v>
      </c>
      <c r="E82" s="1138">
        <v>0.2</v>
      </c>
      <c r="F82" s="1153">
        <v>30</v>
      </c>
    </row>
    <row r="83" spans="1:6" s="1104" customFormat="1" ht="48">
      <c r="A83" s="1153">
        <v>23</v>
      </c>
      <c r="B83" s="3427"/>
      <c r="C83" s="1067" t="s">
        <v>1547</v>
      </c>
      <c r="D83" s="1067" t="s">
        <v>1548</v>
      </c>
      <c r="E83" s="1138">
        <v>0.2</v>
      </c>
      <c r="F83" s="1153">
        <v>30</v>
      </c>
    </row>
    <row r="84" spans="1:6" s="1104" customFormat="1" ht="36">
      <c r="A84" s="1153">
        <v>24</v>
      </c>
      <c r="B84" s="3427"/>
      <c r="C84" s="1067" t="s">
        <v>1549</v>
      </c>
      <c r="D84" s="1067" t="s">
        <v>1550</v>
      </c>
      <c r="E84" s="1138">
        <v>0.2</v>
      </c>
      <c r="F84" s="1153">
        <v>30</v>
      </c>
    </row>
    <row r="85" spans="1:6" s="1104" customFormat="1" ht="36">
      <c r="A85" s="1153">
        <v>25</v>
      </c>
      <c r="B85" s="3427"/>
      <c r="C85" s="1067" t="s">
        <v>1551</v>
      </c>
      <c r="D85" s="1067" t="s">
        <v>1552</v>
      </c>
      <c r="E85" s="1138">
        <v>0.5</v>
      </c>
      <c r="F85" s="1153">
        <v>80</v>
      </c>
    </row>
    <row r="86" spans="1:6" s="1104" customFormat="1" ht="36">
      <c r="A86" s="1153">
        <v>26</v>
      </c>
      <c r="B86" s="3427"/>
      <c r="C86" s="1067" t="s">
        <v>1553</v>
      </c>
      <c r="D86" s="1067" t="s">
        <v>1554</v>
      </c>
      <c r="E86" s="1138">
        <v>0.2</v>
      </c>
      <c r="F86" s="1153">
        <v>30</v>
      </c>
    </row>
    <row r="87" spans="1:6" s="1104" customFormat="1" ht="36">
      <c r="A87" s="1153">
        <v>27</v>
      </c>
      <c r="B87" s="3427"/>
      <c r="C87" s="1067" t="s">
        <v>1555</v>
      </c>
      <c r="D87" s="1067" t="s">
        <v>1556</v>
      </c>
      <c r="E87" s="1138">
        <v>0.2</v>
      </c>
      <c r="F87" s="1153">
        <v>30</v>
      </c>
    </row>
    <row r="88" spans="1:6" s="1104" customFormat="1" ht="36">
      <c r="A88" s="1153">
        <v>28</v>
      </c>
      <c r="B88" s="3427"/>
      <c r="C88" s="1067" t="s">
        <v>1557</v>
      </c>
      <c r="D88" s="1067" t="s">
        <v>1558</v>
      </c>
      <c r="E88" s="1138">
        <v>0.2</v>
      </c>
      <c r="F88" s="1153">
        <v>30</v>
      </c>
    </row>
    <row r="89" spans="1:6" s="1104" customFormat="1" ht="24">
      <c r="A89" s="1153">
        <v>29</v>
      </c>
      <c r="B89" s="3427"/>
      <c r="C89" s="1067" t="s">
        <v>1559</v>
      </c>
      <c r="D89" s="1067" t="s">
        <v>1560</v>
      </c>
      <c r="E89" s="1138">
        <v>0.2</v>
      </c>
      <c r="F89" s="1153">
        <v>30</v>
      </c>
    </row>
    <row r="90" spans="1:6" s="1104" customFormat="1" ht="24">
      <c r="A90" s="1153">
        <v>30</v>
      </c>
      <c r="B90" s="3427"/>
      <c r="C90" s="1067" t="s">
        <v>1561</v>
      </c>
      <c r="D90" s="1067" t="s">
        <v>1562</v>
      </c>
      <c r="E90" s="1138">
        <v>0.2</v>
      </c>
      <c r="F90" s="1153">
        <v>30</v>
      </c>
    </row>
    <row r="91" spans="1:6" s="1104" customFormat="1" ht="36">
      <c r="A91" s="1153">
        <v>31</v>
      </c>
      <c r="B91" s="3427"/>
      <c r="C91" s="1067" t="s">
        <v>1563</v>
      </c>
      <c r="D91" s="1067" t="s">
        <v>1564</v>
      </c>
      <c r="E91" s="1138">
        <v>0.2</v>
      </c>
      <c r="F91" s="1153">
        <v>30</v>
      </c>
    </row>
    <row r="92" spans="1:6" s="1104" customFormat="1" ht="24">
      <c r="A92" s="1153">
        <v>32</v>
      </c>
      <c r="B92" s="3427" t="s">
        <v>1565</v>
      </c>
      <c r="C92" s="1153" t="s">
        <v>1566</v>
      </c>
      <c r="D92" s="1067" t="s">
        <v>1567</v>
      </c>
      <c r="E92" s="1138">
        <v>0.2</v>
      </c>
      <c r="F92" s="1153">
        <v>30</v>
      </c>
    </row>
    <row r="93" spans="1:6" s="1104" customFormat="1" ht="36">
      <c r="A93" s="1153">
        <v>33</v>
      </c>
      <c r="B93" s="3427"/>
      <c r="C93" s="1153" t="s">
        <v>1568</v>
      </c>
      <c r="D93" s="1067" t="s">
        <v>1569</v>
      </c>
      <c r="E93" s="1138">
        <v>0.2</v>
      </c>
      <c r="F93" s="1153">
        <v>30</v>
      </c>
    </row>
    <row r="94" spans="1:6" s="1104" customFormat="1" ht="48">
      <c r="A94" s="1153">
        <v>34</v>
      </c>
      <c r="B94" s="3427"/>
      <c r="C94" s="1153" t="s">
        <v>1570</v>
      </c>
      <c r="D94" s="1067" t="s">
        <v>1571</v>
      </c>
      <c r="E94" s="1138">
        <v>0.2</v>
      </c>
      <c r="F94" s="1153">
        <v>30</v>
      </c>
    </row>
    <row r="95" spans="1:6" s="1104" customFormat="1" ht="36">
      <c r="A95" s="1153">
        <v>35</v>
      </c>
      <c r="B95" s="3427"/>
      <c r="C95" s="1153" t="s">
        <v>1572</v>
      </c>
      <c r="D95" s="1067" t="s">
        <v>1573</v>
      </c>
      <c r="E95" s="1138">
        <v>0.2</v>
      </c>
      <c r="F95" s="1153">
        <v>30</v>
      </c>
    </row>
    <row r="96" spans="1:6" s="1104" customFormat="1" ht="48">
      <c r="A96" s="1153">
        <v>36</v>
      </c>
      <c r="B96" s="3427"/>
      <c r="C96" s="1067" t="s">
        <v>1574</v>
      </c>
      <c r="D96" s="1067" t="s">
        <v>1575</v>
      </c>
      <c r="E96" s="1138">
        <v>0.2</v>
      </c>
      <c r="F96" s="1153">
        <v>30</v>
      </c>
    </row>
    <row r="97" spans="1:6" s="1104" customFormat="1" ht="36">
      <c r="A97" s="1153">
        <v>37</v>
      </c>
      <c r="B97" s="3427"/>
      <c r="C97" s="1153" t="s">
        <v>1576</v>
      </c>
      <c r="D97" s="1067" t="s">
        <v>1577</v>
      </c>
      <c r="E97" s="1138">
        <v>0.2</v>
      </c>
      <c r="F97" s="1153">
        <v>30</v>
      </c>
    </row>
    <row r="98" spans="1:6" s="1104" customFormat="1" ht="36">
      <c r="A98" s="1153">
        <v>38</v>
      </c>
      <c r="B98" s="3427"/>
      <c r="C98" s="1153" t="s">
        <v>1578</v>
      </c>
      <c r="D98" s="1067" t="s">
        <v>1579</v>
      </c>
      <c r="E98" s="1138">
        <v>0.2</v>
      </c>
      <c r="F98" s="1153">
        <v>30</v>
      </c>
    </row>
    <row r="99" spans="1:6" s="1104" customFormat="1" ht="36">
      <c r="A99" s="1153">
        <v>39</v>
      </c>
      <c r="B99" s="3427" t="s">
        <v>1580</v>
      </c>
      <c r="C99" s="1153" t="s">
        <v>1581</v>
      </c>
      <c r="D99" s="1067" t="s">
        <v>1582</v>
      </c>
      <c r="E99" s="1138">
        <v>0.3</v>
      </c>
      <c r="F99" s="1153">
        <v>50</v>
      </c>
    </row>
    <row r="100" spans="1:6" s="1104" customFormat="1" ht="24">
      <c r="A100" s="1153">
        <v>40</v>
      </c>
      <c r="B100" s="3427"/>
      <c r="C100" s="1153" t="s">
        <v>1583</v>
      </c>
      <c r="D100" s="1067" t="s">
        <v>1584</v>
      </c>
      <c r="E100" s="1138">
        <v>0.2</v>
      </c>
      <c r="F100" s="1153">
        <v>30</v>
      </c>
    </row>
    <row r="101" spans="1:6" s="1104" customFormat="1" ht="36">
      <c r="A101" s="1153">
        <v>41</v>
      </c>
      <c r="B101" s="342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7" t="s">
        <v>1595</v>
      </c>
      <c r="C105" s="1153" t="s">
        <v>1596</v>
      </c>
      <c r="D105" s="1067" t="s">
        <v>1597</v>
      </c>
      <c r="E105" s="1138">
        <v>0.2</v>
      </c>
      <c r="F105" s="1153">
        <v>30</v>
      </c>
    </row>
    <row r="106" spans="1:6" s="1104" customFormat="1" ht="36">
      <c r="A106" s="1153">
        <v>46</v>
      </c>
      <c r="B106" s="3427"/>
      <c r="C106" s="1153" t="s">
        <v>1598</v>
      </c>
      <c r="D106" s="1067" t="s">
        <v>1599</v>
      </c>
      <c r="E106" s="1138">
        <v>0.2</v>
      </c>
      <c r="F106" s="1153">
        <v>30</v>
      </c>
    </row>
    <row r="107" spans="1:6" s="1104" customFormat="1" ht="36">
      <c r="A107" s="1153">
        <v>47</v>
      </c>
      <c r="B107" s="3427" t="s">
        <v>1600</v>
      </c>
      <c r="C107" s="1153" t="s">
        <v>1601</v>
      </c>
      <c r="D107" s="1067" t="s">
        <v>1602</v>
      </c>
      <c r="E107" s="1138">
        <v>0.3</v>
      </c>
      <c r="F107" s="1153">
        <v>50</v>
      </c>
    </row>
    <row r="108" spans="1:6" s="1104" customFormat="1" ht="36">
      <c r="A108" s="1153">
        <v>48</v>
      </c>
      <c r="B108" s="342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7" t="s">
        <v>1611</v>
      </c>
      <c r="C111" s="1153" t="s">
        <v>1612</v>
      </c>
      <c r="D111" s="1067" t="s">
        <v>1613</v>
      </c>
      <c r="E111" s="1138">
        <v>0.2</v>
      </c>
      <c r="F111" s="1153">
        <v>30</v>
      </c>
    </row>
    <row r="112" spans="1:6" s="1104" customFormat="1" ht="24">
      <c r="A112" s="1153">
        <v>52</v>
      </c>
      <c r="B112" s="3427"/>
      <c r="C112" s="1153" t="s">
        <v>1614</v>
      </c>
      <c r="D112" s="1067" t="s">
        <v>1615</v>
      </c>
      <c r="E112" s="1138">
        <v>0.2</v>
      </c>
      <c r="F112" s="1153">
        <v>30</v>
      </c>
    </row>
    <row r="113" spans="1:14" s="1104" customFormat="1" ht="24">
      <c r="A113" s="1153">
        <v>53</v>
      </c>
      <c r="B113" s="342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7" t="s">
        <v>1624</v>
      </c>
      <c r="C116" s="1153" t="s">
        <v>1625</v>
      </c>
      <c r="D116" s="1067" t="s">
        <v>1626</v>
      </c>
      <c r="E116" s="1138">
        <v>0.2</v>
      </c>
      <c r="F116" s="1153">
        <v>30</v>
      </c>
    </row>
    <row r="117" spans="1:14" ht="36">
      <c r="A117" s="1153">
        <v>57</v>
      </c>
      <c r="B117" s="342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6" t="s">
        <v>1633</v>
      </c>
      <c r="B121" s="3426"/>
      <c r="C121" s="3426"/>
      <c r="D121" s="3426"/>
      <c r="E121" s="3426"/>
      <c r="F121" s="3426"/>
      <c r="G121" s="3426"/>
      <c r="H121" s="3426"/>
      <c r="I121" s="3426"/>
      <c r="J121" s="34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9" t="s">
        <v>1039</v>
      </c>
      <c r="B1" s="3439"/>
      <c r="C1" s="3439"/>
      <c r="D1" s="3439"/>
      <c r="E1" s="3439"/>
      <c r="F1" s="343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0" t="s">
        <v>1052</v>
      </c>
      <c r="B2" s="3440"/>
      <c r="C2" s="3440"/>
      <c r="D2" s="3440"/>
      <c r="E2" s="3440"/>
      <c r="F2" s="344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2425</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2426</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3" t="s">
        <v>2081</v>
      </c>
      <c r="B1" s="3443"/>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t="e">
        <f ca="1">SUMIF(B7:B14,"&lt;&gt;#ref!",B7:B14)</f>
        <v>#DIV/0!</v>
      </c>
      <c r="C2" s="3136" t="s">
        <v>2950</v>
      </c>
      <c r="D2" s="3135"/>
      <c r="E2" s="3135"/>
      <c r="F2" s="3135"/>
    </row>
    <row r="3" spans="1:6" ht="14.25">
      <c r="A3" s="3136" t="s">
        <v>2952</v>
      </c>
      <c r="B3" s="3137" t="e">
        <f ca="1">ROUND(B2*10000/E3,0)</f>
        <v>#DIV/0!</v>
      </c>
      <c r="C3" s="3136" t="s">
        <v>2080</v>
      </c>
      <c r="D3" s="3136" t="s">
        <v>2951</v>
      </c>
      <c r="E3" s="3137" t="e">
        <f ca="1">SUM(E7:E14)</f>
        <v>#REF!</v>
      </c>
      <c r="F3" s="3135"/>
    </row>
    <row r="4" spans="1:6" ht="14.25">
      <c r="A4" s="3136" t="s">
        <v>2959</v>
      </c>
      <c r="B4" s="3137" t="e">
        <f ca="1">ROUND(B2*10000/E4,0)</f>
        <v>#DIV/0!</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t="e">
        <f ca="1">SUMIF(INDIRECT("'"&amp;A7&amp;"'"&amp;"!A:A"),"总价",INDIRECT("'"&amp;A7&amp;"'"&amp;"!B:B"))</f>
        <v>#DIV/0!</v>
      </c>
      <c r="C7" s="3136" t="s">
        <v>2950</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衡水斯凯学园房地产开发有限公司：</v>
      </c>
    </row>
    <row r="4" spans="1:4" ht="37.5">
      <c r="A4" s="1792"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7" spans="1:4" ht="56.25">
      <c r="A7" s="1796" t="s">
        <v>2750</v>
      </c>
    </row>
    <row r="8" spans="1:4" ht="18.75">
      <c r="A8" s="1795" t="s">
        <v>1906</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2018年4月25日（评估专业人员勘察现场之日）</v>
      </c>
    </row>
    <row r="12" spans="1:4" ht="18.75">
      <c r="A12" s="1798" t="s">
        <v>2027</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根据《国有土地使用证》[]，估价对象（分摊）出让国有建设用地使用权面积为38282.36平方米。根据《建设工程规划许可证》[]、《出让合同》[]，估价对象规划建筑面积为195134.96平方米。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商业2052年11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7</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445" t="s">
        <v>2466</v>
      </c>
      <c r="C8" s="1826">
        <f ca="1">ROUND(F8*F10*F9*(1-F11)/10000,0)</f>
        <v>0</v>
      </c>
      <c r="D8" s="1823" t="s">
        <v>2537</v>
      </c>
      <c r="E8" s="61" t="s">
        <v>636</v>
      </c>
      <c r="F8" s="785">
        <f ca="1">INDIRECT("'数据-取费表'!u"&amp;$G$1)</f>
        <v>0</v>
      </c>
      <c r="G8" s="1592"/>
      <c r="H8" s="2529" t="s">
        <v>1824</v>
      </c>
      <c r="I8" s="3445" t="s">
        <v>2466</v>
      </c>
      <c r="J8" s="783">
        <f ca="1">ROUND(M8*M10*M9*(1-M11)/10000,0)</f>
        <v>0</v>
      </c>
      <c r="K8" s="341" t="s">
        <v>2537</v>
      </c>
      <c r="L8" s="784" t="s">
        <v>1738</v>
      </c>
      <c r="M8" s="785">
        <f ca="1">INDIRECT("'数据-取费表'!z"&amp;$G$1)</f>
        <v>0</v>
      </c>
    </row>
    <row r="9" spans="1:25" ht="18" customHeight="1">
      <c r="A9" s="2525"/>
      <c r="B9" s="3446"/>
      <c r="C9" s="1827"/>
      <c r="D9" s="1824"/>
      <c r="E9" s="61" t="s">
        <v>637</v>
      </c>
      <c r="F9" s="785">
        <f ca="1">IF(INDIRECT("'数据-取费表'!ah"&amp;$G$1)="",INDIRECT("'数据-取费表'!k"&amp;$G$1),INDIRECT("'数据-取费表'!ah"&amp;$G$1))</f>
        <v>0</v>
      </c>
      <c r="G9" s="1592"/>
      <c r="H9" s="2514"/>
      <c r="I9" s="3446"/>
      <c r="J9" s="788"/>
      <c r="K9" s="789"/>
      <c r="L9" s="784" t="s">
        <v>1739</v>
      </c>
      <c r="M9" s="785">
        <f ca="1">F9</f>
        <v>0</v>
      </c>
    </row>
    <row r="10" spans="1:25" ht="18" customHeight="1">
      <c r="A10" s="2518"/>
      <c r="B10" s="3447"/>
      <c r="C10" s="1827"/>
      <c r="D10" s="1824"/>
      <c r="E10" s="61" t="s">
        <v>638</v>
      </c>
      <c r="F10" s="785">
        <f ca="1">INDIRECT("'数据-取费表'!ai"&amp;$G$1)</f>
        <v>0</v>
      </c>
      <c r="G10" s="1592"/>
      <c r="H10" s="2514"/>
      <c r="I10" s="3447"/>
      <c r="J10" s="788"/>
      <c r="K10" s="789"/>
      <c r="L10" s="784" t="s">
        <v>1740</v>
      </c>
      <c r="M10" s="785">
        <f ca="1">INDIRECT("'数据-取费表'!ai"&amp;$G$1)</f>
        <v>0</v>
      </c>
    </row>
    <row r="11" spans="1:25" ht="18" customHeight="1">
      <c r="A11" s="786"/>
      <c r="B11" s="3448"/>
      <c r="C11" s="1827"/>
      <c r="D11" s="1824"/>
      <c r="E11" s="61" t="s">
        <v>639</v>
      </c>
      <c r="F11" s="794">
        <f ca="1">INDIRECT("'数据-取费表'!w"&amp;$G$1)</f>
        <v>0</v>
      </c>
      <c r="G11" s="1592"/>
      <c r="H11" s="2530"/>
      <c r="I11" s="3447"/>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2980</v>
      </c>
      <c r="E12" s="2523" t="s">
        <v>2467</v>
      </c>
      <c r="F12" s="2646"/>
      <c r="G12" s="1592"/>
      <c r="H12" s="2586" t="s">
        <v>1825</v>
      </c>
      <c r="I12" s="2591" t="s">
        <v>2462</v>
      </c>
      <c r="J12" s="783">
        <f ca="1">ROUND(IF(M12="押一",J8/12*M13,IF(M12="押二",J8/12*2*M13,IF(M12="押三",J8/12*3*M13,J13*M13))),0)</f>
        <v>0</v>
      </c>
      <c r="K12" s="2526" t="s">
        <v>2980</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2828</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4</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2</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2825</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2826</v>
      </c>
      <c r="C31" s="2569">
        <f ca="1">ROUND((C21+C22+C25+C28)/(1-F23-C26-C29-C30),0)</f>
        <v>0</v>
      </c>
      <c r="D31" s="2570"/>
      <c r="E31" s="2571"/>
      <c r="F31" s="2572"/>
      <c r="G31" s="1593"/>
      <c r="H31" s="823" t="s">
        <v>1872</v>
      </c>
      <c r="I31" s="3037" t="s">
        <v>2827</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4</v>
      </c>
      <c r="G36" s="2063"/>
      <c r="H36" s="2066"/>
      <c r="I36" s="3444"/>
      <c r="J36" s="2080"/>
      <c r="K36" s="2081"/>
      <c r="L36" s="2080"/>
      <c r="M36" s="2080"/>
    </row>
    <row r="37" spans="1:18" ht="18" customHeight="1">
      <c r="A37" s="815"/>
      <c r="B37" s="793"/>
      <c r="C37" s="69"/>
      <c r="D37" s="816"/>
      <c r="E37" s="784" t="s">
        <v>673</v>
      </c>
      <c r="F37" s="785">
        <f ca="1">INDIRECT("'数据-取费表'!r"&amp;$G$1)</f>
        <v>0</v>
      </c>
      <c r="G37" s="2063"/>
      <c r="H37" s="2066"/>
      <c r="I37" s="3444"/>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54" t="s">
        <v>2968</v>
      </c>
      <c r="F43" s="315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63">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5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str">
        <f ca="1">IF(M48="住宅",0,IF(L49&gt;J52,L61,J61))</f>
        <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0</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49"/>
      <c r="L54" s="3450"/>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1678</v>
      </c>
      <c r="K57" s="2384" t="s">
        <v>2365</v>
      </c>
      <c r="L57" s="2393">
        <f ca="1">IF(L49&lt;J52,"——",L49-J52)</f>
        <v>0</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3" t="s">
        <v>2579</v>
      </c>
      <c r="C1" s="3453"/>
      <c r="D1" s="3453"/>
      <c r="E1" s="3453"/>
      <c r="F1" s="3453"/>
      <c r="G1" s="3452" t="s">
        <v>2580</v>
      </c>
      <c r="H1" s="3452"/>
      <c r="I1" s="3452"/>
      <c r="J1" s="3452"/>
      <c r="K1" s="3452"/>
      <c r="L1" s="3452"/>
      <c r="N1" s="3452" t="s">
        <v>2581</v>
      </c>
      <c r="O1" s="3452"/>
      <c r="P1" s="3452"/>
      <c r="Q1" s="3452"/>
      <c r="R1" s="2679"/>
      <c r="S1" s="3452" t="s">
        <v>2582</v>
      </c>
      <c r="T1" s="3452"/>
      <c r="U1" s="3452"/>
      <c r="V1" s="3452"/>
      <c r="X1" s="3451" t="s">
        <v>2642</v>
      </c>
      <c r="Y1" s="3452"/>
      <c r="Z1" s="3452"/>
      <c r="AA1" s="3452"/>
      <c r="AB1" s="3452"/>
      <c r="AD1" s="3451" t="s">
        <v>2646</v>
      </c>
      <c r="AE1" s="3452"/>
      <c r="AF1" s="3452"/>
      <c r="AG1" s="3452"/>
      <c r="AH1" s="3452"/>
    </row>
    <row r="2" spans="1:34" s="2781" customFormat="1" ht="14.25" thickBot="1">
      <c r="B2" s="2789" t="s">
        <v>2583</v>
      </c>
      <c r="C2" s="2789" t="s">
        <v>2644</v>
      </c>
      <c r="D2" s="2782" t="s">
        <v>1644</v>
      </c>
      <c r="E2" s="2782" t="s">
        <v>1951</v>
      </c>
      <c r="F2" s="2789" t="s">
        <v>2645</v>
      </c>
      <c r="G2" s="2785"/>
      <c r="H2" s="2784"/>
      <c r="I2" s="2789" t="s">
        <v>2962</v>
      </c>
      <c r="J2" s="2782" t="s">
        <v>2964</v>
      </c>
      <c r="K2" s="2782" t="s">
        <v>2965</v>
      </c>
      <c r="L2" s="2789" t="s">
        <v>2966</v>
      </c>
      <c r="N2" s="2789" t="s">
        <v>2583</v>
      </c>
      <c r="O2" s="2782" t="s">
        <v>2963</v>
      </c>
      <c r="P2" s="2782" t="s">
        <v>1951</v>
      </c>
      <c r="Q2" s="2789" t="s">
        <v>2645</v>
      </c>
      <c r="R2" s="2783"/>
      <c r="S2" s="2789" t="s">
        <v>2583</v>
      </c>
      <c r="T2" s="2782" t="s">
        <v>2963</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6" customFormat="1" ht="14.25">
      <c r="A3" s="3178" t="s">
        <v>2975</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2982</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2976</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2983</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2973</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2977</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460">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55"/>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455"/>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456"/>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454">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55"/>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455"/>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456"/>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454">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55"/>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455"/>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456"/>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457">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58"/>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458"/>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459"/>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454">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455"/>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455"/>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456"/>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454">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55">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455">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456">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454">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55">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455">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456">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454">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55">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455">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456">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454">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55">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455">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456">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454">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55">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455">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456">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454">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55">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455">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456">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454">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55">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455">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456">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454">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55">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455">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456">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454">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455">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455">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456">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454">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455">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455">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456">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c r="D1" s="3157"/>
      <c r="E1" s="2412" t="s">
        <v>2377</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t="e">
        <f ca="1">C40+J29+L46</f>
        <v>#DIV/0!</v>
      </c>
      <c r="C2" s="2058"/>
      <c r="D2" s="2056"/>
      <c r="E2" s="2057"/>
      <c r="F2" s="2057"/>
      <c r="G2" s="1590"/>
      <c r="H2" s="2058"/>
      <c r="I2" s="2058"/>
      <c r="J2" s="2058"/>
      <c r="K2" s="2059"/>
      <c r="L2" s="2058"/>
      <c r="M2" s="2058"/>
    </row>
    <row r="3" spans="1:33" ht="18" customHeight="1" thickBot="1">
      <c r="A3" s="833" t="s">
        <v>1727</v>
      </c>
      <c r="B3" s="834">
        <f ca="1">IF(ISERROR(B2*10000/F43),0,ROUND(B2*10000/F43,0))</f>
        <v>0</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0</v>
      </c>
      <c r="D5" s="2521" t="s">
        <v>2464</v>
      </c>
      <c r="E5" s="2515"/>
      <c r="F5" s="2516"/>
      <c r="G5" s="1592"/>
      <c r="H5" s="781">
        <v>1</v>
      </c>
      <c r="I5" s="782" t="s">
        <v>2461</v>
      </c>
      <c r="J5" s="55">
        <f ca="1">J6+J10+J12</f>
        <v>0</v>
      </c>
      <c r="K5" s="2521" t="s">
        <v>2464</v>
      </c>
      <c r="L5" s="2515"/>
      <c r="M5" s="2516"/>
    </row>
    <row r="6" spans="1:33" ht="18" customHeight="1">
      <c r="A6" s="1831" t="s">
        <v>1824</v>
      </c>
      <c r="B6" s="3445" t="s">
        <v>2466</v>
      </c>
      <c r="C6" s="783">
        <f ca="1">ROUND(F6*F8*F7*(1-F9)/10000,0)</f>
        <v>0</v>
      </c>
      <c r="D6" s="2522" t="s">
        <v>2465</v>
      </c>
      <c r="E6" s="784" t="s">
        <v>1738</v>
      </c>
      <c r="F6" s="785">
        <f ca="1">INDIRECT("'数据-取费表'!u"&amp;$G$1)</f>
        <v>0</v>
      </c>
      <c r="G6" s="1592"/>
      <c r="H6" s="2529" t="s">
        <v>2471</v>
      </c>
      <c r="I6" s="3445" t="s">
        <v>2466</v>
      </c>
      <c r="J6" s="783">
        <f ca="1">ROUND(M6*M8*M7*(1-M9)/10000,0)</f>
        <v>0</v>
      </c>
      <c r="K6" s="341" t="s">
        <v>1737</v>
      </c>
      <c r="L6" s="784" t="s">
        <v>1738</v>
      </c>
      <c r="M6" s="785">
        <f ca="1">INDIRECT("'数据-取费表'!z"&amp;$G$1)</f>
        <v>0</v>
      </c>
    </row>
    <row r="7" spans="1:33" ht="18" customHeight="1">
      <c r="A7" s="2525"/>
      <c r="B7" s="3446"/>
      <c r="C7" s="788"/>
      <c r="D7" s="789"/>
      <c r="E7" s="784" t="s">
        <v>1739</v>
      </c>
      <c r="F7" s="785">
        <f ca="1">IF(INDIRECT("'数据-取费表'!ah"&amp;$G$1)="",INDIRECT("'数据-取费表'!k"&amp;$G$1),INDIRECT("'数据-取费表'!ah"&amp;$G$1))</f>
        <v>0</v>
      </c>
      <c r="G7" s="1592"/>
      <c r="H7" s="2514"/>
      <c r="I7" s="3446"/>
      <c r="J7" s="788"/>
      <c r="K7" s="789"/>
      <c r="L7" s="784" t="s">
        <v>1739</v>
      </c>
      <c r="M7" s="785">
        <f ca="1">F7</f>
        <v>0</v>
      </c>
    </row>
    <row r="8" spans="1:33" ht="18" customHeight="1">
      <c r="A8" s="2518"/>
      <c r="B8" s="3447"/>
      <c r="C8" s="788"/>
      <c r="D8" s="789"/>
      <c r="E8" s="784" t="s">
        <v>1740</v>
      </c>
      <c r="F8" s="785">
        <f ca="1">INDIRECT("'数据-取费表'!ai"&amp;$G$1)</f>
        <v>0</v>
      </c>
      <c r="G8" s="1592"/>
      <c r="H8" s="2514"/>
      <c r="I8" s="3447"/>
      <c r="J8" s="788"/>
      <c r="K8" s="789"/>
      <c r="L8" s="784" t="s">
        <v>1740</v>
      </c>
      <c r="M8" s="785">
        <f ca="1">INDIRECT("'数据-取费表'!ai"&amp;$G$1)</f>
        <v>0</v>
      </c>
    </row>
    <row r="9" spans="1:33" ht="18" customHeight="1">
      <c r="A9" s="786"/>
      <c r="B9" s="3448"/>
      <c r="C9" s="788"/>
      <c r="D9" s="789"/>
      <c r="E9" s="784" t="s">
        <v>1741</v>
      </c>
      <c r="F9" s="794">
        <f ca="1">INDIRECT("'数据-取费表'!w"&amp;$G$1)</f>
        <v>0</v>
      </c>
      <c r="G9" s="1592"/>
      <c r="H9" s="2530"/>
      <c r="I9" s="3447"/>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2980</v>
      </c>
      <c r="E10" s="2523" t="s">
        <v>2467</v>
      </c>
      <c r="F10" s="2646"/>
      <c r="G10" s="1592"/>
      <c r="H10" s="2586" t="s">
        <v>2472</v>
      </c>
      <c r="I10" s="2591" t="s">
        <v>2462</v>
      </c>
      <c r="J10" s="783">
        <f ca="1">ROUND(IF(M10="押一",J6/12*M11,IF(M10="押二",J6/12*2*M11,IF(M10="押三",J6/12*3*M11,J11*M11))),0)</f>
        <v>0</v>
      </c>
      <c r="K10" s="2526" t="s">
        <v>2980</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0</v>
      </c>
      <c r="D13" s="1835" t="s">
        <v>2299</v>
      </c>
      <c r="E13" s="1835" t="s">
        <v>1744</v>
      </c>
      <c r="F13" s="2561">
        <f ca="1">INDIRECT("'数据-取费表'!y"&amp;$G$1)</f>
        <v>0</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0</v>
      </c>
      <c r="D14" s="1980" t="s">
        <v>1745</v>
      </c>
      <c r="E14" s="1981"/>
      <c r="F14" s="805"/>
      <c r="G14" s="1592"/>
      <c r="H14" s="1649" t="s">
        <v>1830</v>
      </c>
      <c r="I14" s="2232" t="s">
        <v>2829</v>
      </c>
      <c r="J14" s="53">
        <f ca="1">C29</f>
        <v>0</v>
      </c>
      <c r="K14" s="26"/>
      <c r="L14" s="801"/>
      <c r="M14" s="802"/>
    </row>
    <row r="15" spans="1:33" s="2065" customFormat="1" ht="18" customHeight="1" thickBot="1">
      <c r="A15" s="1648" t="s">
        <v>1885</v>
      </c>
      <c r="B15" s="784" t="s">
        <v>646</v>
      </c>
      <c r="C15" s="53">
        <f ca="1">ROUND(C14*F15,0)</f>
        <v>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0</v>
      </c>
      <c r="K16" s="1822" t="s">
        <v>1750</v>
      </c>
      <c r="L16" s="2511"/>
      <c r="M16" s="2516"/>
    </row>
    <row r="17" spans="1:33" s="2065" customFormat="1" ht="18" customHeight="1">
      <c r="A17" s="1648" t="s">
        <v>1887</v>
      </c>
      <c r="B17" s="784" t="s">
        <v>652</v>
      </c>
      <c r="C17" s="53">
        <f ca="1">ROUND(F17*(F43+INDIRECT("'数据-取费表'!S"&amp;$G$1))/10000,0)</f>
        <v>0</v>
      </c>
      <c r="D17" s="784" t="s">
        <v>1751</v>
      </c>
      <c r="E17" s="784" t="s">
        <v>1752</v>
      </c>
      <c r="F17" s="56">
        <f>'数据-取费表'!B35</f>
        <v>200</v>
      </c>
      <c r="G17" s="1593"/>
      <c r="H17" s="1649" t="s">
        <v>1830</v>
      </c>
      <c r="I17" s="784" t="s">
        <v>655</v>
      </c>
      <c r="J17" s="53">
        <f ca="1">ROUND(IF(项目基本情况!B11="自然人",J5*M17,J18+J19+J20),0)</f>
        <v>0</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0</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0</v>
      </c>
      <c r="D19" s="261" t="s">
        <v>1757</v>
      </c>
      <c r="E19" s="1983"/>
      <c r="F19" s="56"/>
      <c r="G19" s="1592"/>
      <c r="H19" s="1648" t="s">
        <v>1885</v>
      </c>
      <c r="I19" s="784" t="s">
        <v>1758</v>
      </c>
      <c r="J19" s="53">
        <f ca="1">IF(K19="按租金收入计税",ROUND(J5*M19,1),ROUND(C29*F33*0.7,1))</f>
        <v>0</v>
      </c>
      <c r="K19" s="811" t="s">
        <v>664</v>
      </c>
      <c r="L19" s="784" t="s">
        <v>1747</v>
      </c>
      <c r="M19" s="809">
        <f>IF(K19="按租金收入计税",'数据-取费表'!B51,'数据-取费表'!B50)</f>
        <v>1.2E-2</v>
      </c>
    </row>
    <row r="20" spans="1:33" s="2065" customFormat="1" ht="18" customHeight="1">
      <c r="A20" s="1649" t="s">
        <v>1889</v>
      </c>
      <c r="B20" s="784" t="s">
        <v>665</v>
      </c>
      <c r="C20" s="53">
        <f ca="1">ROUND(C19*F20,0)</f>
        <v>0</v>
      </c>
      <c r="D20" s="812" t="s">
        <v>1759</v>
      </c>
      <c r="E20" s="784" t="s">
        <v>1747</v>
      </c>
      <c r="F20" s="809">
        <f>'数据-取费表'!B37</f>
        <v>0.02</v>
      </c>
      <c r="G20" s="1593"/>
      <c r="H20" s="1651" t="s">
        <v>1880</v>
      </c>
      <c r="I20" s="341" t="s">
        <v>1760</v>
      </c>
      <c r="J20" s="54">
        <f ca="1">ROUND(M20*M21/10000,0)</f>
        <v>0</v>
      </c>
      <c r="K20" s="814" t="s">
        <v>1761</v>
      </c>
      <c r="L20" s="784" t="s">
        <v>1762</v>
      </c>
      <c r="M20" s="640">
        <f>'数据-取费表'!B52</f>
        <v>4</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0</v>
      </c>
      <c r="D23" s="2596" t="str">
        <f>IF(F23&lt;=1,"(建造成本+管理费用)×利率×(建设周期÷2)","(建造成本+管理费用)×((1+利率)^(建设周期÷2)-1)")</f>
        <v>(建造成本+管理费用)×((1+利率)^(建设周期÷2)-1)</v>
      </c>
      <c r="E23" s="784" t="s">
        <v>1770</v>
      </c>
      <c r="F23" s="640">
        <f>'数据-取费表'!B20</f>
        <v>2</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2825</v>
      </c>
      <c r="J25" s="792">
        <f ca="1">J5-J16</f>
        <v>0</v>
      </c>
      <c r="K25" s="2573" t="s">
        <v>1777</v>
      </c>
      <c r="L25" s="2574"/>
      <c r="M25" s="2575"/>
    </row>
    <row r="26" spans="1:33" ht="18" customHeight="1">
      <c r="A26" s="1648" t="s">
        <v>1831</v>
      </c>
      <c r="B26" s="784" t="s">
        <v>2441</v>
      </c>
      <c r="C26" s="53">
        <f ca="1">ROUND((C19+C20)*F26,0)</f>
        <v>0</v>
      </c>
      <c r="D26" s="812" t="s">
        <v>1778</v>
      </c>
      <c r="E26" s="795" t="s">
        <v>1779</v>
      </c>
      <c r="F26" s="794">
        <f ca="1">INDIRECT("'数据-取费表'!q"&amp;$G$1)</f>
        <v>0</v>
      </c>
      <c r="G26" s="1592"/>
      <c r="H26" s="2527" t="s">
        <v>1780</v>
      </c>
      <c r="I26" s="2233" t="s">
        <v>2830</v>
      </c>
      <c r="J26" s="783">
        <f ca="1">IF(J5&lt;&gt;0,ROUND(J25*(1-((1+M28)/(1+M26))^M27)/(M26-M28),0),0)</f>
        <v>0</v>
      </c>
      <c r="K26" s="814" t="s">
        <v>1781</v>
      </c>
      <c r="L26" s="784" t="s">
        <v>2422</v>
      </c>
      <c r="M26" s="794">
        <f ca="1">INDIRECT("'数据-取费表'!I"&amp;$G$1)</f>
        <v>0</v>
      </c>
    </row>
    <row r="27" spans="1:33" ht="18" customHeight="1">
      <c r="A27" s="1648" t="s">
        <v>1832</v>
      </c>
      <c r="B27" s="784" t="s">
        <v>685</v>
      </c>
      <c r="C27" s="53">
        <f ca="1">ROUND(F21*F26,4)</f>
        <v>0</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0</v>
      </c>
      <c r="D29" s="2570"/>
      <c r="E29" s="2571"/>
      <c r="F29" s="2572"/>
      <c r="G29" s="1593"/>
      <c r="H29" s="823" t="s">
        <v>1787</v>
      </c>
      <c r="I29" s="824" t="s">
        <v>1788</v>
      </c>
      <c r="J29" s="825">
        <f ca="1">ROUND(J26/(1+F40)^F41,0)</f>
        <v>0</v>
      </c>
      <c r="K29" s="826" t="s">
        <v>1789</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0</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0</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0</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3"/>
      <c r="H33" s="2078"/>
      <c r="I33" s="2078"/>
      <c r="J33" s="2078"/>
      <c r="K33" s="2079"/>
      <c r="L33" s="2078"/>
      <c r="M33" s="2078"/>
    </row>
    <row r="34" spans="1:18" ht="18" customHeight="1">
      <c r="A34" s="1651" t="s">
        <v>1833</v>
      </c>
      <c r="B34" s="341" t="s">
        <v>1798</v>
      </c>
      <c r="C34" s="54">
        <f ca="1">ROUND(F34*F35/10000,1)</f>
        <v>0</v>
      </c>
      <c r="D34" s="814" t="s">
        <v>1799</v>
      </c>
      <c r="E34" s="784" t="s">
        <v>1800</v>
      </c>
      <c r="F34" s="640">
        <f>'数据-取费表'!B52</f>
        <v>4</v>
      </c>
      <c r="G34" s="2063"/>
      <c r="H34" s="2066"/>
      <c r="I34" s="835" t="s">
        <v>1813</v>
      </c>
      <c r="J34" s="836"/>
      <c r="K34" s="2081"/>
      <c r="L34" s="2080"/>
      <c r="M34" s="2080"/>
    </row>
    <row r="35" spans="1:18" ht="18" customHeight="1">
      <c r="A35" s="815"/>
      <c r="B35" s="793"/>
      <c r="C35" s="69"/>
      <c r="D35" s="816"/>
      <c r="E35" s="784" t="s">
        <v>1801</v>
      </c>
      <c r="F35" s="785">
        <f ca="1">INDIRECT("'数据-取费表'!r"&amp;$G$1)</f>
        <v>0</v>
      </c>
      <c r="G35" s="2063"/>
      <c r="H35" s="2066"/>
      <c r="I35" s="837" t="s">
        <v>1814</v>
      </c>
      <c r="J35" s="838">
        <f ca="1">ROUND(C13*J36,0)</f>
        <v>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0</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2825</v>
      </c>
      <c r="C39" s="792">
        <f ca="1">C5-C30</f>
        <v>0</v>
      </c>
      <c r="D39" s="2573" t="s">
        <v>1806</v>
      </c>
      <c r="E39" s="2574"/>
      <c r="F39" s="2575"/>
      <c r="G39" s="2063"/>
      <c r="H39" s="2078"/>
      <c r="I39" s="837" t="s">
        <v>1818</v>
      </c>
      <c r="J39" s="845" t="e">
        <f ca="1">ROUND(J35/C39,3)</f>
        <v>#DIV/0!</v>
      </c>
      <c r="K39" s="2084"/>
      <c r="L39" s="2078"/>
      <c r="M39" s="2078"/>
    </row>
    <row r="40" spans="1:18" ht="18" customHeight="1">
      <c r="A40" s="781" t="s">
        <v>1895</v>
      </c>
      <c r="B40" s="2233" t="s">
        <v>2303</v>
      </c>
      <c r="C40" s="783" t="e">
        <f ca="1">ROUND(C39*(1-((1+F42)/(1+F40))^F41)/(F40-F42),0)</f>
        <v>#DIV/0!</v>
      </c>
      <c r="D40" s="814" t="s">
        <v>1807</v>
      </c>
      <c r="E40" s="784" t="s">
        <v>2422</v>
      </c>
      <c r="F40" s="794">
        <f ca="1">INDIRECT("'数据-取费表'!I"&amp;$G$1)</f>
        <v>0</v>
      </c>
      <c r="G40" s="2063"/>
      <c r="H40" s="2063"/>
      <c r="I40" s="837" t="s">
        <v>1819</v>
      </c>
      <c r="J40" s="845" t="e">
        <f ca="1">1-J39</f>
        <v>#DIV/0!</v>
      </c>
      <c r="K40" s="2084"/>
      <c r="L40" s="2063"/>
      <c r="M40" s="2063"/>
    </row>
    <row r="41" spans="1:18" ht="18" customHeight="1">
      <c r="A41" s="786"/>
      <c r="B41" s="787"/>
      <c r="C41" s="788"/>
      <c r="D41" s="821" t="s">
        <v>1808</v>
      </c>
      <c r="E41" s="784" t="s">
        <v>2970</v>
      </c>
      <c r="F41" s="822">
        <f ca="1">IF(INDIRECT("'数据-取费表'!af"&amp;$G$1)=0,INDIRECT("'数据-取费表'!ae"&amp;$G$1),INDIRECT("'数据-取费表'!af"&amp;$G$1))</f>
        <v>0</v>
      </c>
      <c r="G41" s="2063"/>
      <c r="H41" s="1989"/>
      <c r="I41" s="843" t="s">
        <v>1820</v>
      </c>
      <c r="J41" s="846"/>
      <c r="K41" s="2083"/>
      <c r="L41" s="1989"/>
      <c r="M41" s="1989"/>
    </row>
    <row r="42" spans="1:18" ht="18" customHeight="1">
      <c r="A42" s="790"/>
      <c r="B42" s="791"/>
      <c r="C42" s="792"/>
      <c r="D42" s="816"/>
      <c r="E42" s="784" t="s">
        <v>1809</v>
      </c>
      <c r="F42" s="794">
        <f ca="1">INDIRECT("'数据-取费表'!v"&amp;$G$1)</f>
        <v>0</v>
      </c>
      <c r="G42" s="2063"/>
      <c r="H42" s="1989"/>
      <c r="I42" s="847" t="s">
        <v>1821</v>
      </c>
      <c r="J42" s="845" t="e">
        <f ca="1">ROUND(C13/C40,3)</f>
        <v>#DIV/0!</v>
      </c>
      <c r="K42" s="2083"/>
      <c r="L42" s="1989"/>
      <c r="M42" s="1989"/>
    </row>
    <row r="43" spans="1:18" ht="18" customHeight="1" thickBot="1">
      <c r="A43" s="823" t="s">
        <v>1787</v>
      </c>
      <c r="B43" s="824" t="s">
        <v>1810</v>
      </c>
      <c r="C43" s="825" t="e">
        <f ca="1">ROUND(C40*10000/F43,0)</f>
        <v>#DIV/0!</v>
      </c>
      <c r="D43" s="826" t="s">
        <v>1811</v>
      </c>
      <c r="E43" s="827" t="s">
        <v>1812</v>
      </c>
      <c r="F43" s="828">
        <f ca="1">INDIRECT("'数据-取费表'!k"&amp;$G$1)</f>
        <v>0</v>
      </c>
      <c r="G43" s="2063"/>
      <c r="H43" s="1989"/>
      <c r="I43" s="847" t="s">
        <v>1822</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#DIV/0!</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c r="K47" s="2389" t="s">
        <v>2352</v>
      </c>
      <c r="L47" s="2390">
        <f ca="1">INDIRECT("'数据-取费表'!d"&amp;$G$1)</f>
        <v>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c r="K48" s="2392" t="s">
        <v>2354</v>
      </c>
      <c r="L48" s="2393">
        <f ca="1">INDIRECT("'数据-取费表'!f"&amp;$G$1)</f>
        <v>0</v>
      </c>
      <c r="O48" s="2423" t="s">
        <v>2382</v>
      </c>
      <c r="P48" s="2424" t="s">
        <v>2408</v>
      </c>
      <c r="Q48" s="2425" t="e">
        <f ca="1">C40+J29</f>
        <v>#DIV/0!</v>
      </c>
      <c r="R48" s="2424" t="s">
        <v>2383</v>
      </c>
    </row>
    <row r="49" spans="1:18" s="2060" customFormat="1" ht="18" customHeight="1" thickBot="1">
      <c r="A49" s="786"/>
      <c r="B49" s="787"/>
      <c r="C49" s="788"/>
      <c r="D49" s="789"/>
      <c r="E49" s="784" t="s">
        <v>1739</v>
      </c>
      <c r="F49" s="785">
        <f ca="1">F7</f>
        <v>0</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0</v>
      </c>
      <c r="G50" s="2096"/>
      <c r="H50" s="2094"/>
      <c r="I50" s="2384" t="s">
        <v>2349</v>
      </c>
      <c r="J50" s="2397">
        <f>SUMPRODUCT((I63:I65=J47)*(J62:L62=J48)*(J63:L65))</f>
        <v>0</v>
      </c>
      <c r="K50" s="2395" t="s">
        <v>2356</v>
      </c>
      <c r="L50" s="2396"/>
      <c r="O50" s="2426" t="s">
        <v>2386</v>
      </c>
      <c r="P50" s="2424" t="s">
        <v>2410</v>
      </c>
      <c r="Q50" s="2425">
        <f ca="1">C29</f>
        <v>0</v>
      </c>
      <c r="R50" s="2424" t="s">
        <v>2383</v>
      </c>
    </row>
    <row r="51" spans="1:18" s="2060" customFormat="1" ht="18" customHeight="1" thickBot="1">
      <c r="A51" s="786"/>
      <c r="B51" s="787"/>
      <c r="C51" s="788"/>
      <c r="D51" s="789"/>
      <c r="E51" s="784" t="s">
        <v>639</v>
      </c>
      <c r="F51" s="2372"/>
      <c r="H51" s="2094"/>
      <c r="I51" s="2385" t="s">
        <v>2350</v>
      </c>
      <c r="J51" s="2398">
        <f>IF(J49="",J50,J49+J50-YEAR('数据-取费表'!B2))</f>
        <v>0</v>
      </c>
      <c r="K51" s="2384" t="s">
        <v>2357</v>
      </c>
      <c r="L51" s="2399">
        <f ca="1">ROUND(-PV(INDIRECT("'数据-取费表'!h"&amp;$G$1),L48,(C39-C13*J36),0),0)</f>
        <v>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2981</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t="b">
        <f>IF(M47="住宅",J51,IF(D1="——",MIN(J51,L48),IF(D1="土地（套用方法）",MIN(J51,L48-'数据-取费表'!B20))))</f>
        <v>0</v>
      </c>
      <c r="K53" s="3461" t="s">
        <v>2972</v>
      </c>
      <c r="L53" s="3462"/>
      <c r="O53" s="2426" t="s">
        <v>2391</v>
      </c>
      <c r="P53" s="2424" t="s">
        <v>2392</v>
      </c>
      <c r="Q53" s="2425" t="b">
        <f>J53</f>
        <v>0</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2394</v>
      </c>
      <c r="P54" s="2424" t="s">
        <v>2411</v>
      </c>
      <c r="Q54" s="2425" t="e">
        <f ca="1">Q48+Q49</f>
        <v>#DIV/0!</v>
      </c>
      <c r="R54" s="2428" t="s">
        <v>2395</v>
      </c>
    </row>
    <row r="55" spans="1:18" s="2060" customFormat="1" ht="18" customHeight="1" thickTop="1" thickBot="1">
      <c r="A55" s="797">
        <v>2</v>
      </c>
      <c r="B55" s="798" t="s">
        <v>643</v>
      </c>
      <c r="C55" s="799">
        <f ca="1">C13</f>
        <v>0</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0</v>
      </c>
      <c r="D56" s="2664"/>
      <c r="E56" s="784"/>
      <c r="F56" s="809"/>
      <c r="I56" s="2404" t="s">
        <v>2360</v>
      </c>
      <c r="J56" s="3151" t="s">
        <v>1678</v>
      </c>
      <c r="K56" s="2384" t="s">
        <v>2365</v>
      </c>
      <c r="L56" s="2393">
        <f ca="1">IF(L48&lt;J51,"——",L48-J51)</f>
        <v>0</v>
      </c>
      <c r="O56" s="2420" t="s">
        <v>2378</v>
      </c>
      <c r="P56" s="2421" t="s">
        <v>2379</v>
      </c>
      <c r="Q56" s="2422" t="s">
        <v>2380</v>
      </c>
      <c r="R56" s="2421" t="s">
        <v>2381</v>
      </c>
    </row>
    <row r="57" spans="1:18" s="2060" customFormat="1" ht="28.5" customHeight="1" thickBot="1">
      <c r="A57" s="797" t="s">
        <v>1748</v>
      </c>
      <c r="B57" s="798" t="s">
        <v>650</v>
      </c>
      <c r="C57" s="799">
        <f ca="1">ROUND(C58+C63+C64+C65,0)</f>
        <v>0</v>
      </c>
      <c r="D57" s="26" t="s">
        <v>1750</v>
      </c>
      <c r="E57" s="2665"/>
      <c r="F57" s="56"/>
      <c r="I57" s="2405" t="s">
        <v>2361</v>
      </c>
      <c r="J57" s="2407" t="str">
        <f ca="1">IF(OR(M47="住宅",J51&lt;L48,J56="是"),"——",J51-L48)</f>
        <v>——</v>
      </c>
      <c r="K57" s="2384" t="s">
        <v>2366</v>
      </c>
      <c r="L57" s="2393">
        <f ca="1">IF(L48&lt;J51,"——",IF(L55="比较法",L49,IF(L55="基准地价",L50,L51)))</f>
        <v>0</v>
      </c>
      <c r="O57" s="2423" t="s">
        <v>2382</v>
      </c>
      <c r="P57" s="2424" t="s">
        <v>2412</v>
      </c>
      <c r="Q57" s="2425" t="e">
        <f ca="1">C40+J29</f>
        <v>#DIV/0!</v>
      </c>
      <c r="R57" s="2424" t="s">
        <v>2383</v>
      </c>
    </row>
    <row r="58" spans="1:18" s="2060" customFormat="1" ht="28.5" customHeight="1" thickBot="1">
      <c r="A58" s="1649" t="s">
        <v>1824</v>
      </c>
      <c r="B58" s="784" t="s">
        <v>655</v>
      </c>
      <c r="C58" s="53">
        <f ca="1">ROUND(IF(项目基本情况!B11="自然人",C47*F58,C59+C60+C61),1)</f>
        <v>0</v>
      </c>
      <c r="D58" s="2663" t="s">
        <v>656</v>
      </c>
      <c r="E58" s="2664" t="s">
        <v>689</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t="e">
        <f ca="1">L60</f>
        <v>#DIV/0!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按房产原值计税</v>
      </c>
      <c r="E60" s="784" t="s">
        <v>1747</v>
      </c>
      <c r="F60" s="809">
        <f t="shared" si="0"/>
        <v>1.2E-2</v>
      </c>
      <c r="I60" s="2406" t="s">
        <v>2364</v>
      </c>
      <c r="J60" s="2408" t="str">
        <f ca="1">IF(OR(M47="住宅",J51&lt;L48,J56="是"),"0",ROUND(J59/(1+J52)^J53,0))</f>
        <v>0</v>
      </c>
      <c r="K60" s="2409" t="s">
        <v>2369</v>
      </c>
      <c r="L60" s="2408" t="e">
        <f ca="1">IF(OR(M47="住宅",L48&lt;J51),0,ROUND(L57*(L58/L59-1),0))</f>
        <v>#DIV/0!</v>
      </c>
      <c r="O60" s="2426" t="s">
        <v>2387</v>
      </c>
      <c r="P60" s="2424" t="s">
        <v>2396</v>
      </c>
      <c r="Q60" s="2427">
        <f>L52</f>
        <v>0</v>
      </c>
      <c r="R60" s="2428"/>
    </row>
    <row r="61" spans="1:18" s="2060" customFormat="1" ht="18" customHeight="1" thickBot="1">
      <c r="A61" s="1651" t="s">
        <v>1833</v>
      </c>
      <c r="B61" s="341" t="s">
        <v>667</v>
      </c>
      <c r="C61" s="54">
        <f ca="1">ROUND(F61*F62/10000,1)</f>
        <v>0</v>
      </c>
      <c r="D61" s="814" t="s">
        <v>668</v>
      </c>
      <c r="E61" s="784" t="s">
        <v>669</v>
      </c>
      <c r="F61" s="640">
        <f t="shared" si="0"/>
        <v>4</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0</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31">
        <v>0.02</v>
      </c>
      <c r="O63" s="2423" t="s">
        <v>2394</v>
      </c>
      <c r="P63" s="2424" t="s">
        <v>2411</v>
      </c>
      <c r="Q63" s="2425" t="e">
        <f ca="1">Q57+Q58</f>
        <v>#DIV/0!</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32">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1776</v>
      </c>
      <c r="B66" s="3036" t="s">
        <v>2825</v>
      </c>
      <c r="C66" s="799">
        <f ca="1">C47-C57</f>
        <v>0</v>
      </c>
      <c r="D66" s="2663" t="s">
        <v>699</v>
      </c>
      <c r="E66" s="2662"/>
      <c r="F66" s="820"/>
      <c r="K66" s="2087"/>
      <c r="O66" s="2423" t="s">
        <v>2382</v>
      </c>
      <c r="P66" s="2424" t="s">
        <v>2412</v>
      </c>
      <c r="Q66" s="2425" t="e">
        <f ca="1">C40+J29</f>
        <v>#DIV/0!</v>
      </c>
      <c r="R66" s="2424" t="s">
        <v>2383</v>
      </c>
    </row>
    <row r="67" spans="1:18" s="2060" customFormat="1" ht="20.25" thickBot="1">
      <c r="A67" s="781" t="s">
        <v>1780</v>
      </c>
      <c r="B67" s="2233" t="s">
        <v>2303</v>
      </c>
      <c r="C67" s="783" t="e">
        <f ca="1">ROUND(C66*(1-((1+F69)/(1+F67))^F68)/(F67-F69),0)</f>
        <v>#DIV/0!</v>
      </c>
      <c r="D67" s="814" t="s">
        <v>703</v>
      </c>
      <c r="E67" s="784" t="s">
        <v>704</v>
      </c>
      <c r="F67" s="794">
        <f ca="1">F40</f>
        <v>0</v>
      </c>
      <c r="K67" s="2087"/>
      <c r="O67" s="2423" t="s">
        <v>2384</v>
      </c>
      <c r="P67" s="2424" t="s">
        <v>2415</v>
      </c>
      <c r="Q67" s="2425" t="e">
        <f ca="1">L60</f>
        <v>#DIV/0!</v>
      </c>
      <c r="R67" s="2428" t="s">
        <v>2417</v>
      </c>
    </row>
    <row r="68" spans="1:18" ht="21.75" thickBot="1">
      <c r="A68" s="786"/>
      <c r="B68" s="787"/>
      <c r="C68" s="788"/>
      <c r="D68" s="821" t="s">
        <v>1808</v>
      </c>
      <c r="E68" s="784" t="s">
        <v>1784</v>
      </c>
      <c r="F68" s="822">
        <f ca="1">F41</f>
        <v>0</v>
      </c>
      <c r="O68" s="2426" t="s">
        <v>2386</v>
      </c>
      <c r="P68" s="2424" t="s">
        <v>2416</v>
      </c>
      <c r="Q68" s="2430">
        <f ca="1">L51</f>
        <v>0</v>
      </c>
      <c r="R68" s="2431" t="s">
        <v>2419</v>
      </c>
    </row>
    <row r="69" spans="1:18" ht="20.25" thickBot="1">
      <c r="A69" s="790"/>
      <c r="B69" s="791"/>
      <c r="C69" s="792"/>
      <c r="D69" s="816"/>
      <c r="E69" s="784" t="s">
        <v>709</v>
      </c>
      <c r="F69" s="2372"/>
      <c r="O69" s="2426" t="s">
        <v>2387</v>
      </c>
      <c r="P69" s="2432" t="s">
        <v>2401</v>
      </c>
      <c r="Q69" s="2425">
        <f ca="1">ROUND(Q70-Q71*Q72,0)</f>
        <v>0</v>
      </c>
      <c r="R69" s="2428"/>
    </row>
    <row r="70" spans="1:18" ht="15.75" thickBot="1">
      <c r="A70" s="823" t="s">
        <v>1787</v>
      </c>
      <c r="B70" s="824" t="s">
        <v>1810</v>
      </c>
      <c r="C70" s="825" t="e">
        <f ca="1">ROUND(C67*10000/F70,0)</f>
        <v>#DIV/0!</v>
      </c>
      <c r="D70" s="826" t="s">
        <v>1811</v>
      </c>
      <c r="E70" s="827" t="s">
        <v>1812</v>
      </c>
      <c r="F70" s="828">
        <f ca="1">F43</f>
        <v>0</v>
      </c>
      <c r="O70" s="2426" t="s">
        <v>2402</v>
      </c>
      <c r="P70" s="2432" t="s">
        <v>2403</v>
      </c>
      <c r="Q70" s="2425">
        <f ca="1">C39</f>
        <v>0</v>
      </c>
      <c r="R70" s="2424" t="s">
        <v>2383</v>
      </c>
    </row>
    <row r="71" spans="1:18" ht="15.75" thickBot="1">
      <c r="O71" s="2426" t="s">
        <v>2404</v>
      </c>
      <c r="P71" s="2432" t="s">
        <v>2405</v>
      </c>
      <c r="Q71" s="2425">
        <f ca="1">C13</f>
        <v>0</v>
      </c>
      <c r="R71" s="2424" t="s">
        <v>2383</v>
      </c>
    </row>
    <row r="72" spans="1:18" ht="15.75" thickBot="1">
      <c r="O72" s="2426" t="s">
        <v>2406</v>
      </c>
      <c r="P72" s="2432" t="s">
        <v>2407</v>
      </c>
      <c r="Q72" s="2427">
        <f ca="1">J36</f>
        <v>0</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t="e">
        <f ca="1">Q66+Q67</f>
        <v>#DIV/0!</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2474</v>
      </c>
      <c r="B1" s="3480"/>
      <c r="C1" s="3481"/>
      <c r="D1" s="3482">
        <f>SUM(I10,I15,I20,I21,I23)</f>
        <v>0</v>
      </c>
      <c r="E1" s="3482"/>
      <c r="F1" s="3482"/>
      <c r="G1" s="3482"/>
      <c r="H1" s="3482"/>
      <c r="I1" s="3483"/>
    </row>
    <row r="2" spans="1:9">
      <c r="A2" s="3469" t="s">
        <v>2475</v>
      </c>
      <c r="B2" s="3470" t="s">
        <v>2476</v>
      </c>
      <c r="C2" s="3470"/>
      <c r="D2" s="2532" t="s">
        <v>2477</v>
      </c>
      <c r="E2" s="2532" t="s">
        <v>2478</v>
      </c>
      <c r="F2" s="2532" t="s">
        <v>2479</v>
      </c>
      <c r="G2" s="2532" t="s">
        <v>2480</v>
      </c>
      <c r="H2" s="2532" t="s">
        <v>2481</v>
      </c>
      <c r="I2" s="2533" t="s">
        <v>2482</v>
      </c>
    </row>
    <row r="3" spans="1:9">
      <c r="A3" s="3469"/>
      <c r="B3" s="3470" t="s">
        <v>2483</v>
      </c>
      <c r="C3" s="3470"/>
      <c r="D3" s="2534"/>
      <c r="E3" s="2532"/>
      <c r="F3" s="2535"/>
      <c r="G3" s="2535"/>
      <c r="H3" s="2536"/>
      <c r="I3" s="2537">
        <f>ROUND(D3*E3*F3*G3*H3/10000,0)</f>
        <v>0</v>
      </c>
    </row>
    <row r="4" spans="1:9">
      <c r="A4" s="3469"/>
      <c r="B4" s="3470" t="s">
        <v>2484</v>
      </c>
      <c r="C4" s="3470"/>
      <c r="D4" s="2534"/>
      <c r="E4" s="2532"/>
      <c r="F4" s="2535"/>
      <c r="G4" s="2535"/>
      <c r="H4" s="2536"/>
      <c r="I4" s="2537">
        <f t="shared" ref="I4:I9" si="0">ROUND(D4*E4*F4*G4*H4/10000,0)</f>
        <v>0</v>
      </c>
    </row>
    <row r="5" spans="1:9">
      <c r="A5" s="3469"/>
      <c r="B5" s="3470" t="s">
        <v>2485</v>
      </c>
      <c r="C5" s="3470"/>
      <c r="D5" s="2534"/>
      <c r="E5" s="2532"/>
      <c r="F5" s="2535"/>
      <c r="G5" s="2535"/>
      <c r="H5" s="2536"/>
      <c r="I5" s="2537">
        <f t="shared" si="0"/>
        <v>0</v>
      </c>
    </row>
    <row r="6" spans="1:9">
      <c r="A6" s="3469"/>
      <c r="B6" s="3470" t="s">
        <v>2486</v>
      </c>
      <c r="C6" s="3470"/>
      <c r="D6" s="2534"/>
      <c r="E6" s="2532"/>
      <c r="F6" s="2535"/>
      <c r="G6" s="2535"/>
      <c r="H6" s="2536"/>
      <c r="I6" s="2537">
        <f t="shared" si="0"/>
        <v>0</v>
      </c>
    </row>
    <row r="7" spans="1:9">
      <c r="A7" s="3469"/>
      <c r="B7" s="3470" t="s">
        <v>2487</v>
      </c>
      <c r="C7" s="3470"/>
      <c r="D7" s="2534"/>
      <c r="E7" s="2532"/>
      <c r="F7" s="2535"/>
      <c r="G7" s="2535"/>
      <c r="H7" s="2536"/>
      <c r="I7" s="2537">
        <f t="shared" si="0"/>
        <v>0</v>
      </c>
    </row>
    <row r="8" spans="1:9">
      <c r="A8" s="3469"/>
      <c r="B8" s="3470" t="s">
        <v>2488</v>
      </c>
      <c r="C8" s="3470"/>
      <c r="D8" s="2534"/>
      <c r="E8" s="2532"/>
      <c r="F8" s="2535"/>
      <c r="G8" s="2535"/>
      <c r="H8" s="2536"/>
      <c r="I8" s="2537">
        <f t="shared" si="0"/>
        <v>0</v>
      </c>
    </row>
    <row r="9" spans="1:9">
      <c r="A9" s="3469"/>
      <c r="B9" s="3470" t="s">
        <v>2489</v>
      </c>
      <c r="C9" s="3470"/>
      <c r="D9" s="2534"/>
      <c r="E9" s="2532"/>
      <c r="F9" s="2535"/>
      <c r="G9" s="2535"/>
      <c r="H9" s="2536"/>
      <c r="I9" s="2537">
        <f t="shared" si="0"/>
        <v>0</v>
      </c>
    </row>
    <row r="10" spans="1:9">
      <c r="A10" s="3469"/>
      <c r="B10" s="3471" t="s">
        <v>2490</v>
      </c>
      <c r="C10" s="3471"/>
      <c r="D10" s="2538">
        <v>527</v>
      </c>
      <c r="E10" s="2538" t="e">
        <f>ROUND(D1*10000/D10/H9,0)</f>
        <v>#DIV/0!</v>
      </c>
      <c r="F10" s="2539"/>
      <c r="G10" s="2539"/>
      <c r="H10" s="2540"/>
      <c r="I10" s="2541">
        <f>SUM(I3:I9)</f>
        <v>0</v>
      </c>
    </row>
    <row r="11" spans="1:9" ht="14.25">
      <c r="A11" s="3469" t="s">
        <v>2491</v>
      </c>
      <c r="B11" s="3470" t="s">
        <v>2492</v>
      </c>
      <c r="C11" s="3470"/>
      <c r="D11" s="2534" t="s">
        <v>2493</v>
      </c>
      <c r="E11" s="2534" t="s">
        <v>2494</v>
      </c>
      <c r="F11" s="2535" t="s">
        <v>2495</v>
      </c>
      <c r="G11" s="2535" t="s">
        <v>2496</v>
      </c>
      <c r="H11" s="2542" t="s">
        <v>2497</v>
      </c>
      <c r="I11" s="2533" t="s">
        <v>2498</v>
      </c>
    </row>
    <row r="12" spans="1:9">
      <c r="A12" s="3469"/>
      <c r="B12" s="3470" t="s">
        <v>2499</v>
      </c>
      <c r="C12" s="3470"/>
      <c r="D12" s="2534"/>
      <c r="E12" s="2534"/>
      <c r="F12" s="2535"/>
      <c r="G12" s="2536"/>
      <c r="H12" s="2543"/>
      <c r="I12" s="2533">
        <f>ROUND(D12*E12*F12*G12/10000,0)</f>
        <v>0</v>
      </c>
    </row>
    <row r="13" spans="1:9">
      <c r="A13" s="3469"/>
      <c r="B13" s="3470" t="s">
        <v>2500</v>
      </c>
      <c r="C13" s="3470"/>
      <c r="D13" s="2534"/>
      <c r="E13" s="2534"/>
      <c r="F13" s="2535"/>
      <c r="G13" s="2536"/>
      <c r="H13" s="2543"/>
      <c r="I13" s="2533">
        <f>ROUND(D13*E13*F13*G13/10000,0)</f>
        <v>0</v>
      </c>
    </row>
    <row r="14" spans="1:9">
      <c r="A14" s="3469"/>
      <c r="B14" s="3470" t="s">
        <v>2501</v>
      </c>
      <c r="C14" s="3470"/>
      <c r="D14" s="2534"/>
      <c r="E14" s="2534"/>
      <c r="F14" s="2535"/>
      <c r="G14" s="2536"/>
      <c r="H14" s="2543"/>
      <c r="I14" s="2533">
        <f>ROUND(D14*E14*F14*G14/10000,0)</f>
        <v>0</v>
      </c>
    </row>
    <row r="15" spans="1:9">
      <c r="A15" s="3469"/>
      <c r="B15" s="3471" t="s">
        <v>2490</v>
      </c>
      <c r="C15" s="3471"/>
      <c r="D15" s="2538"/>
      <c r="E15" s="2538">
        <f>SUM(E12:E14)</f>
        <v>0</v>
      </c>
      <c r="F15" s="2539"/>
      <c r="G15" s="2536"/>
      <c r="H15" s="2543"/>
      <c r="I15" s="2544">
        <f>SUM(I12:I14)</f>
        <v>0</v>
      </c>
    </row>
    <row r="16" spans="1:9" ht="24">
      <c r="A16" s="3469" t="s">
        <v>2502</v>
      </c>
      <c r="B16" s="3470" t="s">
        <v>2503</v>
      </c>
      <c r="C16" s="3470"/>
      <c r="D16" s="2534" t="s">
        <v>2504</v>
      </c>
      <c r="E16" s="2545" t="s">
        <v>2505</v>
      </c>
      <c r="F16" s="2535" t="s">
        <v>2506</v>
      </c>
      <c r="G16" s="2536" t="s">
        <v>2496</v>
      </c>
      <c r="H16" s="2542" t="s">
        <v>2497</v>
      </c>
      <c r="I16" s="2533" t="s">
        <v>2498</v>
      </c>
    </row>
    <row r="17" spans="1:9" ht="14.25">
      <c r="A17" s="3469"/>
      <c r="B17" s="3470" t="s">
        <v>2507</v>
      </c>
      <c r="C17" s="3470"/>
      <c r="D17" s="2534"/>
      <c r="E17" s="2534"/>
      <c r="F17" s="2535"/>
      <c r="G17" s="2536"/>
      <c r="H17" s="2546"/>
      <c r="I17" s="2547">
        <f>ROUND(D17*E17*F17*G17/10000,0)</f>
        <v>0</v>
      </c>
    </row>
    <row r="18" spans="1:9" ht="14.25">
      <c r="A18" s="3469"/>
      <c r="B18" s="3470" t="s">
        <v>2508</v>
      </c>
      <c r="C18" s="3470"/>
      <c r="D18" s="2534"/>
      <c r="E18" s="2534"/>
      <c r="F18" s="2535"/>
      <c r="G18" s="2536"/>
      <c r="H18" s="2546"/>
      <c r="I18" s="2547">
        <f>ROUND(D18*E18*F18*G18/10000,0)</f>
        <v>0</v>
      </c>
    </row>
    <row r="19" spans="1:9" ht="14.25">
      <c r="A19" s="3469"/>
      <c r="B19" s="3470" t="s">
        <v>2509</v>
      </c>
      <c r="C19" s="3470"/>
      <c r="D19" s="2534"/>
      <c r="E19" s="2534"/>
      <c r="F19" s="2535"/>
      <c r="G19" s="2536"/>
      <c r="H19" s="2546"/>
      <c r="I19" s="2547">
        <f>ROUND(D19*E19*F19*G19/10000,0)</f>
        <v>0</v>
      </c>
    </row>
    <row r="20" spans="1:9">
      <c r="A20" s="3469"/>
      <c r="B20" s="3471" t="s">
        <v>2490</v>
      </c>
      <c r="C20" s="3471"/>
      <c r="D20" s="2538">
        <f>SUM(D17:D19)</f>
        <v>0</v>
      </c>
      <c r="E20" s="2538"/>
      <c r="F20" s="2539"/>
      <c r="G20" s="2536"/>
      <c r="H20" s="2543"/>
      <c r="I20" s="2544">
        <f>SUM(I17:I19)</f>
        <v>0</v>
      </c>
    </row>
    <row r="21" spans="1:9">
      <c r="A21" s="3469" t="s">
        <v>2510</v>
      </c>
      <c r="B21" s="3472"/>
      <c r="C21" s="3472"/>
      <c r="D21" s="3472"/>
      <c r="E21" s="3472"/>
      <c r="F21" s="3472"/>
      <c r="G21" s="3472"/>
      <c r="H21" s="2548">
        <v>0.1</v>
      </c>
      <c r="I21" s="2541">
        <f>ROUND(I10*H21,0)</f>
        <v>0</v>
      </c>
    </row>
    <row r="22" spans="1:9" ht="14.25">
      <c r="A22" s="3473" t="s">
        <v>2511</v>
      </c>
      <c r="B22" s="3474"/>
      <c r="C22" s="3475"/>
      <c r="D22" s="2549" t="s">
        <v>2512</v>
      </c>
      <c r="E22" s="2549" t="s">
        <v>2513</v>
      </c>
      <c r="F22" s="2550" t="s">
        <v>2514</v>
      </c>
      <c r="G22" s="2550" t="s">
        <v>2515</v>
      </c>
      <c r="H22" s="2542" t="s">
        <v>2516</v>
      </c>
      <c r="I22" s="2533" t="s">
        <v>2517</v>
      </c>
    </row>
    <row r="23" spans="1:9" ht="14.25" thickBot="1">
      <c r="A23" s="3476"/>
      <c r="B23" s="3477"/>
      <c r="C23" s="3478"/>
      <c r="D23" s="2551"/>
      <c r="E23" s="2551"/>
      <c r="F23" s="2551"/>
      <c r="G23" s="2552"/>
      <c r="H23" s="2553"/>
      <c r="I23" s="2554">
        <f>ROUND(E23*D23*F23*(1-G23)/10000,0)</f>
        <v>0</v>
      </c>
    </row>
    <row r="26" spans="1:9">
      <c r="A26" s="2555" t="s">
        <v>2518</v>
      </c>
      <c r="B26" s="2555"/>
      <c r="C26" s="2555"/>
      <c r="D26" s="2555"/>
      <c r="E26" s="3466">
        <f>C27-C30-C31-C32</f>
        <v>0</v>
      </c>
      <c r="F26" s="3466"/>
      <c r="G26" s="3466"/>
      <c r="H26" s="3069" t="s">
        <v>2846</v>
      </c>
    </row>
    <row r="27" spans="1:9">
      <c r="A27" s="2556">
        <v>1</v>
      </c>
      <c r="B27" s="2557" t="s">
        <v>2519</v>
      </c>
      <c r="C27" s="2557"/>
      <c r="D27" s="2557"/>
      <c r="E27" s="3467"/>
      <c r="F27" s="3467"/>
      <c r="G27" s="3467"/>
    </row>
    <row r="28" spans="1:9">
      <c r="A28" s="2558" t="s">
        <v>2520</v>
      </c>
      <c r="B28" s="2557" t="s">
        <v>2521</v>
      </c>
      <c r="C28" s="2557"/>
      <c r="D28" s="2557"/>
      <c r="E28" s="3467"/>
      <c r="F28" s="3467"/>
      <c r="G28" s="3467"/>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68"/>
      <c r="F32" s="3468"/>
      <c r="G32" s="3468"/>
    </row>
    <row r="33" spans="1:7" hidden="1">
      <c r="A33" s="3463" t="s">
        <v>2529</v>
      </c>
      <c r="B33" s="3464"/>
      <c r="C33" s="3464"/>
      <c r="D33" s="3465"/>
      <c r="E33" s="3466"/>
      <c r="F33" s="3466"/>
      <c r="G33" s="3466"/>
    </row>
    <row r="34" spans="1:7" hidden="1">
      <c r="A34" s="2560">
        <v>1</v>
      </c>
      <c r="B34" s="2557" t="s">
        <v>2530</v>
      </c>
      <c r="C34" s="2557"/>
      <c r="D34" s="2557"/>
      <c r="E34" s="3467"/>
      <c r="F34" s="3467"/>
      <c r="G34" s="3467"/>
    </row>
    <row r="35" spans="1:7" hidden="1">
      <c r="A35" s="2560">
        <v>2</v>
      </c>
      <c r="B35" s="2557" t="s">
        <v>2531</v>
      </c>
      <c r="C35" s="2557"/>
      <c r="D35" s="2557"/>
      <c r="E35" s="3467"/>
      <c r="F35" s="3467"/>
      <c r="G35" s="3467"/>
    </row>
    <row r="36" spans="1:7" hidden="1">
      <c r="A36" s="2560">
        <v>3</v>
      </c>
      <c r="B36" s="2557" t="s">
        <v>2532</v>
      </c>
      <c r="C36" s="2557"/>
      <c r="D36" s="2557"/>
      <c r="E36" s="3467"/>
      <c r="F36" s="3467"/>
      <c r="G36" s="3467"/>
    </row>
    <row r="37" spans="1:7" hidden="1">
      <c r="A37" s="2560">
        <v>4</v>
      </c>
      <c r="B37" s="2557" t="s">
        <v>2533</v>
      </c>
      <c r="C37" s="2557"/>
      <c r="D37" s="2557"/>
      <c r="E37" s="3467"/>
      <c r="F37" s="3467"/>
      <c r="G37" s="3467"/>
    </row>
    <row r="38" spans="1:7" hidden="1">
      <c r="A38" s="3463" t="s">
        <v>2534</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195134.96</v>
      </c>
      <c r="E10" s="749">
        <f>'数据-取费表'!B31</f>
        <v>200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762</v>
      </c>
      <c r="D12" s="758">
        <f>'数据-汇总表'!E5</f>
        <v>152483.07</v>
      </c>
      <c r="E12" s="757">
        <f>'数据-取费表'!B27</f>
        <v>50</v>
      </c>
      <c r="F12" s="755"/>
      <c r="G12" s="759"/>
    </row>
    <row r="13" spans="1:25" s="2184" customFormat="1" ht="13.5" customHeight="1">
      <c r="A13" s="2501" t="s">
        <v>2450</v>
      </c>
      <c r="B13" s="756" t="s">
        <v>611</v>
      </c>
      <c r="C13" s="757">
        <f>ROUND(D13*E13/10000,0)</f>
        <v>169</v>
      </c>
      <c r="D13" s="758">
        <f>'数据-汇总表'!E6</f>
        <v>42651.889999999985</v>
      </c>
      <c r="E13" s="757">
        <f>'数据-取费表'!B28</f>
        <v>39.700000000000003</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0</v>
      </c>
      <c r="D18" s="762"/>
      <c r="E18" s="763"/>
      <c r="F18" s="761">
        <f>'数据-取费表'!Q16</f>
        <v>0.2</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f>'数据-取费表'!AP16</f>
        <v>0.93700000000000006</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383" t="s">
        <v>521</v>
      </c>
      <c r="D4" s="3384"/>
      <c r="E4" s="3409" t="s">
        <v>522</v>
      </c>
      <c r="F4" s="3410"/>
      <c r="G4" s="3383" t="s">
        <v>523</v>
      </c>
      <c r="H4" s="3384"/>
      <c r="I4" s="3383" t="s">
        <v>524</v>
      </c>
      <c r="J4" s="3384"/>
      <c r="K4" s="514" t="s">
        <v>525</v>
      </c>
      <c r="L4" s="2134"/>
      <c r="M4" s="2135"/>
      <c r="N4" s="2135"/>
      <c r="O4" s="2135"/>
      <c r="P4" s="3385" t="s">
        <v>526</v>
      </c>
      <c r="Q4" s="3386"/>
      <c r="R4" s="3371" t="s">
        <v>522</v>
      </c>
      <c r="S4" s="3372"/>
      <c r="T4" s="3371" t="s">
        <v>523</v>
      </c>
      <c r="U4" s="3372"/>
      <c r="V4" s="3391" t="s">
        <v>524</v>
      </c>
      <c r="W4" s="3391"/>
      <c r="X4" s="1567"/>
      <c r="Y4" s="3371" t="s">
        <v>526</v>
      </c>
      <c r="Z4" s="3372"/>
      <c r="AA4" s="3366" t="s">
        <v>522</v>
      </c>
      <c r="AB4" s="3391" t="s">
        <v>523</v>
      </c>
      <c r="AC4" s="3366" t="s">
        <v>524</v>
      </c>
    </row>
    <row r="5" spans="1:29" ht="15">
      <c r="A5" s="515"/>
      <c r="B5" s="516"/>
      <c r="C5" s="3396" t="s">
        <v>2932</v>
      </c>
      <c r="D5" s="3395"/>
      <c r="E5" s="3419" t="s">
        <v>2933</v>
      </c>
      <c r="F5" s="3405"/>
      <c r="G5" s="3396" t="s">
        <v>2934</v>
      </c>
      <c r="H5" s="3395"/>
      <c r="I5" s="3396" t="s">
        <v>2935</v>
      </c>
      <c r="J5" s="3395"/>
      <c r="K5" s="514"/>
      <c r="L5" s="2134"/>
      <c r="M5" s="2135"/>
      <c r="N5" s="2135"/>
      <c r="O5" s="2135"/>
      <c r="P5" s="3387"/>
      <c r="Q5" s="3388"/>
      <c r="R5" s="3373"/>
      <c r="S5" s="3374"/>
      <c r="T5" s="3373"/>
      <c r="U5" s="3374"/>
      <c r="V5" s="3391"/>
      <c r="W5" s="3391"/>
      <c r="X5" s="1567"/>
      <c r="Y5" s="3373"/>
      <c r="Z5" s="3374"/>
      <c r="AA5" s="3367"/>
      <c r="AB5" s="3391"/>
      <c r="AC5" s="3367"/>
    </row>
    <row r="6" spans="1:29" ht="15.75" thickBot="1">
      <c r="A6" s="517"/>
      <c r="B6" s="518"/>
      <c r="C6" s="3406" t="s">
        <v>2936</v>
      </c>
      <c r="D6" s="3393"/>
      <c r="E6" s="3420" t="s">
        <v>2936</v>
      </c>
      <c r="F6" s="3408"/>
      <c r="G6" s="3406" t="s">
        <v>2936</v>
      </c>
      <c r="H6" s="3393"/>
      <c r="I6" s="3406" t="s">
        <v>2936</v>
      </c>
      <c r="J6" s="3393"/>
      <c r="K6" s="514" t="s">
        <v>527</v>
      </c>
      <c r="L6" s="2134"/>
      <c r="M6" s="2135"/>
      <c r="N6" s="2135"/>
      <c r="O6" s="2135"/>
      <c r="P6" s="3389"/>
      <c r="Q6" s="3390"/>
      <c r="R6" s="3373"/>
      <c r="S6" s="3374"/>
      <c r="T6" s="3375"/>
      <c r="U6" s="3376"/>
      <c r="V6" s="3391"/>
      <c r="W6" s="3391"/>
      <c r="X6" s="1567"/>
      <c r="Y6" s="3375"/>
      <c r="Z6" s="3376"/>
      <c r="AA6" s="3368"/>
      <c r="AB6" s="3391"/>
      <c r="AC6" s="3368"/>
    </row>
    <row r="7" spans="1:29" s="1219" customFormat="1" ht="15.75" thickBot="1">
      <c r="A7" s="2937"/>
      <c r="B7" s="2944" t="s">
        <v>528</v>
      </c>
      <c r="C7" s="519">
        <f>'数据-取费表'!B2</f>
        <v>43215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9" t="s">
        <v>529</v>
      </c>
      <c r="Q7" s="3378"/>
      <c r="R7" s="1568" t="s">
        <v>8</v>
      </c>
      <c r="S7" s="1569">
        <f t="shared" ref="S7:S15" si="0">F7</f>
        <v>0</v>
      </c>
      <c r="T7" s="1568" t="s">
        <v>8</v>
      </c>
      <c r="U7" s="1569">
        <f t="shared" ref="U7:U15" si="1">H7</f>
        <v>0</v>
      </c>
      <c r="V7" s="1568" t="s">
        <v>8</v>
      </c>
      <c r="W7" s="1569">
        <f t="shared" ref="W7:W15" si="2">J7</f>
        <v>0</v>
      </c>
      <c r="X7" s="1570"/>
      <c r="Y7" s="3369" t="s">
        <v>529</v>
      </c>
      <c r="Z7" s="3370"/>
      <c r="AA7" s="1571" t="e">
        <f>D7/F7</f>
        <v>#DIV/0!</v>
      </c>
      <c r="AB7" s="1571" t="e">
        <f>D7/H7</f>
        <v>#DIV/0!</v>
      </c>
      <c r="AC7" s="1571" t="e">
        <f>D7/J7</f>
        <v>#DIV/0!</v>
      </c>
    </row>
    <row r="8" spans="1:29" s="1219"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9" t="s">
        <v>532</v>
      </c>
      <c r="Q8" s="3370"/>
      <c r="R8" s="1568" t="s">
        <v>8</v>
      </c>
      <c r="S8" s="1569">
        <f t="shared" si="0"/>
        <v>0</v>
      </c>
      <c r="T8" s="1568" t="s">
        <v>8</v>
      </c>
      <c r="U8" s="1569">
        <f t="shared" si="1"/>
        <v>0</v>
      </c>
      <c r="V8" s="1568" t="s">
        <v>8</v>
      </c>
      <c r="W8" s="1569">
        <f t="shared" si="2"/>
        <v>0</v>
      </c>
      <c r="X8" s="1570"/>
      <c r="Y8" s="3369" t="s">
        <v>532</v>
      </c>
      <c r="Z8" s="3370"/>
      <c r="AA8" s="1571" t="e">
        <f t="shared" ref="AA8:AA46" si="3">D8/F8</f>
        <v>#DIV/0!</v>
      </c>
      <c r="AB8" s="1571" t="e">
        <f t="shared" ref="AB8:AB46" si="4">D8/H8</f>
        <v>#DIV/0!</v>
      </c>
      <c r="AC8" s="1571" t="e">
        <f t="shared" ref="AC8:AC46" si="5">D8/J8</f>
        <v>#DIV/0!</v>
      </c>
    </row>
    <row r="9" spans="1:29" s="1219"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7" t="s">
        <v>534</v>
      </c>
      <c r="Q9" s="1150" t="str">
        <f t="shared" ref="Q9:Q15" si="6">B9</f>
        <v>用途</v>
      </c>
      <c r="R9" s="1568" t="s">
        <v>8</v>
      </c>
      <c r="S9" s="1569">
        <f t="shared" si="0"/>
        <v>100</v>
      </c>
      <c r="T9" s="1568" t="s">
        <v>8</v>
      </c>
      <c r="U9" s="1569">
        <f t="shared" si="1"/>
        <v>100</v>
      </c>
      <c r="V9" s="1568" t="s">
        <v>8</v>
      </c>
      <c r="W9" s="1569">
        <f t="shared" si="2"/>
        <v>100</v>
      </c>
      <c r="X9" s="1570"/>
      <c r="Y9" s="3334"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7"/>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7"/>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7"/>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7"/>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79" t="s">
        <v>539</v>
      </c>
      <c r="Q15" s="1572" t="str">
        <f t="shared" si="6"/>
        <v>商业繁华度</v>
      </c>
      <c r="R15" s="1573" t="s">
        <v>8</v>
      </c>
      <c r="S15" s="1574">
        <f t="shared" si="0"/>
        <v>100</v>
      </c>
      <c r="T15" s="1573" t="s">
        <v>8</v>
      </c>
      <c r="U15" s="1574">
        <f t="shared" si="1"/>
        <v>100</v>
      </c>
      <c r="V15" s="1573" t="s">
        <v>8</v>
      </c>
      <c r="W15" s="1574">
        <f t="shared" si="2"/>
        <v>100</v>
      </c>
      <c r="X15" s="1567"/>
      <c r="Y15" s="3379"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0"/>
      <c r="Q16" s="1572"/>
      <c r="R16" s="1573"/>
      <c r="S16" s="1574"/>
      <c r="T16" s="1573"/>
      <c r="U16" s="1574"/>
      <c r="V16" s="1573"/>
      <c r="W16" s="1574"/>
      <c r="X16" s="1567"/>
      <c r="Y16" s="338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0"/>
      <c r="Q17" s="1572" t="str">
        <f>B17</f>
        <v>交通便捷度</v>
      </c>
      <c r="R17" s="1573" t="s">
        <v>8</v>
      </c>
      <c r="S17" s="1574">
        <f>F17</f>
        <v>100</v>
      </c>
      <c r="T17" s="1573" t="s">
        <v>8</v>
      </c>
      <c r="U17" s="1574">
        <f>H17</f>
        <v>100</v>
      </c>
      <c r="V17" s="1573" t="s">
        <v>8</v>
      </c>
      <c r="W17" s="1574">
        <f>J17</f>
        <v>100</v>
      </c>
      <c r="X17" s="1567"/>
      <c r="Y17" s="338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0"/>
      <c r="Q18" s="1572"/>
      <c r="R18" s="1573"/>
      <c r="S18" s="1574"/>
      <c r="T18" s="1573"/>
      <c r="U18" s="1574"/>
      <c r="V18" s="1573"/>
      <c r="W18" s="1574"/>
      <c r="X18" s="1567"/>
      <c r="Y18" s="3380"/>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0"/>
      <c r="Q19" s="1572" t="str">
        <f>B19</f>
        <v>公共配套设施</v>
      </c>
      <c r="R19" s="1573" t="s">
        <v>8</v>
      </c>
      <c r="S19" s="1574">
        <f>F19</f>
        <v>100</v>
      </c>
      <c r="T19" s="1573" t="s">
        <v>8</v>
      </c>
      <c r="U19" s="1574">
        <f>H19</f>
        <v>100</v>
      </c>
      <c r="V19" s="1573" t="s">
        <v>8</v>
      </c>
      <c r="W19" s="1574">
        <f>J19</f>
        <v>100</v>
      </c>
      <c r="X19" s="1567"/>
      <c r="Y19" s="338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80"/>
      <c r="Q20" s="1572"/>
      <c r="R20" s="1573"/>
      <c r="S20" s="1574"/>
      <c r="T20" s="1573"/>
      <c r="U20" s="1574"/>
      <c r="V20" s="1573"/>
      <c r="W20" s="1574"/>
      <c r="X20" s="1567"/>
      <c r="Y20" s="3380"/>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0"/>
      <c r="Q21" s="2604" t="str">
        <f>B21</f>
        <v>基础设施水平</v>
      </c>
      <c r="R21" s="1573" t="s">
        <v>8</v>
      </c>
      <c r="S21" s="1574">
        <f>F21</f>
        <v>100</v>
      </c>
      <c r="T21" s="1573" t="s">
        <v>8</v>
      </c>
      <c r="U21" s="1574">
        <f>H21</f>
        <v>100</v>
      </c>
      <c r="V21" s="1573" t="s">
        <v>8</v>
      </c>
      <c r="W21" s="1574">
        <f>J21</f>
        <v>100</v>
      </c>
      <c r="X21" s="2606"/>
      <c r="Y21" s="3380"/>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380"/>
      <c r="Q22" s="2604"/>
      <c r="R22" s="1573"/>
      <c r="S22" s="1574"/>
      <c r="T22" s="1573"/>
      <c r="U22" s="1574"/>
      <c r="V22" s="1573"/>
      <c r="W22" s="1574"/>
      <c r="X22" s="2606"/>
      <c r="Y22" s="3380"/>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0"/>
      <c r="Q23" s="1572" t="str">
        <f>B23</f>
        <v>自然及人文环境</v>
      </c>
      <c r="R23" s="1573" t="s">
        <v>8</v>
      </c>
      <c r="S23" s="1574">
        <f>F23</f>
        <v>100</v>
      </c>
      <c r="T23" s="1573" t="s">
        <v>8</v>
      </c>
      <c r="U23" s="1574">
        <f>H23</f>
        <v>100</v>
      </c>
      <c r="V23" s="1573" t="s">
        <v>8</v>
      </c>
      <c r="W23" s="1574">
        <f>J23</f>
        <v>100</v>
      </c>
      <c r="X23" s="1567"/>
      <c r="Y23" s="338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80"/>
      <c r="Q24" s="1572"/>
      <c r="R24" s="1573"/>
      <c r="S24" s="1574"/>
      <c r="T24" s="1573"/>
      <c r="U24" s="1574"/>
      <c r="V24" s="1573"/>
      <c r="W24" s="1574"/>
      <c r="X24" s="1567"/>
      <c r="Y24" s="3380"/>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0"/>
      <c r="Q25" s="1572" t="str">
        <f t="shared" ref="Q25:Q46" si="11">B25</f>
        <v>临街状况</v>
      </c>
      <c r="R25" s="1573" t="s">
        <v>8</v>
      </c>
      <c r="S25" s="1574">
        <f>F25</f>
        <v>100</v>
      </c>
      <c r="T25" s="1573" t="s">
        <v>8</v>
      </c>
      <c r="U25" s="1574">
        <f>H25</f>
        <v>100</v>
      </c>
      <c r="V25" s="1573" t="s">
        <v>8</v>
      </c>
      <c r="W25" s="1574">
        <f>J25</f>
        <v>100</v>
      </c>
      <c r="X25" s="1567"/>
      <c r="Y25" s="3380"/>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0"/>
      <c r="Q26" s="1572" t="str">
        <f t="shared" si="11"/>
        <v>平面位置/可视性</v>
      </c>
      <c r="R26" s="1573" t="s">
        <v>8</v>
      </c>
      <c r="S26" s="1574">
        <f>F26</f>
        <v>100</v>
      </c>
      <c r="T26" s="1573" t="s">
        <v>8</v>
      </c>
      <c r="U26" s="1574">
        <f>H26</f>
        <v>100</v>
      </c>
      <c r="V26" s="1573" t="s">
        <v>8</v>
      </c>
      <c r="W26" s="1574">
        <f>J26</f>
        <v>100</v>
      </c>
      <c r="X26" s="1567"/>
      <c r="Y26" s="3380"/>
      <c r="Z26" s="1575" t="str">
        <f>Q26</f>
        <v>平面位置/可视性</v>
      </c>
      <c r="AA26" s="1576">
        <f t="shared" si="3"/>
        <v>1</v>
      </c>
      <c r="AB26" s="1576">
        <f t="shared" si="4"/>
        <v>1</v>
      </c>
      <c r="AC26" s="1576">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0"/>
      <c r="Q27" s="1150" t="str">
        <f t="shared" si="11"/>
        <v>人流量</v>
      </c>
      <c r="R27" s="1568" t="s">
        <v>8</v>
      </c>
      <c r="S27" s="1569">
        <f>F27</f>
        <v>100</v>
      </c>
      <c r="T27" s="1568" t="s">
        <v>8</v>
      </c>
      <c r="U27" s="1569">
        <f>H27</f>
        <v>100</v>
      </c>
      <c r="V27" s="1568" t="s">
        <v>8</v>
      </c>
      <c r="W27" s="1569">
        <f>J27</f>
        <v>100</v>
      </c>
      <c r="X27" s="1570"/>
      <c r="Y27" s="3380"/>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0"/>
      <c r="Q29" s="1572">
        <f t="shared" si="11"/>
        <v>111</v>
      </c>
      <c r="R29" s="1573" t="s">
        <v>8</v>
      </c>
      <c r="S29" s="1574">
        <f t="shared" si="12"/>
        <v>100</v>
      </c>
      <c r="T29" s="1573" t="s">
        <v>8</v>
      </c>
      <c r="U29" s="1574">
        <f t="shared" si="13"/>
        <v>100</v>
      </c>
      <c r="V29" s="1573" t="s">
        <v>8</v>
      </c>
      <c r="W29" s="1574">
        <f t="shared" si="14"/>
        <v>100</v>
      </c>
      <c r="X29" s="1567"/>
      <c r="Y29" s="338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0"/>
      <c r="Q30" s="1572">
        <f t="shared" si="11"/>
        <v>111</v>
      </c>
      <c r="R30" s="1573" t="s">
        <v>8</v>
      </c>
      <c r="S30" s="1574">
        <f t="shared" si="12"/>
        <v>100</v>
      </c>
      <c r="T30" s="1573" t="s">
        <v>8</v>
      </c>
      <c r="U30" s="1574">
        <f t="shared" si="13"/>
        <v>100</v>
      </c>
      <c r="V30" s="1573" t="s">
        <v>8</v>
      </c>
      <c r="W30" s="1574">
        <f t="shared" si="14"/>
        <v>100</v>
      </c>
      <c r="X30" s="1567"/>
      <c r="Y30" s="338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0"/>
      <c r="Q31" s="1572">
        <f t="shared" si="11"/>
        <v>111</v>
      </c>
      <c r="R31" s="1573" t="s">
        <v>8</v>
      </c>
      <c r="S31" s="1574">
        <f t="shared" si="12"/>
        <v>100</v>
      </c>
      <c r="T31" s="1573" t="s">
        <v>8</v>
      </c>
      <c r="U31" s="1574">
        <f t="shared" si="13"/>
        <v>100</v>
      </c>
      <c r="V31" s="1573" t="s">
        <v>8</v>
      </c>
      <c r="W31" s="1574">
        <f t="shared" si="14"/>
        <v>100</v>
      </c>
      <c r="X31" s="1567"/>
      <c r="Y31" s="3380"/>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1" t="s">
        <v>549</v>
      </c>
      <c r="Q32" s="1572" t="str">
        <f t="shared" si="11"/>
        <v>商业类型</v>
      </c>
      <c r="R32" s="1573" t="s">
        <v>8</v>
      </c>
      <c r="S32" s="1574">
        <f t="shared" si="12"/>
        <v>100</v>
      </c>
      <c r="T32" s="1573" t="s">
        <v>8</v>
      </c>
      <c r="U32" s="1574">
        <f t="shared" si="13"/>
        <v>100</v>
      </c>
      <c r="V32" s="1573" t="s">
        <v>8</v>
      </c>
      <c r="W32" s="1574">
        <f t="shared" si="14"/>
        <v>100</v>
      </c>
      <c r="X32" s="1567"/>
      <c r="Y32" s="3382" t="s">
        <v>549</v>
      </c>
      <c r="Z32" s="1575" t="str">
        <f t="shared" si="15"/>
        <v>商业类型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2"/>
      <c r="Q33" s="1605" t="str">
        <f t="shared" si="11"/>
        <v>项目建筑规模</v>
      </c>
      <c r="R33" s="1577" t="s">
        <v>8</v>
      </c>
      <c r="S33" s="1578" t="e">
        <f t="shared" si="12"/>
        <v>#N/A</v>
      </c>
      <c r="T33" s="1577" t="s">
        <v>8</v>
      </c>
      <c r="U33" s="1578" t="e">
        <f t="shared" si="13"/>
        <v>#N/A</v>
      </c>
      <c r="V33" s="1577" t="s">
        <v>8</v>
      </c>
      <c r="W33" s="1578" t="e">
        <f t="shared" si="14"/>
        <v>#N/A</v>
      </c>
      <c r="X33" s="1579"/>
      <c r="Y33" s="338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2"/>
      <c r="Q34" s="1572" t="str">
        <f t="shared" si="11"/>
        <v>建筑结构</v>
      </c>
      <c r="R34" s="1573" t="s">
        <v>8</v>
      </c>
      <c r="S34" s="1574">
        <f t="shared" si="12"/>
        <v>100</v>
      </c>
      <c r="T34" s="1573" t="s">
        <v>8</v>
      </c>
      <c r="U34" s="1574">
        <f t="shared" si="13"/>
        <v>100</v>
      </c>
      <c r="V34" s="1573" t="s">
        <v>8</v>
      </c>
      <c r="W34" s="1574">
        <f t="shared" si="14"/>
        <v>100</v>
      </c>
      <c r="X34" s="1567"/>
      <c r="Y34" s="3382"/>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2"/>
      <c r="Q35" s="1572" t="str">
        <f t="shared" si="11"/>
        <v>公共部分装修</v>
      </c>
      <c r="R35" s="1573" t="s">
        <v>8</v>
      </c>
      <c r="S35" s="1574">
        <f t="shared" si="12"/>
        <v>100</v>
      </c>
      <c r="T35" s="1573" t="s">
        <v>8</v>
      </c>
      <c r="U35" s="1574">
        <f t="shared" si="13"/>
        <v>100</v>
      </c>
      <c r="V35" s="1573" t="s">
        <v>8</v>
      </c>
      <c r="W35" s="1574">
        <f t="shared" si="14"/>
        <v>100</v>
      </c>
      <c r="X35" s="1567"/>
      <c r="Y35" s="3382"/>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2"/>
      <c r="Q36" s="1572" t="str">
        <f t="shared" si="11"/>
        <v>成新度</v>
      </c>
      <c r="R36" s="1573" t="s">
        <v>8</v>
      </c>
      <c r="S36" s="1574" t="e">
        <f t="shared" si="12"/>
        <v>#N/A</v>
      </c>
      <c r="T36" s="1573" t="s">
        <v>8</v>
      </c>
      <c r="U36" s="1574" t="e">
        <f t="shared" si="13"/>
        <v>#N/A</v>
      </c>
      <c r="V36" s="1573" t="s">
        <v>8</v>
      </c>
      <c r="W36" s="1574" t="e">
        <f t="shared" si="14"/>
        <v>#N/A</v>
      </c>
      <c r="X36" s="1567"/>
      <c r="Y36" s="3382"/>
      <c r="Z36" s="1575" t="str">
        <f t="shared" si="15"/>
        <v>成新度</v>
      </c>
      <c r="AA36" s="1576" t="e">
        <f t="shared" si="3"/>
        <v>#N/A</v>
      </c>
      <c r="AB36" s="1576" t="e">
        <f t="shared" si="4"/>
        <v>#N/A</v>
      </c>
      <c r="AC36" s="1576" t="e">
        <f t="shared" si="5"/>
        <v>#N/A</v>
      </c>
    </row>
    <row r="37" spans="1:29" s="1219"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2"/>
      <c r="Q37" s="1150" t="str">
        <f t="shared" si="11"/>
        <v>市政基础设施</v>
      </c>
      <c r="R37" s="1568" t="s">
        <v>8</v>
      </c>
      <c r="S37" s="1569">
        <f t="shared" si="12"/>
        <v>100</v>
      </c>
      <c r="T37" s="1568" t="s">
        <v>8</v>
      </c>
      <c r="U37" s="1569">
        <f t="shared" si="13"/>
        <v>100</v>
      </c>
      <c r="V37" s="1568" t="s">
        <v>8</v>
      </c>
      <c r="W37" s="1569">
        <f t="shared" si="14"/>
        <v>100</v>
      </c>
      <c r="X37" s="1570"/>
      <c r="Y37" s="3382"/>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2" t="s">
        <v>765</v>
      </c>
      <c r="Q38" s="1572" t="str">
        <f t="shared" si="11"/>
        <v>业态</v>
      </c>
      <c r="R38" s="1573" t="s">
        <v>8</v>
      </c>
      <c r="S38" s="1574">
        <f t="shared" si="12"/>
        <v>100</v>
      </c>
      <c r="T38" s="1573" t="s">
        <v>8</v>
      </c>
      <c r="U38" s="1574">
        <f t="shared" si="13"/>
        <v>100</v>
      </c>
      <c r="V38" s="1573" t="s">
        <v>8</v>
      </c>
      <c r="W38" s="1574">
        <f t="shared" si="14"/>
        <v>100</v>
      </c>
      <c r="X38" s="1567"/>
      <c r="Y38" s="3382"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2"/>
      <c r="Q39" s="1572" t="str">
        <f t="shared" si="11"/>
        <v>层高</v>
      </c>
      <c r="R39" s="1573" t="s">
        <v>8</v>
      </c>
      <c r="S39" s="1574">
        <f t="shared" si="12"/>
        <v>100</v>
      </c>
      <c r="T39" s="1573" t="s">
        <v>8</v>
      </c>
      <c r="U39" s="1574">
        <f t="shared" si="13"/>
        <v>100</v>
      </c>
      <c r="V39" s="1573" t="s">
        <v>8</v>
      </c>
      <c r="W39" s="1574">
        <f t="shared" si="14"/>
        <v>100</v>
      </c>
      <c r="X39" s="1567"/>
      <c r="Y39" s="3382"/>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2"/>
      <c r="Q40" s="1572" t="str">
        <f t="shared" si="11"/>
        <v>单套建筑面积</v>
      </c>
      <c r="R40" s="1573" t="s">
        <v>8</v>
      </c>
      <c r="S40" s="1574">
        <f t="shared" si="12"/>
        <v>100</v>
      </c>
      <c r="T40" s="1573" t="s">
        <v>8</v>
      </c>
      <c r="U40" s="1574">
        <f t="shared" si="13"/>
        <v>100</v>
      </c>
      <c r="V40" s="1573" t="s">
        <v>8</v>
      </c>
      <c r="W40" s="1574">
        <f t="shared" si="14"/>
        <v>100</v>
      </c>
      <c r="X40" s="1567"/>
      <c r="Y40" s="3382"/>
      <c r="Z40" s="1575" t="str">
        <f t="shared" si="15"/>
        <v>单套建筑面积</v>
      </c>
      <c r="AA40" s="1576">
        <f t="shared" si="3"/>
        <v>1</v>
      </c>
      <c r="AB40" s="1576">
        <f t="shared" si="4"/>
        <v>1</v>
      </c>
      <c r="AC40" s="1576">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2"/>
      <c r="Q41" s="1605" t="str">
        <f t="shared" si="11"/>
        <v>进深比</v>
      </c>
      <c r="R41" s="1577" t="s">
        <v>8</v>
      </c>
      <c r="S41" s="1578">
        <f t="shared" si="12"/>
        <v>100</v>
      </c>
      <c r="T41" s="1577" t="s">
        <v>8</v>
      </c>
      <c r="U41" s="1578">
        <f t="shared" si="13"/>
        <v>100</v>
      </c>
      <c r="V41" s="1577" t="s">
        <v>8</v>
      </c>
      <c r="W41" s="1578">
        <f t="shared" si="14"/>
        <v>100</v>
      </c>
      <c r="X41" s="1579"/>
      <c r="Y41" s="3382"/>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2"/>
      <c r="Q42" s="1572" t="str">
        <f t="shared" si="11"/>
        <v>内部装修</v>
      </c>
      <c r="R42" s="1573" t="s">
        <v>8</v>
      </c>
      <c r="S42" s="1574">
        <f t="shared" si="12"/>
        <v>100</v>
      </c>
      <c r="T42" s="1573" t="s">
        <v>8</v>
      </c>
      <c r="U42" s="1574">
        <f t="shared" si="13"/>
        <v>100</v>
      </c>
      <c r="V42" s="1573" t="s">
        <v>8</v>
      </c>
      <c r="W42" s="1574">
        <f t="shared" si="14"/>
        <v>100</v>
      </c>
      <c r="X42" s="1567"/>
      <c r="Y42" s="3382"/>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2"/>
      <c r="Q43" s="1572" t="str">
        <f t="shared" si="11"/>
        <v>内部装修维护情况</v>
      </c>
      <c r="R43" s="1573" t="s">
        <v>8</v>
      </c>
      <c r="S43" s="1574">
        <f t="shared" si="12"/>
        <v>100</v>
      </c>
      <c r="T43" s="1573" t="s">
        <v>8</v>
      </c>
      <c r="U43" s="1574">
        <f t="shared" si="13"/>
        <v>100</v>
      </c>
      <c r="V43" s="1573" t="s">
        <v>8</v>
      </c>
      <c r="W43" s="1574">
        <f t="shared" si="14"/>
        <v>100</v>
      </c>
      <c r="X43" s="1567"/>
      <c r="Y43" s="3382"/>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2"/>
      <c r="Q44" s="1150">
        <f t="shared" si="11"/>
        <v>111</v>
      </c>
      <c r="R44" s="1568" t="s">
        <v>8</v>
      </c>
      <c r="S44" s="1569">
        <f t="shared" si="12"/>
        <v>100</v>
      </c>
      <c r="T44" s="1568" t="s">
        <v>8</v>
      </c>
      <c r="U44" s="1569">
        <f t="shared" si="13"/>
        <v>100</v>
      </c>
      <c r="V44" s="1568" t="s">
        <v>8</v>
      </c>
      <c r="W44" s="1569">
        <f t="shared" si="14"/>
        <v>100</v>
      </c>
      <c r="X44" s="1570"/>
      <c r="Y44" s="3382"/>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2"/>
      <c r="Q45" s="1572">
        <f t="shared" si="11"/>
        <v>111</v>
      </c>
      <c r="R45" s="1573" t="s">
        <v>8</v>
      </c>
      <c r="S45" s="1574">
        <f t="shared" si="12"/>
        <v>100</v>
      </c>
      <c r="T45" s="1573" t="s">
        <v>8</v>
      </c>
      <c r="U45" s="1574">
        <f t="shared" si="13"/>
        <v>100</v>
      </c>
      <c r="V45" s="1573" t="s">
        <v>8</v>
      </c>
      <c r="W45" s="1574">
        <f t="shared" si="14"/>
        <v>100</v>
      </c>
      <c r="X45" s="1567"/>
      <c r="Y45" s="338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13"/>
      <c r="Q46" s="1572">
        <f t="shared" si="11"/>
        <v>111</v>
      </c>
      <c r="R46" s="1573" t="s">
        <v>8</v>
      </c>
      <c r="S46" s="1574">
        <f t="shared" si="12"/>
        <v>100</v>
      </c>
      <c r="T46" s="1573" t="s">
        <v>8</v>
      </c>
      <c r="U46" s="1574">
        <f t="shared" si="13"/>
        <v>100</v>
      </c>
      <c r="V46" s="1573" t="s">
        <v>8</v>
      </c>
      <c r="W46" s="1574">
        <f t="shared" si="14"/>
        <v>100</v>
      </c>
      <c r="X46" s="1567"/>
      <c r="Y46" s="3413"/>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377" t="str">
        <f>A47</f>
        <v>成交单价（元/平方米）</v>
      </c>
      <c r="Q47" s="3377"/>
      <c r="R47" s="3412">
        <f>E47</f>
        <v>0</v>
      </c>
      <c r="S47" s="3412"/>
      <c r="T47" s="3412">
        <f>G47</f>
        <v>0</v>
      </c>
      <c r="U47" s="3412"/>
      <c r="V47" s="3412">
        <f>I47</f>
        <v>0</v>
      </c>
      <c r="W47" s="3412"/>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377" t="str">
        <f>A48</f>
        <v>比较价格（元/平方米）</v>
      </c>
      <c r="Q48" s="3377"/>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559"/>
      <c r="Y48" s="1559"/>
      <c r="Z48" s="1559"/>
      <c r="AA48" s="1559"/>
      <c r="AB48" s="1559"/>
      <c r="AC48" s="1559"/>
    </row>
    <row r="49" spans="1:29" ht="15.75" thickBot="1">
      <c r="A49" s="621" t="s">
        <v>2938</v>
      </c>
      <c r="B49" s="622"/>
      <c r="C49" s="2661" t="e">
        <f>R49</f>
        <v>#DIV/0!</v>
      </c>
      <c r="D49" s="2661"/>
      <c r="E49" s="2661"/>
      <c r="F49" s="2661"/>
      <c r="G49" s="2661"/>
      <c r="H49" s="2661"/>
      <c r="I49" s="2661"/>
      <c r="J49" s="2661"/>
      <c r="K49" s="1613"/>
      <c r="L49" s="2145"/>
      <c r="M49" s="2146"/>
      <c r="N49" s="2135"/>
      <c r="O49" s="2146"/>
      <c r="P49" s="3400" t="str">
        <f>A49</f>
        <v>估价对象XX用房的比较价格（楼面单价，元/平方米）</v>
      </c>
      <c r="Q49" s="3401"/>
      <c r="R49" s="3411" t="e">
        <f>IF(F1="售价",ROUND(AVERAGE(R48:V48),0),ROUND(AVERAGE(R48:V48),1))</f>
        <v>#DIV/0!</v>
      </c>
      <c r="S49" s="3411"/>
      <c r="T49" s="3411"/>
      <c r="U49" s="3411"/>
      <c r="V49" s="3411"/>
      <c r="W49" s="34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383" t="s">
        <v>521</v>
      </c>
      <c r="D4" s="3384"/>
      <c r="E4" s="3409" t="s">
        <v>522</v>
      </c>
      <c r="F4" s="3410"/>
      <c r="G4" s="3383" t="s">
        <v>523</v>
      </c>
      <c r="H4" s="3384"/>
      <c r="I4" s="3383" t="s">
        <v>524</v>
      </c>
      <c r="J4" s="3384"/>
      <c r="K4" s="514" t="s">
        <v>525</v>
      </c>
      <c r="L4" s="2134"/>
      <c r="M4" s="2135"/>
      <c r="N4" s="2135"/>
      <c r="O4" s="2135"/>
      <c r="P4" s="3484" t="s">
        <v>526</v>
      </c>
      <c r="Q4" s="3386"/>
      <c r="R4" s="3371" t="s">
        <v>522</v>
      </c>
      <c r="S4" s="3372"/>
      <c r="T4" s="3371" t="s">
        <v>523</v>
      </c>
      <c r="U4" s="3372"/>
      <c r="V4" s="3391" t="s">
        <v>524</v>
      </c>
      <c r="W4" s="3391"/>
      <c r="X4" s="1567"/>
      <c r="Y4" s="3371" t="s">
        <v>526</v>
      </c>
      <c r="Z4" s="3372"/>
      <c r="AA4" s="3366" t="s">
        <v>522</v>
      </c>
      <c r="AB4" s="3366" t="s">
        <v>523</v>
      </c>
      <c r="AC4" s="3366" t="s">
        <v>524</v>
      </c>
    </row>
    <row r="5" spans="1:29" ht="15">
      <c r="A5" s="515"/>
      <c r="B5" s="516"/>
      <c r="C5" s="3396" t="s">
        <v>2932</v>
      </c>
      <c r="D5" s="3395"/>
      <c r="E5" s="3419" t="s">
        <v>2933</v>
      </c>
      <c r="F5" s="3405"/>
      <c r="G5" s="3396" t="s">
        <v>2934</v>
      </c>
      <c r="H5" s="3395"/>
      <c r="I5" s="3396" t="s">
        <v>2935</v>
      </c>
      <c r="J5" s="3395"/>
      <c r="K5" s="514"/>
      <c r="L5" s="2134"/>
      <c r="M5" s="2135"/>
      <c r="N5" s="2135"/>
      <c r="O5" s="2135"/>
      <c r="P5" s="3485"/>
      <c r="Q5" s="3388"/>
      <c r="R5" s="3373"/>
      <c r="S5" s="3374"/>
      <c r="T5" s="3373"/>
      <c r="U5" s="3374"/>
      <c r="V5" s="3391"/>
      <c r="W5" s="3391"/>
      <c r="X5" s="1567"/>
      <c r="Y5" s="3373"/>
      <c r="Z5" s="3374"/>
      <c r="AA5" s="3367"/>
      <c r="AB5" s="3367"/>
      <c r="AC5" s="3367"/>
    </row>
    <row r="6" spans="1:29" ht="15.75" thickBot="1">
      <c r="A6" s="517"/>
      <c r="B6" s="518"/>
      <c r="C6" s="3406" t="s">
        <v>2936</v>
      </c>
      <c r="D6" s="3393"/>
      <c r="E6" s="3420" t="s">
        <v>2936</v>
      </c>
      <c r="F6" s="3408"/>
      <c r="G6" s="3406" t="s">
        <v>2936</v>
      </c>
      <c r="H6" s="3393"/>
      <c r="I6" s="3406" t="s">
        <v>2936</v>
      </c>
      <c r="J6" s="3393"/>
      <c r="K6" s="514" t="s">
        <v>527</v>
      </c>
      <c r="L6" s="2134"/>
      <c r="M6" s="2135"/>
      <c r="N6" s="2135"/>
      <c r="O6" s="2135"/>
      <c r="P6" s="3486"/>
      <c r="Q6" s="3390"/>
      <c r="R6" s="3373"/>
      <c r="S6" s="3374"/>
      <c r="T6" s="3375"/>
      <c r="U6" s="3376"/>
      <c r="V6" s="3391"/>
      <c r="W6" s="3391"/>
      <c r="X6" s="1567"/>
      <c r="Y6" s="3375"/>
      <c r="Z6" s="3376"/>
      <c r="AA6" s="3368"/>
      <c r="AB6" s="3368"/>
      <c r="AC6" s="3368"/>
    </row>
    <row r="7" spans="1:29" s="1219" customFormat="1" ht="15.75" thickBot="1">
      <c r="A7" s="2937"/>
      <c r="B7" s="2944" t="s">
        <v>528</v>
      </c>
      <c r="C7" s="519">
        <f>'数据-取费表'!B2</f>
        <v>43215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8" t="s">
        <v>529</v>
      </c>
      <c r="Q7" s="3378"/>
      <c r="R7" s="1568" t="s">
        <v>8</v>
      </c>
      <c r="S7" s="1569">
        <f t="shared" ref="S7:S15" si="0">F7</f>
        <v>0</v>
      </c>
      <c r="T7" s="1568" t="s">
        <v>8</v>
      </c>
      <c r="U7" s="1569">
        <f t="shared" ref="U7:U15" si="1">H7</f>
        <v>0</v>
      </c>
      <c r="V7" s="1568" t="s">
        <v>8</v>
      </c>
      <c r="W7" s="1569">
        <f t="shared" ref="W7:W15" si="2">J7</f>
        <v>0</v>
      </c>
      <c r="X7" s="1570"/>
      <c r="Y7" s="3369" t="s">
        <v>529</v>
      </c>
      <c r="Z7" s="3370"/>
      <c r="AA7" s="1571" t="e">
        <f>D7/F7</f>
        <v>#DIV/0!</v>
      </c>
      <c r="AB7" s="1571" t="e">
        <f>D7/H7</f>
        <v>#DIV/0!</v>
      </c>
      <c r="AC7" s="1571" t="e">
        <f>D7/J7</f>
        <v>#DIV/0!</v>
      </c>
    </row>
    <row r="8" spans="1:29" s="1219"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8" t="s">
        <v>532</v>
      </c>
      <c r="Q8" s="3370"/>
      <c r="R8" s="1568" t="s">
        <v>8</v>
      </c>
      <c r="S8" s="1569">
        <f t="shared" si="0"/>
        <v>0</v>
      </c>
      <c r="T8" s="1568" t="s">
        <v>8</v>
      </c>
      <c r="U8" s="1569">
        <f t="shared" si="1"/>
        <v>0</v>
      </c>
      <c r="V8" s="1568" t="s">
        <v>8</v>
      </c>
      <c r="W8" s="1569">
        <f t="shared" si="2"/>
        <v>0</v>
      </c>
      <c r="X8" s="1570"/>
      <c r="Y8" s="3369" t="s">
        <v>532</v>
      </c>
      <c r="Z8" s="3370"/>
      <c r="AA8" s="1571" t="e">
        <f t="shared" ref="AA8:AA47" si="3">D8/F8</f>
        <v>#DIV/0!</v>
      </c>
      <c r="AB8" s="1571" t="e">
        <f t="shared" ref="AB8:AB47" si="4">D8/H8</f>
        <v>#DIV/0!</v>
      </c>
      <c r="AC8" s="1571" t="e">
        <f t="shared" ref="AC8:AC47" si="5">D8/J8</f>
        <v>#DIV/0!</v>
      </c>
    </row>
    <row r="9" spans="1:29" s="1219"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7" t="s">
        <v>534</v>
      </c>
      <c r="Q9" s="1150" t="str">
        <f t="shared" ref="Q9:Q15" si="6">B9</f>
        <v>用途</v>
      </c>
      <c r="R9" s="1568" t="s">
        <v>8</v>
      </c>
      <c r="S9" s="1569">
        <f t="shared" si="0"/>
        <v>100</v>
      </c>
      <c r="T9" s="1568" t="s">
        <v>8</v>
      </c>
      <c r="U9" s="1569">
        <f t="shared" si="1"/>
        <v>100</v>
      </c>
      <c r="V9" s="1568" t="s">
        <v>8</v>
      </c>
      <c r="W9" s="1569">
        <f t="shared" si="2"/>
        <v>100</v>
      </c>
      <c r="X9" s="1570"/>
      <c r="Y9" s="3334"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7"/>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7"/>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7"/>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7"/>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79" t="s">
        <v>539</v>
      </c>
      <c r="Q15" s="1572" t="str">
        <f t="shared" si="6"/>
        <v>办公集聚程度</v>
      </c>
      <c r="R15" s="1573" t="s">
        <v>8</v>
      </c>
      <c r="S15" s="1574">
        <f t="shared" si="0"/>
        <v>100</v>
      </c>
      <c r="T15" s="1573" t="s">
        <v>8</v>
      </c>
      <c r="U15" s="1574">
        <f t="shared" si="1"/>
        <v>100</v>
      </c>
      <c r="V15" s="1573" t="s">
        <v>8</v>
      </c>
      <c r="W15" s="1574">
        <f t="shared" si="2"/>
        <v>100</v>
      </c>
      <c r="X15" s="1567"/>
      <c r="Y15" s="3379"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80"/>
      <c r="Q16" s="1572"/>
      <c r="R16" s="1573"/>
      <c r="S16" s="1574"/>
      <c r="T16" s="1573"/>
      <c r="U16" s="1574"/>
      <c r="V16" s="1573"/>
      <c r="W16" s="1574"/>
      <c r="X16" s="1567"/>
      <c r="Y16" s="338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0"/>
      <c r="Q17" s="1572" t="str">
        <f>B17</f>
        <v>交通便捷度</v>
      </c>
      <c r="R17" s="1573" t="s">
        <v>8</v>
      </c>
      <c r="S17" s="1574">
        <f>F17</f>
        <v>100</v>
      </c>
      <c r="T17" s="1573" t="s">
        <v>8</v>
      </c>
      <c r="U17" s="1574">
        <f>H17</f>
        <v>100</v>
      </c>
      <c r="V17" s="1573" t="s">
        <v>8</v>
      </c>
      <c r="W17" s="1574">
        <f>J17</f>
        <v>100</v>
      </c>
      <c r="X17" s="1567"/>
      <c r="Y17" s="338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80"/>
      <c r="Q18" s="1572"/>
      <c r="R18" s="1573"/>
      <c r="S18" s="1574"/>
      <c r="T18" s="1573"/>
      <c r="U18" s="1574"/>
      <c r="V18" s="1573"/>
      <c r="W18" s="1574"/>
      <c r="X18" s="1567"/>
      <c r="Y18" s="3380"/>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0"/>
      <c r="Q19" s="1572" t="str">
        <f>B19</f>
        <v>公共配套设施</v>
      </c>
      <c r="R19" s="1573" t="s">
        <v>8</v>
      </c>
      <c r="S19" s="1574">
        <f>F19</f>
        <v>100</v>
      </c>
      <c r="T19" s="1573" t="s">
        <v>8</v>
      </c>
      <c r="U19" s="1574">
        <f>H19</f>
        <v>100</v>
      </c>
      <c r="V19" s="1573" t="s">
        <v>8</v>
      </c>
      <c r="W19" s="1574">
        <f>J19</f>
        <v>100</v>
      </c>
      <c r="X19" s="1567"/>
      <c r="Y19" s="338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80"/>
      <c r="Q20" s="1572"/>
      <c r="R20" s="1573"/>
      <c r="S20" s="1574"/>
      <c r="T20" s="1573"/>
      <c r="U20" s="1574"/>
      <c r="V20" s="1573"/>
      <c r="W20" s="1574"/>
      <c r="X20" s="1567"/>
      <c r="Y20" s="3380"/>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0"/>
      <c r="Q21" s="2604" t="str">
        <f>B21</f>
        <v>基础设施水平</v>
      </c>
      <c r="R21" s="1573" t="s">
        <v>8</v>
      </c>
      <c r="S21" s="1574">
        <f>F21</f>
        <v>100</v>
      </c>
      <c r="T21" s="1573" t="s">
        <v>8</v>
      </c>
      <c r="U21" s="1574">
        <f>H21</f>
        <v>100</v>
      </c>
      <c r="V21" s="1573" t="s">
        <v>8</v>
      </c>
      <c r="W21" s="1574">
        <f>J21</f>
        <v>100</v>
      </c>
      <c r="X21" s="2606"/>
      <c r="Y21" s="3380"/>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80"/>
      <c r="Q22" s="2604"/>
      <c r="R22" s="1573"/>
      <c r="S22" s="1574"/>
      <c r="T22" s="1573"/>
      <c r="U22" s="1574"/>
      <c r="V22" s="1573"/>
      <c r="W22" s="1574"/>
      <c r="X22" s="2606"/>
      <c r="Y22" s="3380"/>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0"/>
      <c r="Q23" s="1572" t="str">
        <f>B23</f>
        <v>环境质量</v>
      </c>
      <c r="R23" s="1573" t="s">
        <v>8</v>
      </c>
      <c r="S23" s="1574">
        <f>F23</f>
        <v>100</v>
      </c>
      <c r="T23" s="1573" t="s">
        <v>8</v>
      </c>
      <c r="U23" s="1574">
        <f>H23</f>
        <v>100</v>
      </c>
      <c r="V23" s="1573" t="s">
        <v>8</v>
      </c>
      <c r="W23" s="1574">
        <f>J23</f>
        <v>100</v>
      </c>
      <c r="X23" s="1567"/>
      <c r="Y23" s="338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80"/>
      <c r="Q24" s="1572"/>
      <c r="R24" s="1573"/>
      <c r="S24" s="1574"/>
      <c r="T24" s="1573"/>
      <c r="U24" s="1574"/>
      <c r="V24" s="1573"/>
      <c r="W24" s="1574"/>
      <c r="X24" s="1567"/>
      <c r="Y24" s="3380"/>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0"/>
      <c r="Q25" s="1572" t="str">
        <f>B25</f>
        <v>毗邻道路的类型与等级</v>
      </c>
      <c r="R25" s="1573" t="s">
        <v>8</v>
      </c>
      <c r="S25" s="1574">
        <f>F25</f>
        <v>100</v>
      </c>
      <c r="T25" s="1573" t="s">
        <v>8</v>
      </c>
      <c r="U25" s="1574">
        <f>H25</f>
        <v>100</v>
      </c>
      <c r="V25" s="1573" t="s">
        <v>8</v>
      </c>
      <c r="W25" s="1574">
        <f>J25</f>
        <v>100</v>
      </c>
      <c r="X25" s="1567"/>
      <c r="Y25" s="338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80"/>
      <c r="Q26" s="1572"/>
      <c r="R26" s="1573"/>
      <c r="S26" s="1574"/>
      <c r="T26" s="1573"/>
      <c r="U26" s="1574"/>
      <c r="V26" s="1573"/>
      <c r="W26" s="1574"/>
      <c r="X26" s="1567"/>
      <c r="Y26" s="3380"/>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0"/>
      <c r="Q27" s="1572" t="str">
        <f t="shared" ref="Q27:Q47" si="11">B27</f>
        <v>楼层</v>
      </c>
      <c r="R27" s="1573" t="s">
        <v>8</v>
      </c>
      <c r="S27" s="1574">
        <f>F27</f>
        <v>100</v>
      </c>
      <c r="T27" s="1573" t="s">
        <v>8</v>
      </c>
      <c r="U27" s="1574">
        <f>H27</f>
        <v>100</v>
      </c>
      <c r="V27" s="1573" t="s">
        <v>8</v>
      </c>
      <c r="W27" s="1574">
        <f>J27</f>
        <v>100</v>
      </c>
      <c r="X27" s="1567"/>
      <c r="Y27" s="3380"/>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0"/>
      <c r="Q28" s="1150" t="str">
        <f t="shared" si="11"/>
        <v>朝向</v>
      </c>
      <c r="R28" s="1568" t="s">
        <v>8</v>
      </c>
      <c r="S28" s="1569">
        <f>F28</f>
        <v>100</v>
      </c>
      <c r="T28" s="1568" t="s">
        <v>8</v>
      </c>
      <c r="U28" s="1569">
        <f>H28</f>
        <v>100</v>
      </c>
      <c r="V28" s="1568" t="s">
        <v>8</v>
      </c>
      <c r="W28" s="1569">
        <f>J28</f>
        <v>100</v>
      </c>
      <c r="X28" s="1570"/>
      <c r="Y28" s="3380"/>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0"/>
      <c r="Q29" s="1572">
        <f t="shared" si="11"/>
        <v>111</v>
      </c>
      <c r="R29" s="1573" t="s">
        <v>8</v>
      </c>
      <c r="S29" s="1574">
        <f t="shared" ref="S29:S47" si="12">F29</f>
        <v>100</v>
      </c>
      <c r="T29" s="1573" t="s">
        <v>8</v>
      </c>
      <c r="U29" s="1574">
        <f t="shared" ref="U29:U47" si="13">H29</f>
        <v>100</v>
      </c>
      <c r="V29" s="1573" t="s">
        <v>8</v>
      </c>
      <c r="W29" s="1574">
        <f t="shared" ref="W29:W47" si="14">J29</f>
        <v>100</v>
      </c>
      <c r="X29" s="1567"/>
      <c r="Y29" s="338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0"/>
      <c r="Q30" s="1572">
        <f t="shared" si="11"/>
        <v>111</v>
      </c>
      <c r="R30" s="1573" t="s">
        <v>8</v>
      </c>
      <c r="S30" s="1574">
        <f t="shared" si="12"/>
        <v>100</v>
      </c>
      <c r="T30" s="1573" t="s">
        <v>8</v>
      </c>
      <c r="U30" s="1574">
        <f t="shared" si="13"/>
        <v>100</v>
      </c>
      <c r="V30" s="1573" t="s">
        <v>8</v>
      </c>
      <c r="W30" s="1574">
        <f t="shared" si="14"/>
        <v>100</v>
      </c>
      <c r="X30" s="1567"/>
      <c r="Y30" s="338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0"/>
      <c r="Q31" s="1572">
        <f t="shared" si="11"/>
        <v>111</v>
      </c>
      <c r="R31" s="1573" t="s">
        <v>8</v>
      </c>
      <c r="S31" s="1574">
        <f t="shared" si="12"/>
        <v>100</v>
      </c>
      <c r="T31" s="1573" t="s">
        <v>8</v>
      </c>
      <c r="U31" s="1574">
        <f t="shared" si="13"/>
        <v>100</v>
      </c>
      <c r="V31" s="1573" t="s">
        <v>8</v>
      </c>
      <c r="W31" s="1574">
        <f t="shared" si="14"/>
        <v>100</v>
      </c>
      <c r="X31" s="1567"/>
      <c r="Y31" s="338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0"/>
      <c r="Q32" s="1572">
        <f t="shared" si="11"/>
        <v>111</v>
      </c>
      <c r="R32" s="1573" t="s">
        <v>8</v>
      </c>
      <c r="S32" s="1574">
        <f t="shared" si="12"/>
        <v>100</v>
      </c>
      <c r="T32" s="1573" t="s">
        <v>8</v>
      </c>
      <c r="U32" s="1574">
        <f t="shared" si="13"/>
        <v>100</v>
      </c>
      <c r="V32" s="1573" t="s">
        <v>8</v>
      </c>
      <c r="W32" s="1574">
        <f t="shared" si="14"/>
        <v>100</v>
      </c>
      <c r="X32" s="1567"/>
      <c r="Y32" s="3380"/>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1" t="s">
        <v>549</v>
      </c>
      <c r="Q33" s="1572" t="str">
        <f t="shared" si="11"/>
        <v>建筑类型</v>
      </c>
      <c r="R33" s="1573" t="s">
        <v>8</v>
      </c>
      <c r="S33" s="1574">
        <f t="shared" si="12"/>
        <v>100</v>
      </c>
      <c r="T33" s="1573" t="s">
        <v>8</v>
      </c>
      <c r="U33" s="1574">
        <f t="shared" si="13"/>
        <v>100</v>
      </c>
      <c r="V33" s="1573" t="s">
        <v>8</v>
      </c>
      <c r="W33" s="1574">
        <f t="shared" si="14"/>
        <v>100</v>
      </c>
      <c r="X33" s="1567"/>
      <c r="Y33" s="3382"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2"/>
      <c r="Q34" s="1605" t="str">
        <f t="shared" si="11"/>
        <v>项目建筑规模</v>
      </c>
      <c r="R34" s="1577" t="s">
        <v>8</v>
      </c>
      <c r="S34" s="1578" t="e">
        <f t="shared" si="12"/>
        <v>#N/A</v>
      </c>
      <c r="T34" s="1577" t="s">
        <v>8</v>
      </c>
      <c r="U34" s="1578" t="e">
        <f t="shared" si="13"/>
        <v>#N/A</v>
      </c>
      <c r="V34" s="1577" t="s">
        <v>8</v>
      </c>
      <c r="W34" s="1578" t="e">
        <f t="shared" si="14"/>
        <v>#N/A</v>
      </c>
      <c r="X34" s="1579"/>
      <c r="Y34" s="3382"/>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2"/>
      <c r="Q35" s="1572" t="str">
        <f t="shared" si="11"/>
        <v>建筑结构</v>
      </c>
      <c r="R35" s="1573" t="s">
        <v>8</v>
      </c>
      <c r="S35" s="1574">
        <f t="shared" si="12"/>
        <v>100</v>
      </c>
      <c r="T35" s="1573" t="s">
        <v>8</v>
      </c>
      <c r="U35" s="1574">
        <f t="shared" si="13"/>
        <v>100</v>
      </c>
      <c r="V35" s="1573" t="s">
        <v>8</v>
      </c>
      <c r="W35" s="1574">
        <f t="shared" si="14"/>
        <v>100</v>
      </c>
      <c r="X35" s="1567"/>
      <c r="Y35" s="3382"/>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2"/>
      <c r="Q36" s="1572" t="str">
        <f t="shared" si="11"/>
        <v>公共部分装修</v>
      </c>
      <c r="R36" s="1573" t="s">
        <v>8</v>
      </c>
      <c r="S36" s="1574">
        <f t="shared" si="12"/>
        <v>100</v>
      </c>
      <c r="T36" s="1573" t="s">
        <v>8</v>
      </c>
      <c r="U36" s="1574">
        <f t="shared" si="13"/>
        <v>100</v>
      </c>
      <c r="V36" s="1573" t="s">
        <v>8</v>
      </c>
      <c r="W36" s="1574">
        <f t="shared" si="14"/>
        <v>100</v>
      </c>
      <c r="X36" s="1567"/>
      <c r="Y36" s="3382"/>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2"/>
      <c r="Q37" s="1572" t="str">
        <f t="shared" si="11"/>
        <v>成新度</v>
      </c>
      <c r="R37" s="1573" t="s">
        <v>8</v>
      </c>
      <c r="S37" s="1574" t="e">
        <f t="shared" si="12"/>
        <v>#N/A</v>
      </c>
      <c r="T37" s="1573" t="s">
        <v>8</v>
      </c>
      <c r="U37" s="1574" t="e">
        <f t="shared" si="13"/>
        <v>#N/A</v>
      </c>
      <c r="V37" s="1573" t="s">
        <v>8</v>
      </c>
      <c r="W37" s="1574" t="e">
        <f t="shared" si="14"/>
        <v>#N/A</v>
      </c>
      <c r="X37" s="1567"/>
      <c r="Y37" s="3382"/>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2"/>
      <c r="Q38" s="1150" t="str">
        <f t="shared" si="11"/>
        <v>写字楼等级</v>
      </c>
      <c r="R38" s="1568" t="s">
        <v>8</v>
      </c>
      <c r="S38" s="1569">
        <f t="shared" si="12"/>
        <v>100</v>
      </c>
      <c r="T38" s="1568" t="s">
        <v>8</v>
      </c>
      <c r="U38" s="1569">
        <f t="shared" si="13"/>
        <v>100</v>
      </c>
      <c r="V38" s="1568" t="s">
        <v>8</v>
      </c>
      <c r="W38" s="1569">
        <f t="shared" si="14"/>
        <v>100</v>
      </c>
      <c r="X38" s="1570"/>
      <c r="Y38" s="3382"/>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2" t="s">
        <v>549</v>
      </c>
      <c r="Q39" s="1572" t="str">
        <f t="shared" si="11"/>
        <v>物业管理</v>
      </c>
      <c r="R39" s="1573" t="s">
        <v>8</v>
      </c>
      <c r="S39" s="1574">
        <f t="shared" si="12"/>
        <v>100</v>
      </c>
      <c r="T39" s="1573" t="s">
        <v>8</v>
      </c>
      <c r="U39" s="1574">
        <f t="shared" si="13"/>
        <v>100</v>
      </c>
      <c r="V39" s="1573" t="s">
        <v>8</v>
      </c>
      <c r="W39" s="1574">
        <f t="shared" si="14"/>
        <v>100</v>
      </c>
      <c r="X39" s="1567"/>
      <c r="Y39" s="3382"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2"/>
      <c r="Q40" s="1572" t="str">
        <f t="shared" si="11"/>
        <v>市政基础设施</v>
      </c>
      <c r="R40" s="1573" t="s">
        <v>8</v>
      </c>
      <c r="S40" s="1574">
        <f t="shared" si="12"/>
        <v>100</v>
      </c>
      <c r="T40" s="1573" t="s">
        <v>8</v>
      </c>
      <c r="U40" s="1574">
        <f t="shared" si="13"/>
        <v>100</v>
      </c>
      <c r="V40" s="1573" t="s">
        <v>8</v>
      </c>
      <c r="W40" s="1574">
        <f t="shared" si="14"/>
        <v>100</v>
      </c>
      <c r="X40" s="1567"/>
      <c r="Y40" s="3382"/>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2"/>
      <c r="Q41" s="1572" t="str">
        <f t="shared" si="11"/>
        <v>层高</v>
      </c>
      <c r="R41" s="1573" t="s">
        <v>8</v>
      </c>
      <c r="S41" s="1574">
        <f t="shared" si="12"/>
        <v>100</v>
      </c>
      <c r="T41" s="1573" t="s">
        <v>8</v>
      </c>
      <c r="U41" s="1574">
        <f t="shared" si="13"/>
        <v>100</v>
      </c>
      <c r="V41" s="1573" t="s">
        <v>8</v>
      </c>
      <c r="W41" s="1574">
        <f t="shared" si="14"/>
        <v>100</v>
      </c>
      <c r="X41" s="1567"/>
      <c r="Y41" s="3382"/>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2"/>
      <c r="Q42" s="1605" t="str">
        <f t="shared" si="11"/>
        <v>单套建筑面积</v>
      </c>
      <c r="R42" s="1577" t="s">
        <v>8</v>
      </c>
      <c r="S42" s="1578">
        <f t="shared" si="12"/>
        <v>100</v>
      </c>
      <c r="T42" s="1577" t="s">
        <v>8</v>
      </c>
      <c r="U42" s="1578">
        <f t="shared" si="13"/>
        <v>100</v>
      </c>
      <c r="V42" s="1577" t="s">
        <v>8</v>
      </c>
      <c r="W42" s="1578">
        <f t="shared" si="14"/>
        <v>100</v>
      </c>
      <c r="X42" s="1579"/>
      <c r="Y42" s="3382"/>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2"/>
      <c r="Q43" s="1572" t="str">
        <f t="shared" si="11"/>
        <v>内部装修</v>
      </c>
      <c r="R43" s="1573" t="s">
        <v>8</v>
      </c>
      <c r="S43" s="1574">
        <f t="shared" si="12"/>
        <v>100</v>
      </c>
      <c r="T43" s="1573" t="s">
        <v>8</v>
      </c>
      <c r="U43" s="1574">
        <f t="shared" si="13"/>
        <v>100</v>
      </c>
      <c r="V43" s="1573" t="s">
        <v>8</v>
      </c>
      <c r="W43" s="1574">
        <f t="shared" si="14"/>
        <v>100</v>
      </c>
      <c r="X43" s="1567"/>
      <c r="Y43" s="3382"/>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2"/>
      <c r="Q44" s="1572" t="str">
        <f t="shared" si="11"/>
        <v>内部装修维护情况</v>
      </c>
      <c r="R44" s="1573" t="s">
        <v>8</v>
      </c>
      <c r="S44" s="1574">
        <f t="shared" si="12"/>
        <v>100</v>
      </c>
      <c r="T44" s="1573" t="s">
        <v>8</v>
      </c>
      <c r="U44" s="1574">
        <f t="shared" si="13"/>
        <v>100</v>
      </c>
      <c r="V44" s="1573" t="s">
        <v>8</v>
      </c>
      <c r="W44" s="1574">
        <f t="shared" si="14"/>
        <v>100</v>
      </c>
      <c r="X44" s="1567"/>
      <c r="Y44" s="3382"/>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2"/>
      <c r="Q45" s="1150">
        <f t="shared" si="11"/>
        <v>111</v>
      </c>
      <c r="R45" s="1568" t="s">
        <v>8</v>
      </c>
      <c r="S45" s="1569">
        <f t="shared" si="12"/>
        <v>100</v>
      </c>
      <c r="T45" s="1568" t="s">
        <v>8</v>
      </c>
      <c r="U45" s="1569">
        <f t="shared" si="13"/>
        <v>100</v>
      </c>
      <c r="V45" s="1568" t="s">
        <v>8</v>
      </c>
      <c r="W45" s="1569">
        <f t="shared" si="14"/>
        <v>100</v>
      </c>
      <c r="X45" s="1570"/>
      <c r="Y45" s="3382"/>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2"/>
      <c r="Q46" s="1572">
        <f t="shared" si="11"/>
        <v>111</v>
      </c>
      <c r="R46" s="1573" t="s">
        <v>8</v>
      </c>
      <c r="S46" s="1574">
        <f t="shared" si="12"/>
        <v>100</v>
      </c>
      <c r="T46" s="1573" t="s">
        <v>8</v>
      </c>
      <c r="U46" s="1574">
        <f t="shared" si="13"/>
        <v>100</v>
      </c>
      <c r="V46" s="1573" t="s">
        <v>8</v>
      </c>
      <c r="W46" s="1574">
        <f t="shared" si="14"/>
        <v>100</v>
      </c>
      <c r="X46" s="1567"/>
      <c r="Y46" s="338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13"/>
      <c r="Q47" s="1572">
        <f t="shared" si="11"/>
        <v>111</v>
      </c>
      <c r="R47" s="1573" t="s">
        <v>8</v>
      </c>
      <c r="S47" s="1574">
        <f t="shared" si="12"/>
        <v>100</v>
      </c>
      <c r="T47" s="1573" t="s">
        <v>8</v>
      </c>
      <c r="U47" s="1574">
        <f t="shared" si="13"/>
        <v>100</v>
      </c>
      <c r="V47" s="1573" t="s">
        <v>8</v>
      </c>
      <c r="W47" s="1574">
        <f t="shared" si="14"/>
        <v>100</v>
      </c>
      <c r="X47" s="1567"/>
      <c r="Y47" s="3413"/>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401" t="str">
        <f>A48</f>
        <v>成交单价（元/平方米）</v>
      </c>
      <c r="Q48" s="3377"/>
      <c r="R48" s="3412">
        <f>E48</f>
        <v>0</v>
      </c>
      <c r="S48" s="3412"/>
      <c r="T48" s="3412">
        <f>G48</f>
        <v>0</v>
      </c>
      <c r="U48" s="3412"/>
      <c r="V48" s="3412">
        <f>I48</f>
        <v>0</v>
      </c>
      <c r="W48" s="3412"/>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401" t="str">
        <f>A49</f>
        <v>比较价格（元/平方米）</v>
      </c>
      <c r="Q49" s="3377"/>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1559"/>
      <c r="Y49" s="1559"/>
      <c r="Z49" s="1559"/>
      <c r="AA49" s="1559"/>
      <c r="AB49" s="1559"/>
      <c r="AC49" s="1559"/>
    </row>
    <row r="50" spans="1:29" ht="15.75" thickBot="1">
      <c r="A50" s="621" t="s">
        <v>2938</v>
      </c>
      <c r="B50" s="622"/>
      <c r="C50" s="2661" t="e">
        <f>R50</f>
        <v>#DIV/0!</v>
      </c>
      <c r="D50" s="2661"/>
      <c r="E50" s="2661"/>
      <c r="F50" s="2661"/>
      <c r="G50" s="2661"/>
      <c r="H50" s="2661"/>
      <c r="I50" s="2661"/>
      <c r="J50" s="2661"/>
      <c r="K50" s="1613"/>
      <c r="L50" s="2145"/>
      <c r="M50" s="2135"/>
      <c r="N50" s="2135"/>
      <c r="O50" s="2135"/>
      <c r="P50" s="3487" t="str">
        <f>A50</f>
        <v>估价对象XX用房的比较价格（楼面单价，元/平方米）</v>
      </c>
      <c r="Q50" s="3401"/>
      <c r="R50" s="3411" t="e">
        <f>IF(F1="售价",ROUND(AVERAGE(R49:V49),0),ROUND(AVERAGE(R49:V49),1))</f>
        <v>#DIV/0!</v>
      </c>
      <c r="S50" s="3411"/>
      <c r="T50" s="3411"/>
      <c r="U50" s="3411"/>
      <c r="V50" s="3411"/>
      <c r="W50" s="341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383" t="s">
        <v>521</v>
      </c>
      <c r="D4" s="3384"/>
      <c r="E4" s="3409" t="s">
        <v>522</v>
      </c>
      <c r="F4" s="3410"/>
      <c r="G4" s="3383" t="s">
        <v>523</v>
      </c>
      <c r="H4" s="3384"/>
      <c r="I4" s="3383" t="s">
        <v>524</v>
      </c>
      <c r="J4" s="3384"/>
      <c r="K4" s="514" t="s">
        <v>525</v>
      </c>
      <c r="L4" s="2134"/>
      <c r="M4" s="2135"/>
      <c r="N4" s="2135"/>
      <c r="O4" s="2135"/>
      <c r="P4" s="3385" t="s">
        <v>526</v>
      </c>
      <c r="Q4" s="3386"/>
      <c r="R4" s="3371" t="s">
        <v>522</v>
      </c>
      <c r="S4" s="3372"/>
      <c r="T4" s="3371" t="s">
        <v>523</v>
      </c>
      <c r="U4" s="3372"/>
      <c r="V4" s="3391" t="s">
        <v>524</v>
      </c>
      <c r="W4" s="3391"/>
      <c r="X4" s="1567"/>
      <c r="Y4" s="3371" t="s">
        <v>526</v>
      </c>
      <c r="Z4" s="3372"/>
      <c r="AA4" s="3366" t="s">
        <v>522</v>
      </c>
      <c r="AB4" s="3367" t="s">
        <v>523</v>
      </c>
      <c r="AC4" s="3366" t="s">
        <v>524</v>
      </c>
    </row>
    <row r="5" spans="1:29" ht="15">
      <c r="A5" s="515"/>
      <c r="B5" s="516"/>
      <c r="C5" s="3396" t="s">
        <v>2932</v>
      </c>
      <c r="D5" s="3395"/>
      <c r="E5" s="3419" t="s">
        <v>2933</v>
      </c>
      <c r="F5" s="3405"/>
      <c r="G5" s="3396" t="s">
        <v>2934</v>
      </c>
      <c r="H5" s="3395"/>
      <c r="I5" s="3396" t="s">
        <v>2935</v>
      </c>
      <c r="J5" s="3395"/>
      <c r="K5" s="514"/>
      <c r="L5" s="2134"/>
      <c r="M5" s="2135"/>
      <c r="N5" s="2135"/>
      <c r="O5" s="2135"/>
      <c r="P5" s="3387"/>
      <c r="Q5" s="3388"/>
      <c r="R5" s="3373"/>
      <c r="S5" s="3374"/>
      <c r="T5" s="3373"/>
      <c r="U5" s="3374"/>
      <c r="V5" s="3391"/>
      <c r="W5" s="3391"/>
      <c r="X5" s="1567"/>
      <c r="Y5" s="3373"/>
      <c r="Z5" s="3374"/>
      <c r="AA5" s="3367"/>
      <c r="AB5" s="3367"/>
      <c r="AC5" s="3367"/>
    </row>
    <row r="6" spans="1:29" ht="15.75" thickBot="1">
      <c r="A6" s="517"/>
      <c r="B6" s="518"/>
      <c r="C6" s="3406" t="s">
        <v>2936</v>
      </c>
      <c r="D6" s="3393"/>
      <c r="E6" s="3420" t="s">
        <v>2936</v>
      </c>
      <c r="F6" s="3408"/>
      <c r="G6" s="3406" t="s">
        <v>2936</v>
      </c>
      <c r="H6" s="3393"/>
      <c r="I6" s="3406" t="s">
        <v>2936</v>
      </c>
      <c r="J6" s="3393"/>
      <c r="K6" s="514" t="s">
        <v>527</v>
      </c>
      <c r="L6" s="2134"/>
      <c r="M6" s="2135"/>
      <c r="N6" s="2135"/>
      <c r="O6" s="2135"/>
      <c r="P6" s="3389"/>
      <c r="Q6" s="3390"/>
      <c r="R6" s="3373"/>
      <c r="S6" s="3374"/>
      <c r="T6" s="3375"/>
      <c r="U6" s="3376"/>
      <c r="V6" s="3391"/>
      <c r="W6" s="3391"/>
      <c r="X6" s="1567"/>
      <c r="Y6" s="3375"/>
      <c r="Z6" s="3376"/>
      <c r="AA6" s="3368"/>
      <c r="AB6" s="3368"/>
      <c r="AC6" s="3368"/>
    </row>
    <row r="7" spans="1:29" s="1219" customFormat="1" ht="15.75" thickBot="1">
      <c r="A7" s="2937"/>
      <c r="B7" s="2944" t="s">
        <v>528</v>
      </c>
      <c r="C7" s="519">
        <f>'数据-取费表'!B2</f>
        <v>43215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9" t="s">
        <v>529</v>
      </c>
      <c r="Q7" s="3378"/>
      <c r="R7" s="1568" t="s">
        <v>8</v>
      </c>
      <c r="S7" s="1569">
        <f t="shared" ref="S7:S15" si="0">F7</f>
        <v>0</v>
      </c>
      <c r="T7" s="1568" t="s">
        <v>8</v>
      </c>
      <c r="U7" s="1569">
        <f t="shared" ref="U7:U15" si="1">H7</f>
        <v>0</v>
      </c>
      <c r="V7" s="1568" t="s">
        <v>8</v>
      </c>
      <c r="W7" s="1569">
        <f t="shared" ref="W7:W15" si="2">J7</f>
        <v>0</v>
      </c>
      <c r="X7" s="1570"/>
      <c r="Y7" s="3369" t="s">
        <v>529</v>
      </c>
      <c r="Z7" s="3370"/>
      <c r="AA7" s="1571" t="e">
        <f>D7/F7</f>
        <v>#DIV/0!</v>
      </c>
      <c r="AB7" s="1571" t="e">
        <f>D7/H7</f>
        <v>#DIV/0!</v>
      </c>
      <c r="AC7" s="1571" t="e">
        <f>D7/J7</f>
        <v>#DIV/0!</v>
      </c>
    </row>
    <row r="8" spans="1:29" s="1219"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9" t="s">
        <v>532</v>
      </c>
      <c r="Q8" s="3370"/>
      <c r="R8" s="1568" t="s">
        <v>8</v>
      </c>
      <c r="S8" s="1569">
        <f t="shared" si="0"/>
        <v>0</v>
      </c>
      <c r="T8" s="1568" t="s">
        <v>8</v>
      </c>
      <c r="U8" s="1569">
        <f t="shared" si="1"/>
        <v>0</v>
      </c>
      <c r="V8" s="1568" t="s">
        <v>8</v>
      </c>
      <c r="W8" s="1569">
        <f t="shared" si="2"/>
        <v>0</v>
      </c>
      <c r="X8" s="1570"/>
      <c r="Y8" s="3369" t="s">
        <v>532</v>
      </c>
      <c r="Z8" s="3370"/>
      <c r="AA8" s="1571" t="e">
        <f t="shared" ref="AA8:AA40" si="3">D8/F8</f>
        <v>#DIV/0!</v>
      </c>
      <c r="AB8" s="1571" t="e">
        <f t="shared" ref="AB8:AB40" si="4">D8/H8</f>
        <v>#DIV/0!</v>
      </c>
      <c r="AC8" s="1571" t="e">
        <f t="shared" ref="AC8:AC40" si="5">D8/J8</f>
        <v>#DIV/0!</v>
      </c>
    </row>
    <row r="9" spans="1:29" s="1219"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7" t="s">
        <v>534</v>
      </c>
      <c r="Q9" s="1150" t="str">
        <f t="shared" ref="Q9:Q15" si="6">B9</f>
        <v>用途</v>
      </c>
      <c r="R9" s="1568" t="s">
        <v>8</v>
      </c>
      <c r="S9" s="1569">
        <f t="shared" si="0"/>
        <v>100</v>
      </c>
      <c r="T9" s="1568" t="s">
        <v>8</v>
      </c>
      <c r="U9" s="1569">
        <f t="shared" si="1"/>
        <v>100</v>
      </c>
      <c r="V9" s="1568" t="s">
        <v>8</v>
      </c>
      <c r="W9" s="1569">
        <f t="shared" si="2"/>
        <v>100</v>
      </c>
      <c r="X9" s="1570"/>
      <c r="Y9" s="3334" t="s">
        <v>535</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7"/>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7"/>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7"/>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7"/>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57">
      <c r="A15" s="2935" t="s">
        <v>2757</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79" t="s">
        <v>539</v>
      </c>
      <c r="Q15" s="1572" t="str">
        <f t="shared" si="6"/>
        <v>产业集聚程度</v>
      </c>
      <c r="R15" s="1573" t="s">
        <v>8</v>
      </c>
      <c r="S15" s="1574">
        <f t="shared" si="0"/>
        <v>100</v>
      </c>
      <c r="T15" s="1573" t="s">
        <v>8</v>
      </c>
      <c r="U15" s="1574">
        <f t="shared" si="1"/>
        <v>100</v>
      </c>
      <c r="V15" s="1573" t="s">
        <v>8</v>
      </c>
      <c r="W15" s="1574">
        <f t="shared" si="2"/>
        <v>100</v>
      </c>
      <c r="X15" s="1567"/>
      <c r="Y15" s="3379"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0"/>
      <c r="Q16" s="1572"/>
      <c r="R16" s="1573"/>
      <c r="S16" s="1574"/>
      <c r="T16" s="1573"/>
      <c r="U16" s="1574"/>
      <c r="V16" s="1573"/>
      <c r="W16" s="1574"/>
      <c r="X16" s="1567"/>
      <c r="Y16" s="338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0"/>
      <c r="Q17" s="1572" t="str">
        <f>B17</f>
        <v>交通便捷度</v>
      </c>
      <c r="R17" s="1573" t="s">
        <v>8</v>
      </c>
      <c r="S17" s="1574">
        <f>F17</f>
        <v>100</v>
      </c>
      <c r="T17" s="1573" t="s">
        <v>8</v>
      </c>
      <c r="U17" s="1574">
        <f>H17</f>
        <v>100</v>
      </c>
      <c r="V17" s="1573" t="s">
        <v>8</v>
      </c>
      <c r="W17" s="1574">
        <f>J17</f>
        <v>100</v>
      </c>
      <c r="X17" s="1567"/>
      <c r="Y17" s="338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0"/>
      <c r="Q18" s="1572"/>
      <c r="R18" s="1573"/>
      <c r="S18" s="1574"/>
      <c r="T18" s="1573"/>
      <c r="U18" s="1574"/>
      <c r="V18" s="1573"/>
      <c r="W18" s="1574"/>
      <c r="X18" s="1567"/>
      <c r="Y18" s="3380"/>
      <c r="Z18" s="1575"/>
      <c r="AA18" s="1576">
        <v>1</v>
      </c>
      <c r="AB18" s="1576">
        <v>1</v>
      </c>
      <c r="AC18" s="1576">
        <v>1</v>
      </c>
    </row>
    <row r="19" spans="1:29" ht="42.75">
      <c r="A19" s="532"/>
      <c r="B19" s="2628"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0"/>
      <c r="Q19" s="1572" t="str">
        <f>B19</f>
        <v>公共配套设施</v>
      </c>
      <c r="R19" s="1573" t="s">
        <v>8</v>
      </c>
      <c r="S19" s="1574">
        <f>F19</f>
        <v>100</v>
      </c>
      <c r="T19" s="1573" t="s">
        <v>8</v>
      </c>
      <c r="U19" s="1574">
        <f>H19</f>
        <v>100</v>
      </c>
      <c r="V19" s="1573" t="s">
        <v>8</v>
      </c>
      <c r="W19" s="1574">
        <f>J19</f>
        <v>100</v>
      </c>
      <c r="X19" s="1567"/>
      <c r="Y19" s="338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80"/>
      <c r="Q20" s="1572"/>
      <c r="R20" s="1573"/>
      <c r="S20" s="1574"/>
      <c r="T20" s="1573"/>
      <c r="U20" s="1574"/>
      <c r="V20" s="1573"/>
      <c r="W20" s="1574"/>
      <c r="X20" s="1567"/>
      <c r="Y20" s="3380"/>
      <c r="Z20" s="1575"/>
      <c r="AA20" s="1576">
        <v>1</v>
      </c>
      <c r="AB20" s="1576">
        <v>1</v>
      </c>
      <c r="AC20" s="1576">
        <v>1</v>
      </c>
    </row>
    <row r="21" spans="1:29" ht="28.5">
      <c r="A21" s="532"/>
      <c r="B21" s="2616"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0"/>
      <c r="Q21" s="2604" t="str">
        <f>B21</f>
        <v>基础设施水平</v>
      </c>
      <c r="R21" s="1573" t="s">
        <v>8</v>
      </c>
      <c r="S21" s="1574">
        <f>F21</f>
        <v>100</v>
      </c>
      <c r="T21" s="1573" t="s">
        <v>8</v>
      </c>
      <c r="U21" s="1574">
        <f>H21</f>
        <v>100</v>
      </c>
      <c r="V21" s="1573" t="s">
        <v>8</v>
      </c>
      <c r="W21" s="1574">
        <f>J21</f>
        <v>100</v>
      </c>
      <c r="X21" s="2606"/>
      <c r="Y21" s="3380"/>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80"/>
      <c r="Q22" s="2604"/>
      <c r="R22" s="1573"/>
      <c r="S22" s="1574"/>
      <c r="T22" s="1573"/>
      <c r="U22" s="1574"/>
      <c r="V22" s="1573"/>
      <c r="W22" s="1574"/>
      <c r="X22" s="2606"/>
      <c r="Y22" s="3380"/>
      <c r="Z22" s="2605"/>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0"/>
      <c r="Q23" s="1572" t="str">
        <f>B23</f>
        <v>环境质量</v>
      </c>
      <c r="R23" s="1573" t="s">
        <v>8</v>
      </c>
      <c r="S23" s="1574">
        <f>F23</f>
        <v>100</v>
      </c>
      <c r="T23" s="1573" t="s">
        <v>8</v>
      </c>
      <c r="U23" s="1574">
        <f>H23</f>
        <v>100</v>
      </c>
      <c r="V23" s="1573" t="s">
        <v>8</v>
      </c>
      <c r="W23" s="1574">
        <f>J23</f>
        <v>100</v>
      </c>
      <c r="X23" s="1567"/>
      <c r="Y23" s="338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80"/>
      <c r="Q24" s="1572"/>
      <c r="R24" s="1573"/>
      <c r="S24" s="1574"/>
      <c r="T24" s="1573"/>
      <c r="U24" s="1574"/>
      <c r="V24" s="1573"/>
      <c r="W24" s="1574"/>
      <c r="X24" s="1567"/>
      <c r="Y24" s="338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0"/>
      <c r="Q25" s="1572">
        <f>B25</f>
        <v>111</v>
      </c>
      <c r="R25" s="1573" t="s">
        <v>8</v>
      </c>
      <c r="S25" s="1574">
        <f>F25</f>
        <v>100</v>
      </c>
      <c r="T25" s="1573" t="s">
        <v>8</v>
      </c>
      <c r="U25" s="1574">
        <f>H25</f>
        <v>100</v>
      </c>
      <c r="V25" s="1573" t="s">
        <v>8</v>
      </c>
      <c r="W25" s="1574">
        <f>J25</f>
        <v>100</v>
      </c>
      <c r="X25" s="1567"/>
      <c r="Y25" s="338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0"/>
      <c r="Q26" s="1572">
        <f t="shared" ref="Q26:Q40" si="11">B26</f>
        <v>111</v>
      </c>
      <c r="R26" s="1573" t="s">
        <v>8</v>
      </c>
      <c r="S26" s="1574">
        <f>F26</f>
        <v>100</v>
      </c>
      <c r="T26" s="1573" t="s">
        <v>8</v>
      </c>
      <c r="U26" s="1574">
        <f>H26</f>
        <v>100</v>
      </c>
      <c r="V26" s="1573" t="s">
        <v>8</v>
      </c>
      <c r="W26" s="1574">
        <f>J26</f>
        <v>100</v>
      </c>
      <c r="X26" s="1567"/>
      <c r="Y26" s="3380"/>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0"/>
      <c r="Q27" s="1150">
        <f t="shared" si="11"/>
        <v>111</v>
      </c>
      <c r="R27" s="1568" t="s">
        <v>8</v>
      </c>
      <c r="S27" s="1569">
        <f>F27</f>
        <v>100</v>
      </c>
      <c r="T27" s="1568" t="s">
        <v>8</v>
      </c>
      <c r="U27" s="1569">
        <f>H27</f>
        <v>100</v>
      </c>
      <c r="V27" s="1568" t="s">
        <v>8</v>
      </c>
      <c r="W27" s="1569">
        <f>J27</f>
        <v>100</v>
      </c>
      <c r="X27" s="1570"/>
      <c r="Y27" s="3380"/>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0"/>
      <c r="Q28" s="1572">
        <f t="shared" si="11"/>
        <v>111</v>
      </c>
      <c r="R28" s="1573" t="s">
        <v>8</v>
      </c>
      <c r="S28" s="1574">
        <f t="shared" ref="S28:S40" si="12">F28</f>
        <v>100</v>
      </c>
      <c r="T28" s="1573" t="s">
        <v>8</v>
      </c>
      <c r="U28" s="1574">
        <f t="shared" ref="U28:U40" si="13">H28</f>
        <v>100</v>
      </c>
      <c r="V28" s="1573" t="s">
        <v>8</v>
      </c>
      <c r="W28" s="1574">
        <f t="shared" ref="W28:W40" si="14">J28</f>
        <v>100</v>
      </c>
      <c r="X28" s="1567"/>
      <c r="Y28" s="3380"/>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1" t="s">
        <v>549</v>
      </c>
      <c r="Q29" s="1572" t="str">
        <f t="shared" si="11"/>
        <v>建筑类型</v>
      </c>
      <c r="R29" s="1573" t="s">
        <v>8</v>
      </c>
      <c r="S29" s="1574">
        <f t="shared" si="12"/>
        <v>100</v>
      </c>
      <c r="T29" s="1573" t="s">
        <v>8</v>
      </c>
      <c r="U29" s="1574">
        <f t="shared" si="13"/>
        <v>100</v>
      </c>
      <c r="V29" s="1573" t="s">
        <v>8</v>
      </c>
      <c r="W29" s="1574">
        <f t="shared" si="14"/>
        <v>100</v>
      </c>
      <c r="X29" s="1567"/>
      <c r="Y29" s="3382"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2"/>
      <c r="Q30" s="1605" t="str">
        <f t="shared" si="11"/>
        <v>项目建筑规模</v>
      </c>
      <c r="R30" s="1577" t="s">
        <v>8</v>
      </c>
      <c r="S30" s="1578" t="e">
        <f t="shared" si="12"/>
        <v>#N/A</v>
      </c>
      <c r="T30" s="1577" t="s">
        <v>8</v>
      </c>
      <c r="U30" s="1578" t="e">
        <f t="shared" si="13"/>
        <v>#N/A</v>
      </c>
      <c r="V30" s="1577" t="s">
        <v>8</v>
      </c>
      <c r="W30" s="1578" t="e">
        <f t="shared" si="14"/>
        <v>#N/A</v>
      </c>
      <c r="X30" s="1579"/>
      <c r="Y30" s="3382"/>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2"/>
      <c r="Q31" s="1572" t="str">
        <f t="shared" si="11"/>
        <v>建筑结构</v>
      </c>
      <c r="R31" s="1573" t="s">
        <v>8</v>
      </c>
      <c r="S31" s="1574">
        <f t="shared" si="12"/>
        <v>100</v>
      </c>
      <c r="T31" s="1573" t="s">
        <v>8</v>
      </c>
      <c r="U31" s="1574">
        <f t="shared" si="13"/>
        <v>100</v>
      </c>
      <c r="V31" s="1573" t="s">
        <v>8</v>
      </c>
      <c r="W31" s="1574">
        <f t="shared" si="14"/>
        <v>100</v>
      </c>
      <c r="X31" s="1567"/>
      <c r="Y31" s="3382"/>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2"/>
      <c r="Q32" s="1572" t="str">
        <f t="shared" si="11"/>
        <v>公共部分装修</v>
      </c>
      <c r="R32" s="1573" t="s">
        <v>8</v>
      </c>
      <c r="S32" s="1574">
        <f t="shared" si="12"/>
        <v>100</v>
      </c>
      <c r="T32" s="1573" t="s">
        <v>8</v>
      </c>
      <c r="U32" s="1574">
        <f t="shared" si="13"/>
        <v>100</v>
      </c>
      <c r="V32" s="1573" t="s">
        <v>8</v>
      </c>
      <c r="W32" s="1574">
        <f t="shared" si="14"/>
        <v>100</v>
      </c>
      <c r="X32" s="1567"/>
      <c r="Y32" s="3382"/>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2"/>
      <c r="Q33" s="1572" t="str">
        <f t="shared" si="11"/>
        <v>成新度</v>
      </c>
      <c r="R33" s="1573" t="s">
        <v>8</v>
      </c>
      <c r="S33" s="1574" t="e">
        <f t="shared" si="12"/>
        <v>#N/A</v>
      </c>
      <c r="T33" s="1573" t="s">
        <v>8</v>
      </c>
      <c r="U33" s="1574" t="e">
        <f t="shared" si="13"/>
        <v>#N/A</v>
      </c>
      <c r="V33" s="1573" t="s">
        <v>8</v>
      </c>
      <c r="W33" s="1574" t="e">
        <f t="shared" si="14"/>
        <v>#N/A</v>
      </c>
      <c r="X33" s="1567"/>
      <c r="Y33" s="3382"/>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2"/>
      <c r="Q34" s="1150" t="str">
        <f t="shared" si="11"/>
        <v>物业管理</v>
      </c>
      <c r="R34" s="1568" t="s">
        <v>8</v>
      </c>
      <c r="S34" s="1569">
        <f t="shared" si="12"/>
        <v>100</v>
      </c>
      <c r="T34" s="1568" t="s">
        <v>8</v>
      </c>
      <c r="U34" s="1569">
        <f t="shared" si="13"/>
        <v>100</v>
      </c>
      <c r="V34" s="1568" t="s">
        <v>8</v>
      </c>
      <c r="W34" s="1569">
        <f t="shared" si="14"/>
        <v>100</v>
      </c>
      <c r="X34" s="1570"/>
      <c r="Y34" s="3382"/>
      <c r="Z34" s="1149"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2" t="s">
        <v>549</v>
      </c>
      <c r="Q35" s="1572" t="str">
        <f t="shared" si="11"/>
        <v>市政基础设施</v>
      </c>
      <c r="R35" s="1573" t="s">
        <v>8</v>
      </c>
      <c r="S35" s="1574">
        <f t="shared" si="12"/>
        <v>100</v>
      </c>
      <c r="T35" s="1573" t="s">
        <v>8</v>
      </c>
      <c r="U35" s="1574">
        <f t="shared" si="13"/>
        <v>100</v>
      </c>
      <c r="V35" s="1573" t="s">
        <v>8</v>
      </c>
      <c r="W35" s="1574">
        <f t="shared" si="14"/>
        <v>100</v>
      </c>
      <c r="X35" s="1567"/>
      <c r="Y35" s="3382"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2"/>
      <c r="Q36" s="1572" t="str">
        <f t="shared" si="11"/>
        <v>内部装修</v>
      </c>
      <c r="R36" s="1573" t="s">
        <v>8</v>
      </c>
      <c r="S36" s="1574">
        <f t="shared" si="12"/>
        <v>100</v>
      </c>
      <c r="T36" s="1573" t="s">
        <v>8</v>
      </c>
      <c r="U36" s="1574">
        <f t="shared" si="13"/>
        <v>100</v>
      </c>
      <c r="V36" s="1573" t="s">
        <v>8</v>
      </c>
      <c r="W36" s="1574">
        <f t="shared" si="14"/>
        <v>100</v>
      </c>
      <c r="X36" s="1567"/>
      <c r="Y36" s="3382"/>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2"/>
      <c r="Q37" s="1572" t="str">
        <f t="shared" si="11"/>
        <v>内部装修状况</v>
      </c>
      <c r="R37" s="1573" t="s">
        <v>8</v>
      </c>
      <c r="S37" s="1574">
        <f t="shared" si="12"/>
        <v>100</v>
      </c>
      <c r="T37" s="1573" t="s">
        <v>8</v>
      </c>
      <c r="U37" s="1574">
        <f t="shared" si="13"/>
        <v>100</v>
      </c>
      <c r="V37" s="1573" t="s">
        <v>8</v>
      </c>
      <c r="W37" s="1574">
        <f t="shared" si="14"/>
        <v>100</v>
      </c>
      <c r="X37" s="1567"/>
      <c r="Y37" s="3382"/>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2"/>
      <c r="Q38" s="1605">
        <f t="shared" si="11"/>
        <v>111</v>
      </c>
      <c r="R38" s="1577" t="s">
        <v>8</v>
      </c>
      <c r="S38" s="1578">
        <f t="shared" si="12"/>
        <v>100</v>
      </c>
      <c r="T38" s="1577" t="s">
        <v>8</v>
      </c>
      <c r="U38" s="1578">
        <f t="shared" si="13"/>
        <v>100</v>
      </c>
      <c r="V38" s="1577" t="s">
        <v>8</v>
      </c>
      <c r="W38" s="1578">
        <f t="shared" si="14"/>
        <v>100</v>
      </c>
      <c r="X38" s="1579"/>
      <c r="Y38" s="338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2"/>
      <c r="Q39" s="1572">
        <f t="shared" si="11"/>
        <v>111</v>
      </c>
      <c r="R39" s="1573" t="s">
        <v>8</v>
      </c>
      <c r="S39" s="1574">
        <f t="shared" si="12"/>
        <v>100</v>
      </c>
      <c r="T39" s="1573" t="s">
        <v>8</v>
      </c>
      <c r="U39" s="1574">
        <f t="shared" si="13"/>
        <v>100</v>
      </c>
      <c r="V39" s="1573" t="s">
        <v>8</v>
      </c>
      <c r="W39" s="1574">
        <f t="shared" si="14"/>
        <v>100</v>
      </c>
      <c r="X39" s="1567"/>
      <c r="Y39" s="338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13"/>
      <c r="Q40" s="1572">
        <f t="shared" si="11"/>
        <v>111</v>
      </c>
      <c r="R40" s="1573" t="s">
        <v>8</v>
      </c>
      <c r="S40" s="1574">
        <f t="shared" si="12"/>
        <v>100</v>
      </c>
      <c r="T40" s="1573" t="s">
        <v>8</v>
      </c>
      <c r="U40" s="1574">
        <f t="shared" si="13"/>
        <v>100</v>
      </c>
      <c r="V40" s="1573" t="s">
        <v>8</v>
      </c>
      <c r="W40" s="1574">
        <f t="shared" si="14"/>
        <v>100</v>
      </c>
      <c r="X40" s="1567"/>
      <c r="Y40" s="3413"/>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377" t="str">
        <f>A41</f>
        <v>成交单价（元/平方米）</v>
      </c>
      <c r="Q41" s="3377"/>
      <c r="R41" s="3412">
        <f>E41</f>
        <v>0</v>
      </c>
      <c r="S41" s="3412"/>
      <c r="T41" s="3412">
        <f>G41</f>
        <v>0</v>
      </c>
      <c r="U41" s="3412"/>
      <c r="V41" s="3412">
        <f>I41</f>
        <v>0</v>
      </c>
      <c r="W41" s="3412"/>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377" t="str">
        <f>A42</f>
        <v>比较价格（元/平方米）</v>
      </c>
      <c r="Q42" s="3377"/>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559"/>
      <c r="Y42" s="1559"/>
      <c r="Z42" s="1559"/>
      <c r="AA42" s="1559"/>
      <c r="AB42" s="1559"/>
      <c r="AC42" s="1559"/>
    </row>
    <row r="43" spans="1:29" ht="15.75" thickBot="1">
      <c r="A43" s="621" t="s">
        <v>2938</v>
      </c>
      <c r="B43" s="622"/>
      <c r="C43" s="2661" t="e">
        <f>R43</f>
        <v>#DIV/0!</v>
      </c>
      <c r="D43" s="2661"/>
      <c r="E43" s="2661"/>
      <c r="F43" s="2661"/>
      <c r="G43" s="2661"/>
      <c r="H43" s="2661"/>
      <c r="I43" s="2661"/>
      <c r="J43" s="2661"/>
      <c r="K43" s="1613"/>
      <c r="L43" s="2145"/>
      <c r="M43" s="2146"/>
      <c r="N43" s="2146"/>
      <c r="O43" s="2146"/>
      <c r="P43" s="3400" t="str">
        <f>A43</f>
        <v>估价对象XX用房的比较价格（楼面单价，元/平方米）</v>
      </c>
      <c r="Q43" s="3401"/>
      <c r="R43" s="3411" t="e">
        <f>IF(F1="售价",ROUND(AVERAGE(R42:V42),0),ROUND(AVERAGE(R42:V42),1))</f>
        <v>#DIV/0!</v>
      </c>
      <c r="S43" s="3411"/>
      <c r="T43" s="3411"/>
      <c r="U43" s="3411"/>
      <c r="V43" s="3411"/>
      <c r="W43" s="341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83" t="s">
        <v>797</v>
      </c>
      <c r="D4" s="3384"/>
      <c r="E4" s="3383" t="s">
        <v>798</v>
      </c>
      <c r="F4" s="3384"/>
      <c r="G4" s="3383" t="s">
        <v>799</v>
      </c>
      <c r="H4" s="3384"/>
      <c r="I4" s="3383" t="s">
        <v>800</v>
      </c>
      <c r="J4" s="3384"/>
      <c r="K4" s="514" t="s">
        <v>801</v>
      </c>
      <c r="L4" s="2134"/>
      <c r="M4" s="2135"/>
      <c r="N4" s="2135"/>
      <c r="O4" s="2135"/>
      <c r="P4" s="3385" t="s">
        <v>802</v>
      </c>
      <c r="Q4" s="3386"/>
      <c r="R4" s="3371" t="s">
        <v>798</v>
      </c>
      <c r="S4" s="3372"/>
      <c r="T4" s="3371" t="s">
        <v>799</v>
      </c>
      <c r="U4" s="3372"/>
      <c r="V4" s="3391" t="s">
        <v>800</v>
      </c>
      <c r="W4" s="3391"/>
      <c r="X4" s="1567"/>
      <c r="Y4" s="3371" t="s">
        <v>802</v>
      </c>
      <c r="Z4" s="3372"/>
      <c r="AA4" s="3366" t="s">
        <v>798</v>
      </c>
      <c r="AB4" s="3367" t="s">
        <v>799</v>
      </c>
      <c r="AC4" s="3366" t="s">
        <v>800</v>
      </c>
    </row>
    <row r="5" spans="1:29" ht="15">
      <c r="A5" s="515"/>
      <c r="B5" s="516"/>
      <c r="C5" s="3396" t="s">
        <v>2932</v>
      </c>
      <c r="D5" s="3395"/>
      <c r="E5" s="3396" t="s">
        <v>2933</v>
      </c>
      <c r="F5" s="3395"/>
      <c r="G5" s="3396" t="s">
        <v>2934</v>
      </c>
      <c r="H5" s="3395"/>
      <c r="I5" s="3396" t="s">
        <v>2935</v>
      </c>
      <c r="J5" s="3395"/>
      <c r="K5" s="514"/>
      <c r="L5" s="2134"/>
      <c r="M5" s="2135"/>
      <c r="N5" s="2135"/>
      <c r="O5" s="2135"/>
      <c r="P5" s="3387"/>
      <c r="Q5" s="3388"/>
      <c r="R5" s="3373"/>
      <c r="S5" s="3374"/>
      <c r="T5" s="3373"/>
      <c r="U5" s="3374"/>
      <c r="V5" s="3391"/>
      <c r="W5" s="3391"/>
      <c r="X5" s="1567"/>
      <c r="Y5" s="3373"/>
      <c r="Z5" s="3374"/>
      <c r="AA5" s="3367"/>
      <c r="AB5" s="3367"/>
      <c r="AC5" s="3367"/>
    </row>
    <row r="6" spans="1:29" ht="15.75" thickBot="1">
      <c r="A6" s="517"/>
      <c r="B6" s="518"/>
      <c r="C6" s="3406" t="s">
        <v>2936</v>
      </c>
      <c r="D6" s="3393"/>
      <c r="E6" s="3397" t="s">
        <v>2936</v>
      </c>
      <c r="F6" s="3398"/>
      <c r="G6" s="3406" t="s">
        <v>2936</v>
      </c>
      <c r="H6" s="3393"/>
      <c r="I6" s="3406" t="s">
        <v>2936</v>
      </c>
      <c r="J6" s="3393"/>
      <c r="K6" s="514" t="s">
        <v>527</v>
      </c>
      <c r="L6" s="2134"/>
      <c r="M6" s="2135"/>
      <c r="N6" s="2135"/>
      <c r="O6" s="2135"/>
      <c r="P6" s="3389"/>
      <c r="Q6" s="3390"/>
      <c r="R6" s="3373"/>
      <c r="S6" s="3374"/>
      <c r="T6" s="3375"/>
      <c r="U6" s="3376"/>
      <c r="V6" s="3391"/>
      <c r="W6" s="3391"/>
      <c r="X6" s="1567"/>
      <c r="Y6" s="3375"/>
      <c r="Z6" s="3376"/>
      <c r="AA6" s="3368"/>
      <c r="AB6" s="3368"/>
      <c r="AC6" s="3368"/>
    </row>
    <row r="7" spans="1:29" s="1219" customFormat="1" ht="15.75" thickBot="1">
      <c r="A7" s="2937"/>
      <c r="B7" s="2944" t="s">
        <v>528</v>
      </c>
      <c r="C7" s="519">
        <f>'数据-取费表'!B2</f>
        <v>43215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9" t="s">
        <v>529</v>
      </c>
      <c r="Q7" s="3378"/>
      <c r="R7" s="1568" t="s">
        <v>8</v>
      </c>
      <c r="S7" s="1569">
        <f t="shared" ref="S7:S14" si="0">F7</f>
        <v>0</v>
      </c>
      <c r="T7" s="1568" t="s">
        <v>8</v>
      </c>
      <c r="U7" s="1569">
        <f t="shared" ref="U7:U14" si="1">H7</f>
        <v>0</v>
      </c>
      <c r="V7" s="1568" t="s">
        <v>8</v>
      </c>
      <c r="W7" s="1569">
        <f t="shared" ref="W7:W14" si="2">J7</f>
        <v>0</v>
      </c>
      <c r="X7" s="1570"/>
      <c r="Y7" s="3369" t="s">
        <v>529</v>
      </c>
      <c r="Z7" s="3370"/>
      <c r="AA7" s="1571" t="e">
        <f>D7/F7</f>
        <v>#DIV/0!</v>
      </c>
      <c r="AB7" s="1571" t="e">
        <f>D7/H7</f>
        <v>#DIV/0!</v>
      </c>
      <c r="AC7" s="1571" t="e">
        <f>D7/J7</f>
        <v>#DIV/0!</v>
      </c>
    </row>
    <row r="8" spans="1:29" s="1219"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9" t="s">
        <v>532</v>
      </c>
      <c r="Q8" s="3370"/>
      <c r="R8" s="1568" t="s">
        <v>8</v>
      </c>
      <c r="S8" s="1569">
        <f t="shared" si="0"/>
        <v>0</v>
      </c>
      <c r="T8" s="1568" t="s">
        <v>8</v>
      </c>
      <c r="U8" s="1569">
        <f t="shared" si="1"/>
        <v>0</v>
      </c>
      <c r="V8" s="1568" t="s">
        <v>8</v>
      </c>
      <c r="W8" s="1569">
        <f t="shared" si="2"/>
        <v>0</v>
      </c>
      <c r="X8" s="1570"/>
      <c r="Y8" s="3369" t="s">
        <v>532</v>
      </c>
      <c r="Z8" s="3370"/>
      <c r="AA8" s="1571" t="e">
        <f t="shared" ref="AA8:AA36" si="3">D8/F8</f>
        <v>#DIV/0!</v>
      </c>
      <c r="AB8" s="1571" t="e">
        <f t="shared" ref="AB8:AB36" si="4">D8/H8</f>
        <v>#DIV/0!</v>
      </c>
      <c r="AC8" s="1571" t="e">
        <f t="shared" ref="AC8:AC36" si="5">D8/J8</f>
        <v>#DIV/0!</v>
      </c>
    </row>
    <row r="9" spans="1:29" s="1219"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7" t="s">
        <v>534</v>
      </c>
      <c r="Q9" s="1150" t="str">
        <f t="shared" ref="Q9:Q14" si="6">B9</f>
        <v>用途</v>
      </c>
      <c r="R9" s="1568" t="s">
        <v>8</v>
      </c>
      <c r="S9" s="1569">
        <f t="shared" si="0"/>
        <v>100</v>
      </c>
      <c r="T9" s="1568" t="s">
        <v>8</v>
      </c>
      <c r="U9" s="1569">
        <f t="shared" si="1"/>
        <v>100</v>
      </c>
      <c r="V9" s="1568" t="s">
        <v>8</v>
      </c>
      <c r="W9" s="1569">
        <f t="shared" si="2"/>
        <v>100</v>
      </c>
      <c r="X9" s="1570"/>
      <c r="Y9" s="3334" t="s">
        <v>535</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7"/>
      <c r="Q11" s="1150">
        <f t="shared" si="6"/>
        <v>111</v>
      </c>
      <c r="R11" s="1568" t="s">
        <v>8</v>
      </c>
      <c r="S11" s="1569">
        <f t="shared" si="0"/>
        <v>100</v>
      </c>
      <c r="T11" s="1568" t="s">
        <v>8</v>
      </c>
      <c r="U11" s="1569">
        <f t="shared" si="1"/>
        <v>100</v>
      </c>
      <c r="V11" s="1568" t="s">
        <v>8</v>
      </c>
      <c r="W11" s="1569">
        <f t="shared" si="2"/>
        <v>100</v>
      </c>
      <c r="X11" s="1570"/>
      <c r="Y11" s="3334"/>
      <c r="Z11" s="1149">
        <f t="shared" si="7"/>
        <v>111</v>
      </c>
      <c r="AA11" s="1571">
        <f t="shared" si="3"/>
        <v>1</v>
      </c>
      <c r="AB11" s="1571">
        <f t="shared" si="4"/>
        <v>1</v>
      </c>
      <c r="AC11" s="1571">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7"/>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7"/>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79" t="s">
        <v>539</v>
      </c>
      <c r="Q14" s="1572" t="str">
        <f t="shared" si="6"/>
        <v>交通便捷度</v>
      </c>
      <c r="R14" s="1573" t="s">
        <v>8</v>
      </c>
      <c r="S14" s="1574">
        <f t="shared" si="0"/>
        <v>100</v>
      </c>
      <c r="T14" s="1573" t="s">
        <v>8</v>
      </c>
      <c r="U14" s="1574">
        <f t="shared" si="1"/>
        <v>100</v>
      </c>
      <c r="V14" s="1573" t="s">
        <v>8</v>
      </c>
      <c r="W14" s="1574">
        <f t="shared" si="2"/>
        <v>100</v>
      </c>
      <c r="X14" s="1567"/>
      <c r="Y14" s="3379"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80"/>
      <c r="Q15" s="1572"/>
      <c r="R15" s="1573"/>
      <c r="S15" s="1574"/>
      <c r="T15" s="1573"/>
      <c r="U15" s="1574"/>
      <c r="V15" s="1573"/>
      <c r="W15" s="1574"/>
      <c r="X15" s="1567"/>
      <c r="Y15" s="3380"/>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0"/>
      <c r="Q16" s="1572" t="str">
        <f>B16</f>
        <v>公共配套设施</v>
      </c>
      <c r="R16" s="1573" t="s">
        <v>8</v>
      </c>
      <c r="S16" s="1574">
        <f>F16</f>
        <v>100</v>
      </c>
      <c r="T16" s="1573" t="s">
        <v>8</v>
      </c>
      <c r="U16" s="1574">
        <f>H16</f>
        <v>100</v>
      </c>
      <c r="V16" s="1573" t="s">
        <v>8</v>
      </c>
      <c r="W16" s="1574">
        <f>J16</f>
        <v>100</v>
      </c>
      <c r="X16" s="1567"/>
      <c r="Y16" s="338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80"/>
      <c r="Q17" s="1572"/>
      <c r="R17" s="1573"/>
      <c r="S17" s="1574"/>
      <c r="T17" s="1573"/>
      <c r="U17" s="1574"/>
      <c r="V17" s="1573"/>
      <c r="W17" s="1574"/>
      <c r="X17" s="1567"/>
      <c r="Y17" s="3380"/>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0"/>
      <c r="Q18" s="2604" t="str">
        <f>B18</f>
        <v>基础设施水平</v>
      </c>
      <c r="R18" s="1573" t="s">
        <v>8</v>
      </c>
      <c r="S18" s="1574">
        <f>F18</f>
        <v>100</v>
      </c>
      <c r="T18" s="1573" t="s">
        <v>8</v>
      </c>
      <c r="U18" s="1574">
        <f>H18</f>
        <v>100</v>
      </c>
      <c r="V18" s="1573" t="s">
        <v>8</v>
      </c>
      <c r="W18" s="1574">
        <f>J18</f>
        <v>100</v>
      </c>
      <c r="X18" s="2606"/>
      <c r="Y18" s="3380"/>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80"/>
      <c r="Q19" s="2604"/>
      <c r="R19" s="1573"/>
      <c r="S19" s="1574"/>
      <c r="T19" s="1573"/>
      <c r="U19" s="1574"/>
      <c r="V19" s="1573"/>
      <c r="W19" s="1574"/>
      <c r="X19" s="2606"/>
      <c r="Y19" s="3380"/>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0"/>
      <c r="Q20" s="1572" t="str">
        <f>B20</f>
        <v>自然及人文环境</v>
      </c>
      <c r="R20" s="1573" t="s">
        <v>8</v>
      </c>
      <c r="S20" s="1574">
        <f>F20</f>
        <v>100</v>
      </c>
      <c r="T20" s="1573" t="s">
        <v>8</v>
      </c>
      <c r="U20" s="1574">
        <f>H20</f>
        <v>100</v>
      </c>
      <c r="V20" s="1573" t="s">
        <v>8</v>
      </c>
      <c r="W20" s="1574">
        <f>J20</f>
        <v>100</v>
      </c>
      <c r="X20" s="1567"/>
      <c r="Y20" s="338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80"/>
      <c r="Q21" s="1572"/>
      <c r="R21" s="1573"/>
      <c r="S21" s="1574"/>
      <c r="T21" s="1573"/>
      <c r="U21" s="1574"/>
      <c r="V21" s="1573"/>
      <c r="W21" s="1574"/>
      <c r="X21" s="1567"/>
      <c r="Y21" s="3380"/>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0"/>
      <c r="Q22" s="1572" t="str">
        <f>B22</f>
        <v>楼层</v>
      </c>
      <c r="R22" s="1573" t="s">
        <v>8</v>
      </c>
      <c r="S22" s="1574">
        <f>F22</f>
        <v>100</v>
      </c>
      <c r="T22" s="1573" t="s">
        <v>8</v>
      </c>
      <c r="U22" s="1574">
        <f>H22</f>
        <v>100</v>
      </c>
      <c r="V22" s="1573" t="s">
        <v>8</v>
      </c>
      <c r="W22" s="1574">
        <f>J22</f>
        <v>100</v>
      </c>
      <c r="X22" s="1567"/>
      <c r="Y22" s="338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0"/>
      <c r="Q23" s="1572">
        <f>B23</f>
        <v>111</v>
      </c>
      <c r="R23" s="1573" t="s">
        <v>8</v>
      </c>
      <c r="S23" s="1574">
        <f>F23</f>
        <v>100</v>
      </c>
      <c r="T23" s="1573" t="s">
        <v>8</v>
      </c>
      <c r="U23" s="1574">
        <f>H23</f>
        <v>100</v>
      </c>
      <c r="V23" s="1573" t="s">
        <v>8</v>
      </c>
      <c r="W23" s="1574">
        <f>J23</f>
        <v>100</v>
      </c>
      <c r="X23" s="1567"/>
      <c r="Y23" s="338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0"/>
      <c r="Q24" s="1572">
        <f t="shared" ref="Q24:Q36" si="11">B24</f>
        <v>111</v>
      </c>
      <c r="R24" s="1573" t="s">
        <v>8</v>
      </c>
      <c r="S24" s="1574">
        <f>F24</f>
        <v>100</v>
      </c>
      <c r="T24" s="1573" t="s">
        <v>8</v>
      </c>
      <c r="U24" s="1574">
        <f>H24</f>
        <v>100</v>
      </c>
      <c r="V24" s="1573" t="s">
        <v>8</v>
      </c>
      <c r="W24" s="1574">
        <f>J24</f>
        <v>100</v>
      </c>
      <c r="X24" s="1567"/>
      <c r="Y24" s="3380"/>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0"/>
      <c r="Q25" s="1150">
        <f t="shared" si="11"/>
        <v>111</v>
      </c>
      <c r="R25" s="1568" t="s">
        <v>8</v>
      </c>
      <c r="S25" s="1569">
        <f>F25</f>
        <v>100</v>
      </c>
      <c r="T25" s="1568" t="s">
        <v>8</v>
      </c>
      <c r="U25" s="1569">
        <f>H25</f>
        <v>100</v>
      </c>
      <c r="V25" s="1568" t="s">
        <v>8</v>
      </c>
      <c r="W25" s="1569">
        <f>J25</f>
        <v>100</v>
      </c>
      <c r="X25" s="1570"/>
      <c r="Y25" s="3380"/>
      <c r="Z25" s="1149">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1"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2"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2"/>
      <c r="Q27" s="1605" t="str">
        <f t="shared" si="11"/>
        <v>项目停车位配比</v>
      </c>
      <c r="R27" s="1577" t="s">
        <v>8</v>
      </c>
      <c r="S27" s="1578">
        <f t="shared" si="12"/>
        <v>100</v>
      </c>
      <c r="T27" s="1577" t="s">
        <v>8</v>
      </c>
      <c r="U27" s="1578">
        <f t="shared" si="13"/>
        <v>100</v>
      </c>
      <c r="V27" s="1577" t="s">
        <v>8</v>
      </c>
      <c r="W27" s="1578">
        <f t="shared" si="14"/>
        <v>100</v>
      </c>
      <c r="X27" s="1579"/>
      <c r="Y27" s="3382"/>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2"/>
      <c r="Q28" s="1572" t="str">
        <f t="shared" si="11"/>
        <v>公共部分装修</v>
      </c>
      <c r="R28" s="1573" t="s">
        <v>8</v>
      </c>
      <c r="S28" s="1574">
        <f t="shared" si="12"/>
        <v>100</v>
      </c>
      <c r="T28" s="1573" t="s">
        <v>8</v>
      </c>
      <c r="U28" s="1574">
        <f t="shared" si="13"/>
        <v>100</v>
      </c>
      <c r="V28" s="1573" t="s">
        <v>8</v>
      </c>
      <c r="W28" s="1574">
        <f t="shared" si="14"/>
        <v>100</v>
      </c>
      <c r="X28" s="1567"/>
      <c r="Y28" s="3382"/>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2"/>
      <c r="Q29" s="1572" t="str">
        <f t="shared" si="11"/>
        <v>成新率</v>
      </c>
      <c r="R29" s="1573" t="s">
        <v>8</v>
      </c>
      <c r="S29" s="1574" t="e">
        <f t="shared" si="12"/>
        <v>#N/A</v>
      </c>
      <c r="T29" s="1573" t="s">
        <v>8</v>
      </c>
      <c r="U29" s="1574" t="e">
        <f t="shared" si="13"/>
        <v>#N/A</v>
      </c>
      <c r="V29" s="1573" t="s">
        <v>8</v>
      </c>
      <c r="W29" s="1574" t="e">
        <f t="shared" si="14"/>
        <v>#N/A</v>
      </c>
      <c r="X29" s="1567"/>
      <c r="Y29" s="3382"/>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2"/>
      <c r="Q30" s="1572" t="str">
        <f t="shared" si="11"/>
        <v>物业等级</v>
      </c>
      <c r="R30" s="1573" t="s">
        <v>8</v>
      </c>
      <c r="S30" s="1574">
        <f t="shared" si="12"/>
        <v>100</v>
      </c>
      <c r="T30" s="1573" t="s">
        <v>8</v>
      </c>
      <c r="U30" s="1574">
        <f t="shared" si="13"/>
        <v>100</v>
      </c>
      <c r="V30" s="1573" t="s">
        <v>8</v>
      </c>
      <c r="W30" s="1574">
        <f t="shared" si="14"/>
        <v>100</v>
      </c>
      <c r="X30" s="1567"/>
      <c r="Y30" s="3382"/>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2"/>
      <c r="Q31" s="1150" t="str">
        <f t="shared" si="11"/>
        <v>停车位面积</v>
      </c>
      <c r="R31" s="1568" t="s">
        <v>8</v>
      </c>
      <c r="S31" s="1569" t="e">
        <f t="shared" si="12"/>
        <v>#N/A</v>
      </c>
      <c r="T31" s="1568" t="s">
        <v>8</v>
      </c>
      <c r="U31" s="1569" t="e">
        <f t="shared" si="13"/>
        <v>#N/A</v>
      </c>
      <c r="V31" s="1568" t="s">
        <v>8</v>
      </c>
      <c r="W31" s="1569" t="e">
        <f t="shared" si="14"/>
        <v>#N/A</v>
      </c>
      <c r="X31" s="1570"/>
      <c r="Y31" s="3382"/>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2" t="s">
        <v>549</v>
      </c>
      <c r="Q32" s="1572" t="str">
        <f t="shared" si="11"/>
        <v>车位类型</v>
      </c>
      <c r="R32" s="1573" t="s">
        <v>8</v>
      </c>
      <c r="S32" s="1574">
        <f t="shared" si="12"/>
        <v>100</v>
      </c>
      <c r="T32" s="1573" t="s">
        <v>8</v>
      </c>
      <c r="U32" s="1574">
        <f t="shared" si="13"/>
        <v>100</v>
      </c>
      <c r="V32" s="1573" t="s">
        <v>8</v>
      </c>
      <c r="W32" s="1574">
        <f t="shared" si="14"/>
        <v>100</v>
      </c>
      <c r="X32" s="1567"/>
      <c r="Y32" s="3382"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2"/>
      <c r="Q33" s="1572" t="str">
        <f t="shared" si="11"/>
        <v>是否直接入户</v>
      </c>
      <c r="R33" s="1573" t="s">
        <v>8</v>
      </c>
      <c r="S33" s="1574">
        <f t="shared" si="12"/>
        <v>100</v>
      </c>
      <c r="T33" s="1573" t="s">
        <v>8</v>
      </c>
      <c r="U33" s="1574">
        <f t="shared" si="13"/>
        <v>100</v>
      </c>
      <c r="V33" s="1573" t="s">
        <v>8</v>
      </c>
      <c r="W33" s="1574">
        <f t="shared" si="14"/>
        <v>100</v>
      </c>
      <c r="X33" s="1567"/>
      <c r="Y33" s="338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2"/>
      <c r="Q34" s="1572">
        <f t="shared" si="11"/>
        <v>111</v>
      </c>
      <c r="R34" s="1573" t="s">
        <v>8</v>
      </c>
      <c r="S34" s="1574">
        <f t="shared" si="12"/>
        <v>100</v>
      </c>
      <c r="T34" s="1573" t="s">
        <v>8</v>
      </c>
      <c r="U34" s="1574">
        <f t="shared" si="13"/>
        <v>100</v>
      </c>
      <c r="V34" s="1573" t="s">
        <v>8</v>
      </c>
      <c r="W34" s="1574">
        <f t="shared" si="14"/>
        <v>100</v>
      </c>
      <c r="X34" s="1567"/>
      <c r="Y34" s="3382"/>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2"/>
      <c r="Q35" s="1605">
        <f t="shared" si="11"/>
        <v>111</v>
      </c>
      <c r="R35" s="1577" t="s">
        <v>8</v>
      </c>
      <c r="S35" s="1578">
        <f t="shared" si="12"/>
        <v>100</v>
      </c>
      <c r="T35" s="1577" t="s">
        <v>8</v>
      </c>
      <c r="U35" s="1578">
        <f t="shared" si="13"/>
        <v>100</v>
      </c>
      <c r="V35" s="1577" t="s">
        <v>8</v>
      </c>
      <c r="W35" s="1578">
        <f t="shared" si="14"/>
        <v>100</v>
      </c>
      <c r="X35" s="1579"/>
      <c r="Y35" s="338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2"/>
      <c r="Q36" s="1572">
        <f t="shared" si="11"/>
        <v>111</v>
      </c>
      <c r="R36" s="1573" t="s">
        <v>8</v>
      </c>
      <c r="S36" s="1574">
        <f t="shared" si="12"/>
        <v>100</v>
      </c>
      <c r="T36" s="1573" t="s">
        <v>8</v>
      </c>
      <c r="U36" s="1574">
        <f t="shared" si="13"/>
        <v>100</v>
      </c>
      <c r="V36" s="1573" t="s">
        <v>8</v>
      </c>
      <c r="W36" s="1574">
        <f t="shared" si="14"/>
        <v>100</v>
      </c>
      <c r="X36" s="1567"/>
      <c r="Y36" s="3382"/>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77" t="str">
        <f>A37</f>
        <v>成交单价</v>
      </c>
      <c r="Q37" s="3377"/>
      <c r="R37" s="3412">
        <f>E37</f>
        <v>0</v>
      </c>
      <c r="S37" s="3412"/>
      <c r="T37" s="3412">
        <f>G37</f>
        <v>0</v>
      </c>
      <c r="U37" s="3412"/>
      <c r="V37" s="3412">
        <f>I37</f>
        <v>0</v>
      </c>
      <c r="W37" s="3412"/>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377" t="str">
        <f>A38</f>
        <v>比较价格（元/平方米）</v>
      </c>
      <c r="Q38" s="3377"/>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559"/>
      <c r="Y38" s="1559"/>
      <c r="Z38" s="1559"/>
      <c r="AA38" s="1559"/>
      <c r="AB38" s="1559"/>
      <c r="AC38" s="1559"/>
    </row>
    <row r="39" spans="1:29" ht="15.75" thickBot="1">
      <c r="A39" s="621" t="s">
        <v>2938</v>
      </c>
      <c r="B39" s="622"/>
      <c r="C39" s="2661" t="e">
        <f>R39</f>
        <v>#DIV/0!</v>
      </c>
      <c r="D39" s="2661"/>
      <c r="E39" s="2661"/>
      <c r="F39" s="2661"/>
      <c r="G39" s="2661"/>
      <c r="H39" s="2661"/>
      <c r="I39" s="2661"/>
      <c r="J39" s="2661"/>
      <c r="K39" s="1613"/>
      <c r="L39" s="2145"/>
      <c r="M39" s="2146"/>
      <c r="N39" s="2146"/>
      <c r="O39" s="2146"/>
      <c r="P39" s="3400" t="str">
        <f>A39</f>
        <v>估价对象XX用房的比较价格（楼面单价，元/平方米）</v>
      </c>
      <c r="Q39" s="3401"/>
      <c r="R39" s="3411" t="e">
        <f>IF(F1="售价",ROUND(AVERAGE(R38:V38),0),ROUND(AVERAGE(R38:V38),1))</f>
        <v>#DIV/0!</v>
      </c>
      <c r="S39" s="3411"/>
      <c r="T39" s="3411"/>
      <c r="U39" s="3411"/>
      <c r="V39" s="3411"/>
      <c r="W39" s="341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383" t="s">
        <v>797</v>
      </c>
      <c r="D4" s="3384"/>
      <c r="E4" s="3409" t="s">
        <v>798</v>
      </c>
      <c r="F4" s="3410"/>
      <c r="G4" s="3383" t="s">
        <v>799</v>
      </c>
      <c r="H4" s="3384"/>
      <c r="I4" s="3383" t="s">
        <v>800</v>
      </c>
      <c r="J4" s="3384"/>
      <c r="K4" s="514" t="s">
        <v>801</v>
      </c>
      <c r="L4" s="2134"/>
      <c r="M4" s="2135"/>
      <c r="N4" s="2135"/>
      <c r="O4" s="2135"/>
      <c r="P4" s="3385" t="s">
        <v>802</v>
      </c>
      <c r="Q4" s="3386"/>
      <c r="R4" s="3371" t="s">
        <v>798</v>
      </c>
      <c r="S4" s="3372"/>
      <c r="T4" s="3371" t="s">
        <v>799</v>
      </c>
      <c r="U4" s="3372"/>
      <c r="V4" s="3391" t="s">
        <v>800</v>
      </c>
      <c r="W4" s="3391"/>
      <c r="X4" s="1567"/>
      <c r="Y4" s="3371" t="s">
        <v>802</v>
      </c>
      <c r="Z4" s="3372"/>
      <c r="AA4" s="3366" t="s">
        <v>798</v>
      </c>
      <c r="AB4" s="3367" t="s">
        <v>799</v>
      </c>
      <c r="AC4" s="3366" t="s">
        <v>800</v>
      </c>
    </row>
    <row r="5" spans="1:29" ht="15">
      <c r="A5" s="515"/>
      <c r="B5" s="516"/>
      <c r="C5" s="3396" t="s">
        <v>2932</v>
      </c>
      <c r="D5" s="3395"/>
      <c r="E5" s="3419" t="s">
        <v>2933</v>
      </c>
      <c r="F5" s="3405"/>
      <c r="G5" s="3396" t="s">
        <v>2934</v>
      </c>
      <c r="H5" s="3395"/>
      <c r="I5" s="3396" t="s">
        <v>2935</v>
      </c>
      <c r="J5" s="3395"/>
      <c r="K5" s="514"/>
      <c r="L5" s="2134"/>
      <c r="M5" s="2135"/>
      <c r="N5" s="2135"/>
      <c r="O5" s="2135"/>
      <c r="P5" s="3387"/>
      <c r="Q5" s="3388"/>
      <c r="R5" s="3373"/>
      <c r="S5" s="3374"/>
      <c r="T5" s="3373"/>
      <c r="U5" s="3374"/>
      <c r="V5" s="3391"/>
      <c r="W5" s="3391"/>
      <c r="X5" s="1567"/>
      <c r="Y5" s="3373"/>
      <c r="Z5" s="3374"/>
      <c r="AA5" s="3367"/>
      <c r="AB5" s="3367"/>
      <c r="AC5" s="3367"/>
    </row>
    <row r="6" spans="1:29" ht="15.75" thickBot="1">
      <c r="A6" s="517"/>
      <c r="B6" s="518"/>
      <c r="C6" s="3406" t="s">
        <v>2936</v>
      </c>
      <c r="D6" s="3393"/>
      <c r="E6" s="3420" t="s">
        <v>2936</v>
      </c>
      <c r="F6" s="3408"/>
      <c r="G6" s="3406" t="s">
        <v>2936</v>
      </c>
      <c r="H6" s="3393"/>
      <c r="I6" s="3406" t="s">
        <v>2936</v>
      </c>
      <c r="J6" s="3393"/>
      <c r="K6" s="514" t="s">
        <v>527</v>
      </c>
      <c r="L6" s="2134"/>
      <c r="M6" s="2135"/>
      <c r="N6" s="2135"/>
      <c r="O6" s="2135"/>
      <c r="P6" s="3389"/>
      <c r="Q6" s="3390"/>
      <c r="R6" s="3373"/>
      <c r="S6" s="3374"/>
      <c r="T6" s="3375"/>
      <c r="U6" s="3376"/>
      <c r="V6" s="3391"/>
      <c r="W6" s="3391"/>
      <c r="X6" s="1567"/>
      <c r="Y6" s="3375"/>
      <c r="Z6" s="3376"/>
      <c r="AA6" s="3368"/>
      <c r="AB6" s="3368"/>
      <c r="AC6" s="3368"/>
    </row>
    <row r="7" spans="1:29" s="1219" customFormat="1" ht="15.75" thickBot="1">
      <c r="A7" s="2937"/>
      <c r="B7" s="2944" t="s">
        <v>528</v>
      </c>
      <c r="C7" s="519">
        <f>'数据-取费表'!B2</f>
        <v>43215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9" t="s">
        <v>529</v>
      </c>
      <c r="Q7" s="3378"/>
      <c r="R7" s="1568" t="s">
        <v>8</v>
      </c>
      <c r="S7" s="1569">
        <f t="shared" ref="S7:S14" si="0">F7</f>
        <v>0</v>
      </c>
      <c r="T7" s="1568" t="s">
        <v>8</v>
      </c>
      <c r="U7" s="1569">
        <f t="shared" ref="U7:U14" si="1">H7</f>
        <v>0</v>
      </c>
      <c r="V7" s="1568" t="s">
        <v>8</v>
      </c>
      <c r="W7" s="1569">
        <f t="shared" ref="W7:W14" si="2">J7</f>
        <v>0</v>
      </c>
      <c r="X7" s="1570"/>
      <c r="Y7" s="3369" t="s">
        <v>529</v>
      </c>
      <c r="Z7" s="3370"/>
      <c r="AA7" s="1571" t="e">
        <f>D7/F7</f>
        <v>#DIV/0!</v>
      </c>
      <c r="AB7" s="1571" t="e">
        <f>D7/H7</f>
        <v>#DIV/0!</v>
      </c>
      <c r="AC7" s="1571" t="e">
        <f>D7/J7</f>
        <v>#DIV/0!</v>
      </c>
    </row>
    <row r="8" spans="1:29" s="1219"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9" t="s">
        <v>532</v>
      </c>
      <c r="Q8" s="3370"/>
      <c r="R8" s="1568" t="s">
        <v>8</v>
      </c>
      <c r="S8" s="1569">
        <f t="shared" si="0"/>
        <v>0</v>
      </c>
      <c r="T8" s="1568" t="s">
        <v>8</v>
      </c>
      <c r="U8" s="1569">
        <f t="shared" si="1"/>
        <v>0</v>
      </c>
      <c r="V8" s="1568" t="s">
        <v>8</v>
      </c>
      <c r="W8" s="1569">
        <f t="shared" si="2"/>
        <v>0</v>
      </c>
      <c r="X8" s="1570"/>
      <c r="Y8" s="3369" t="s">
        <v>532</v>
      </c>
      <c r="Z8" s="3370"/>
      <c r="AA8" s="1571" t="e">
        <f t="shared" ref="AA8:AA34" si="3">D8/F8</f>
        <v>#DIV/0!</v>
      </c>
      <c r="AB8" s="1571" t="e">
        <f t="shared" ref="AB8:AB34" si="4">D8/H8</f>
        <v>#DIV/0!</v>
      </c>
      <c r="AC8" s="1571" t="e">
        <f t="shared" ref="AC8:AC34" si="5">D8/J8</f>
        <v>#DIV/0!</v>
      </c>
    </row>
    <row r="9" spans="1:29" s="1219"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7" t="s">
        <v>534</v>
      </c>
      <c r="Q9" s="1150" t="str">
        <f t="shared" ref="Q9:Q14" si="6">B9</f>
        <v>用途</v>
      </c>
      <c r="R9" s="1568" t="s">
        <v>8</v>
      </c>
      <c r="S9" s="1569">
        <f t="shared" si="0"/>
        <v>100</v>
      </c>
      <c r="T9" s="1568" t="s">
        <v>8</v>
      </c>
      <c r="U9" s="1569">
        <f t="shared" si="1"/>
        <v>100</v>
      </c>
      <c r="V9" s="1568" t="s">
        <v>8</v>
      </c>
      <c r="W9" s="1569">
        <f t="shared" si="2"/>
        <v>100</v>
      </c>
      <c r="X9" s="1570"/>
      <c r="Y9" s="3334" t="s">
        <v>535</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7"/>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7"/>
      <c r="Q11" s="1150">
        <f t="shared" si="6"/>
        <v>111</v>
      </c>
      <c r="R11" s="1568" t="s">
        <v>8</v>
      </c>
      <c r="S11" s="1569">
        <f t="shared" si="0"/>
        <v>100</v>
      </c>
      <c r="T11" s="1568" t="s">
        <v>8</v>
      </c>
      <c r="U11" s="1569">
        <f t="shared" si="1"/>
        <v>100</v>
      </c>
      <c r="V11" s="1568" t="s">
        <v>8</v>
      </c>
      <c r="W11" s="1569">
        <f t="shared" si="2"/>
        <v>100</v>
      </c>
      <c r="X11" s="1570"/>
      <c r="Y11" s="3334"/>
      <c r="Z11" s="1149">
        <f t="shared" si="7"/>
        <v>111</v>
      </c>
      <c r="AA11" s="1571">
        <f t="shared" si="3"/>
        <v>1</v>
      </c>
      <c r="AB11" s="1571">
        <f t="shared" si="4"/>
        <v>1</v>
      </c>
      <c r="AC11" s="1571">
        <f t="shared" si="5"/>
        <v>1</v>
      </c>
    </row>
    <row r="12" spans="1:29" s="1219"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7"/>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7"/>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79" t="s">
        <v>539</v>
      </c>
      <c r="Q14" s="1572" t="str">
        <f t="shared" si="6"/>
        <v>交通便捷度</v>
      </c>
      <c r="R14" s="1573" t="s">
        <v>8</v>
      </c>
      <c r="S14" s="1574">
        <f t="shared" si="0"/>
        <v>100</v>
      </c>
      <c r="T14" s="1573" t="s">
        <v>8</v>
      </c>
      <c r="U14" s="1574">
        <f t="shared" si="1"/>
        <v>100</v>
      </c>
      <c r="V14" s="1573" t="s">
        <v>8</v>
      </c>
      <c r="W14" s="1574">
        <f t="shared" si="2"/>
        <v>100</v>
      </c>
      <c r="X14" s="1567"/>
      <c r="Y14" s="3379"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80"/>
      <c r="Q15" s="1572"/>
      <c r="R15" s="1573"/>
      <c r="S15" s="1574"/>
      <c r="T15" s="1573"/>
      <c r="U15" s="1574"/>
      <c r="V15" s="1573"/>
      <c r="W15" s="1574"/>
      <c r="X15" s="1567"/>
      <c r="Y15" s="3380"/>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0"/>
      <c r="Q16" s="1572" t="str">
        <f>B16</f>
        <v>公共配套设施</v>
      </c>
      <c r="R16" s="1573" t="s">
        <v>8</v>
      </c>
      <c r="S16" s="1574">
        <f>F16</f>
        <v>100</v>
      </c>
      <c r="T16" s="1573" t="s">
        <v>8</v>
      </c>
      <c r="U16" s="1574">
        <f>H16</f>
        <v>100</v>
      </c>
      <c r="V16" s="1573" t="s">
        <v>8</v>
      </c>
      <c r="W16" s="1574">
        <f>J16</f>
        <v>100</v>
      </c>
      <c r="X16" s="1567"/>
      <c r="Y16" s="338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80"/>
      <c r="Q17" s="1572"/>
      <c r="R17" s="1573"/>
      <c r="S17" s="1574"/>
      <c r="T17" s="1573"/>
      <c r="U17" s="1574"/>
      <c r="V17" s="1573"/>
      <c r="W17" s="1574"/>
      <c r="X17" s="1567"/>
      <c r="Y17" s="3380"/>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0"/>
      <c r="Q18" s="2604" t="str">
        <f>B18</f>
        <v>基础设施水平</v>
      </c>
      <c r="R18" s="1573" t="s">
        <v>8</v>
      </c>
      <c r="S18" s="1574">
        <f>F18</f>
        <v>100</v>
      </c>
      <c r="T18" s="1573" t="s">
        <v>8</v>
      </c>
      <c r="U18" s="1574">
        <f>H18</f>
        <v>100</v>
      </c>
      <c r="V18" s="1573" t="s">
        <v>8</v>
      </c>
      <c r="W18" s="1574">
        <f>J18</f>
        <v>100</v>
      </c>
      <c r="X18" s="2606"/>
      <c r="Y18" s="3380"/>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80"/>
      <c r="Q19" s="2604"/>
      <c r="R19" s="1573"/>
      <c r="S19" s="1574"/>
      <c r="T19" s="1573"/>
      <c r="U19" s="1574"/>
      <c r="V19" s="1573"/>
      <c r="W19" s="1574"/>
      <c r="X19" s="2606"/>
      <c r="Y19" s="3380"/>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0"/>
      <c r="Q20" s="1572" t="str">
        <f>B20</f>
        <v>自然及人文环境</v>
      </c>
      <c r="R20" s="1573" t="s">
        <v>8</v>
      </c>
      <c r="S20" s="1574">
        <f>F20</f>
        <v>100</v>
      </c>
      <c r="T20" s="1573" t="s">
        <v>8</v>
      </c>
      <c r="U20" s="1574">
        <f>H20</f>
        <v>100</v>
      </c>
      <c r="V20" s="1573" t="s">
        <v>8</v>
      </c>
      <c r="W20" s="1574">
        <f>J20</f>
        <v>100</v>
      </c>
      <c r="X20" s="1567"/>
      <c r="Y20" s="338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80"/>
      <c r="Q21" s="1572"/>
      <c r="R21" s="1573"/>
      <c r="S21" s="1574"/>
      <c r="T21" s="1573"/>
      <c r="U21" s="1574"/>
      <c r="V21" s="1573"/>
      <c r="W21" s="1574"/>
      <c r="X21" s="1567"/>
      <c r="Y21" s="3380"/>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0"/>
      <c r="Q22" s="1572" t="str">
        <f>B22</f>
        <v>楼层</v>
      </c>
      <c r="R22" s="1573" t="s">
        <v>8</v>
      </c>
      <c r="S22" s="1574">
        <f>F22</f>
        <v>100</v>
      </c>
      <c r="T22" s="1573" t="s">
        <v>8</v>
      </c>
      <c r="U22" s="1574">
        <f>H22</f>
        <v>100</v>
      </c>
      <c r="V22" s="1573" t="s">
        <v>8</v>
      </c>
      <c r="W22" s="1574">
        <f>J22</f>
        <v>100</v>
      </c>
      <c r="X22" s="1567"/>
      <c r="Y22" s="338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0"/>
      <c r="Q23" s="1572">
        <f>B23</f>
        <v>111</v>
      </c>
      <c r="R23" s="1573" t="s">
        <v>8</v>
      </c>
      <c r="S23" s="1574">
        <f>F23</f>
        <v>100</v>
      </c>
      <c r="T23" s="1573" t="s">
        <v>8</v>
      </c>
      <c r="U23" s="1574">
        <f>H23</f>
        <v>100</v>
      </c>
      <c r="V23" s="1573" t="s">
        <v>8</v>
      </c>
      <c r="W23" s="1574">
        <f>J23</f>
        <v>100</v>
      </c>
      <c r="X23" s="1567"/>
      <c r="Y23" s="338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0"/>
      <c r="Q24" s="1572">
        <f t="shared" ref="Q24:Q34" si="11">B24</f>
        <v>111</v>
      </c>
      <c r="R24" s="1573" t="s">
        <v>8</v>
      </c>
      <c r="S24" s="1574">
        <f>F24</f>
        <v>100</v>
      </c>
      <c r="T24" s="1573" t="s">
        <v>8</v>
      </c>
      <c r="U24" s="1574">
        <f>H24</f>
        <v>100</v>
      </c>
      <c r="V24" s="1573" t="s">
        <v>8</v>
      </c>
      <c r="W24" s="1574">
        <f>J24</f>
        <v>100</v>
      </c>
      <c r="X24" s="1567"/>
      <c r="Y24" s="3380"/>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0"/>
      <c r="Q25" s="1150">
        <f t="shared" si="11"/>
        <v>111</v>
      </c>
      <c r="R25" s="1568" t="s">
        <v>8</v>
      </c>
      <c r="S25" s="1569">
        <f>F25</f>
        <v>100</v>
      </c>
      <c r="T25" s="1568" t="s">
        <v>8</v>
      </c>
      <c r="U25" s="1569">
        <f>H25</f>
        <v>100</v>
      </c>
      <c r="V25" s="1568" t="s">
        <v>8</v>
      </c>
      <c r="W25" s="1569">
        <f>J25</f>
        <v>100</v>
      </c>
      <c r="X25" s="1570"/>
      <c r="Y25" s="3380"/>
      <c r="Z25" s="1149">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1"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2"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2"/>
      <c r="Q27" s="1605" t="str">
        <f t="shared" si="11"/>
        <v>成新率</v>
      </c>
      <c r="R27" s="1577" t="s">
        <v>8</v>
      </c>
      <c r="S27" s="1578" t="e">
        <f t="shared" si="12"/>
        <v>#N/A</v>
      </c>
      <c r="T27" s="1577" t="s">
        <v>8</v>
      </c>
      <c r="U27" s="1578" t="e">
        <f t="shared" si="13"/>
        <v>#N/A</v>
      </c>
      <c r="V27" s="1577" t="s">
        <v>8</v>
      </c>
      <c r="W27" s="1578" t="e">
        <f t="shared" si="14"/>
        <v>#N/A</v>
      </c>
      <c r="X27" s="1579"/>
      <c r="Y27" s="3382"/>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2"/>
      <c r="Q28" s="1572" t="str">
        <f t="shared" si="11"/>
        <v>物业等级</v>
      </c>
      <c r="R28" s="1573" t="s">
        <v>8</v>
      </c>
      <c r="S28" s="1574">
        <f t="shared" si="12"/>
        <v>100</v>
      </c>
      <c r="T28" s="1573" t="s">
        <v>8</v>
      </c>
      <c r="U28" s="1574">
        <f t="shared" si="13"/>
        <v>100</v>
      </c>
      <c r="V28" s="1573" t="s">
        <v>8</v>
      </c>
      <c r="W28" s="1574">
        <f t="shared" si="14"/>
        <v>100</v>
      </c>
      <c r="X28" s="1567"/>
      <c r="Y28" s="3382"/>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2"/>
      <c r="Q29" s="1572" t="str">
        <f t="shared" si="11"/>
        <v>有无电梯</v>
      </c>
      <c r="R29" s="1573" t="s">
        <v>8</v>
      </c>
      <c r="S29" s="1574">
        <f t="shared" si="12"/>
        <v>100</v>
      </c>
      <c r="T29" s="1573" t="s">
        <v>8</v>
      </c>
      <c r="U29" s="1574">
        <f t="shared" si="13"/>
        <v>100</v>
      </c>
      <c r="V29" s="1573" t="s">
        <v>8</v>
      </c>
      <c r="W29" s="1574">
        <f t="shared" si="14"/>
        <v>100</v>
      </c>
      <c r="X29" s="1567"/>
      <c r="Y29" s="3382"/>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2"/>
      <c r="Q30" s="1572" t="str">
        <f t="shared" si="11"/>
        <v>建筑面积</v>
      </c>
      <c r="R30" s="1573" t="s">
        <v>8</v>
      </c>
      <c r="S30" s="1574" t="e">
        <f t="shared" si="12"/>
        <v>#N/A</v>
      </c>
      <c r="T30" s="1573" t="s">
        <v>8</v>
      </c>
      <c r="U30" s="1574" t="e">
        <f t="shared" si="13"/>
        <v>#N/A</v>
      </c>
      <c r="V30" s="1573" t="s">
        <v>8</v>
      </c>
      <c r="W30" s="1574" t="e">
        <f t="shared" si="14"/>
        <v>#N/A</v>
      </c>
      <c r="X30" s="1567"/>
      <c r="Y30" s="3382"/>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2"/>
      <c r="Q31" s="1150" t="str">
        <f t="shared" si="11"/>
        <v>是否封闭</v>
      </c>
      <c r="R31" s="1568" t="s">
        <v>8</v>
      </c>
      <c r="S31" s="1569">
        <f t="shared" si="12"/>
        <v>100</v>
      </c>
      <c r="T31" s="1568" t="s">
        <v>8</v>
      </c>
      <c r="U31" s="1569">
        <f t="shared" si="13"/>
        <v>100</v>
      </c>
      <c r="V31" s="1568" t="s">
        <v>8</v>
      </c>
      <c r="W31" s="1569">
        <f t="shared" si="14"/>
        <v>100</v>
      </c>
      <c r="X31" s="1570"/>
      <c r="Y31" s="3382"/>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2" t="s">
        <v>549</v>
      </c>
      <c r="Q32" s="1572">
        <f t="shared" si="11"/>
        <v>111</v>
      </c>
      <c r="R32" s="1573" t="s">
        <v>8</v>
      </c>
      <c r="S32" s="1574">
        <f t="shared" si="12"/>
        <v>100</v>
      </c>
      <c r="T32" s="1573" t="s">
        <v>8</v>
      </c>
      <c r="U32" s="1574">
        <f t="shared" si="13"/>
        <v>100</v>
      </c>
      <c r="V32" s="1573" t="s">
        <v>8</v>
      </c>
      <c r="W32" s="1574">
        <f t="shared" si="14"/>
        <v>100</v>
      </c>
      <c r="X32" s="1567"/>
      <c r="Y32" s="3382"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2"/>
      <c r="Q33" s="1572">
        <f t="shared" si="11"/>
        <v>111</v>
      </c>
      <c r="R33" s="1573" t="s">
        <v>8</v>
      </c>
      <c r="S33" s="1574">
        <f t="shared" si="12"/>
        <v>100</v>
      </c>
      <c r="T33" s="1573" t="s">
        <v>8</v>
      </c>
      <c r="U33" s="1574">
        <f t="shared" si="13"/>
        <v>100</v>
      </c>
      <c r="V33" s="1573" t="s">
        <v>8</v>
      </c>
      <c r="W33" s="1574">
        <f t="shared" si="14"/>
        <v>100</v>
      </c>
      <c r="X33" s="1567"/>
      <c r="Y33" s="338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2"/>
      <c r="Q34" s="1572">
        <f t="shared" si="11"/>
        <v>111</v>
      </c>
      <c r="R34" s="1573" t="s">
        <v>8</v>
      </c>
      <c r="S34" s="1574">
        <f t="shared" si="12"/>
        <v>100</v>
      </c>
      <c r="T34" s="1573" t="s">
        <v>8</v>
      </c>
      <c r="U34" s="1574">
        <f t="shared" si="13"/>
        <v>100</v>
      </c>
      <c r="V34" s="1573" t="s">
        <v>8</v>
      </c>
      <c r="W34" s="1574">
        <f t="shared" si="14"/>
        <v>100</v>
      </c>
      <c r="X34" s="1567"/>
      <c r="Y34" s="3382"/>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377" t="str">
        <f>A35</f>
        <v>成交单价（元/平方米）</v>
      </c>
      <c r="Q35" s="3377"/>
      <c r="R35" s="3412">
        <f>E35</f>
        <v>0</v>
      </c>
      <c r="S35" s="3412"/>
      <c r="T35" s="3412">
        <f>G35</f>
        <v>0</v>
      </c>
      <c r="U35" s="3412"/>
      <c r="V35" s="3412">
        <f>I35</f>
        <v>0</v>
      </c>
      <c r="W35" s="3412"/>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377" t="str">
        <f>A36</f>
        <v>比较价格（元/平方米）</v>
      </c>
      <c r="Q36" s="3377"/>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559"/>
      <c r="Y36" s="1559"/>
      <c r="Z36" s="1559"/>
      <c r="AA36" s="1559"/>
      <c r="AB36" s="1559"/>
      <c r="AC36" s="1559"/>
    </row>
    <row r="37" spans="1:29" ht="15.75" thickBot="1">
      <c r="A37" s="621" t="s">
        <v>2938</v>
      </c>
      <c r="B37" s="622"/>
      <c r="C37" s="2661" t="e">
        <f>R37</f>
        <v>#DIV/0!</v>
      </c>
      <c r="D37" s="2661"/>
      <c r="E37" s="2661"/>
      <c r="F37" s="2661"/>
      <c r="G37" s="2661"/>
      <c r="H37" s="2661"/>
      <c r="I37" s="2661"/>
      <c r="J37" s="2661"/>
      <c r="K37" s="1613"/>
      <c r="L37" s="2145"/>
      <c r="M37" s="2146"/>
      <c r="N37" s="2146"/>
      <c r="O37" s="2146"/>
      <c r="P37" s="3400" t="str">
        <f>A37</f>
        <v>估价对象XX用房的比较价格（楼面单价，元/平方米）</v>
      </c>
      <c r="Q37" s="3401"/>
      <c r="R37" s="3411" t="e">
        <f>IF(F1="售价",ROUND(AVERAGE(R36:V36),0),ROUND(AVERAGE(R36:V36),1))</f>
        <v>#DIV/0!</v>
      </c>
      <c r="S37" s="3411"/>
      <c r="T37" s="3411"/>
      <c r="U37" s="3411"/>
      <c r="V37" s="3411"/>
      <c r="W37" s="341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衡水斯凯学园房地产开发有限公司：</v>
      </c>
    </row>
    <row r="4" spans="1:4" ht="37.5">
      <c r="A4" s="1792"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38282.36平方米。根据《建设工程规划许可证》[]、《出让合同》[]，估价对象规划建筑面积为195134.96平方米。</v>
      </c>
    </row>
    <row r="7" spans="1:4" ht="93.75">
      <c r="A7" s="2898" t="s">
        <v>2751</v>
      </c>
    </row>
    <row r="8" spans="1:4" ht="18.75">
      <c r="A8" s="1795" t="s">
        <v>1906</v>
      </c>
    </row>
    <row r="9" spans="1:4" ht="75">
      <c r="A9" s="1797"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2018年4月25日（评估专业人员勘察现场之日）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根据《国有土地使用证》[]，估价对象（分摊）出让国有建设用地使用权面积为38282.36平方米。根据《建设工程规划许可证》[]、《出让合同》[]，估价对象规划建筑面积为195134.96平方米。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491" t="s">
        <v>2306</v>
      </c>
      <c r="D1" s="3492"/>
      <c r="E1" s="3492"/>
      <c r="F1" s="3492"/>
      <c r="G1" s="3492"/>
      <c r="H1" s="3492"/>
      <c r="I1" s="3492"/>
      <c r="J1" s="3492"/>
      <c r="K1" s="3492"/>
      <c r="L1" s="3492"/>
      <c r="M1" s="3492"/>
      <c r="N1" s="3492"/>
      <c r="O1" s="3492"/>
      <c r="P1" s="3492"/>
      <c r="Q1" s="3492"/>
      <c r="R1" s="3492"/>
      <c r="S1" s="349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2791</v>
      </c>
      <c r="C1" s="3029">
        <f>项目基本情况!D3</f>
        <v>43215</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2822</v>
      </c>
      <c r="C2" s="3030">
        <f>'数据-取费表'!B22</f>
        <v>2</v>
      </c>
      <c r="D2" s="3025" t="s">
        <v>2792</v>
      </c>
      <c r="E2" s="3028">
        <f ca="1">INDIRECT("I"&amp;$I$1)/100</f>
        <v>4.7500000000000001E-2</v>
      </c>
      <c r="G2" s="2965"/>
      <c r="H2" s="2965"/>
      <c r="I2" s="2965" t="s">
        <v>2793</v>
      </c>
      <c r="K2" s="2965"/>
      <c r="L2" s="2965"/>
      <c r="M2" s="2965"/>
      <c r="N2" s="2965" t="s">
        <v>2794</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2824</v>
      </c>
      <c r="C3" s="3027">
        <f>'数据-取费表'!B19</f>
        <v>0</v>
      </c>
      <c r="D3" s="3025" t="s">
        <v>2792</v>
      </c>
      <c r="E3" s="3028">
        <f ca="1">INDIRECT("J"&amp;$J$1)/100</f>
        <v>0</v>
      </c>
      <c r="G3" s="2967" t="s">
        <v>2795</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2823</v>
      </c>
      <c r="C4" s="3028">
        <f ca="1">N4/100</f>
        <v>1.4999999999999999E-2</v>
      </c>
      <c r="G4" s="2973" t="s">
        <v>2796</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2797</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2798</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2799</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2800</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2801</v>
      </c>
      <c r="C10" s="2992"/>
      <c r="D10" s="2992"/>
      <c r="E10" s="2992"/>
      <c r="F10" s="2992"/>
      <c r="G10" s="2992"/>
      <c r="H10" s="2992"/>
      <c r="I10" s="2966"/>
      <c r="J10" s="2966"/>
      <c r="K10" s="2992"/>
      <c r="L10" s="2993" t="s">
        <v>2802</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2803</v>
      </c>
      <c r="C11" s="2997" t="s">
        <v>2804</v>
      </c>
      <c r="D11" s="2998" t="s">
        <v>2805</v>
      </c>
      <c r="E11" s="2999"/>
      <c r="F11" s="2998" t="s">
        <v>2806</v>
      </c>
      <c r="G11" s="3000"/>
      <c r="H11" s="2999"/>
      <c r="I11" s="2998" t="s">
        <v>2807</v>
      </c>
      <c r="J11" s="2999"/>
      <c r="K11" s="2995"/>
      <c r="L11" s="2996" t="s">
        <v>2803</v>
      </c>
      <c r="M11" s="2997" t="s">
        <v>2804</v>
      </c>
      <c r="N11" s="2996" t="s">
        <v>2808</v>
      </c>
      <c r="O11" s="2998" t="s">
        <v>2809</v>
      </c>
      <c r="P11" s="3000"/>
      <c r="Q11" s="3000"/>
      <c r="R11" s="3000"/>
      <c r="S11" s="3000"/>
      <c r="T11" s="2999"/>
      <c r="U11" s="2998" t="s">
        <v>2810</v>
      </c>
      <c r="V11" s="3000"/>
      <c r="W11" s="2999"/>
      <c r="X11" s="2996" t="s">
        <v>2811</v>
      </c>
      <c r="Y11" s="2996" t="s">
        <v>2812</v>
      </c>
      <c r="Z11" s="2996" t="s">
        <v>2813</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2814</v>
      </c>
      <c r="E12" s="3005" t="s">
        <v>2815</v>
      </c>
      <c r="F12" s="3005" t="s">
        <v>2816</v>
      </c>
      <c r="G12" s="3005" t="s">
        <v>2817</v>
      </c>
      <c r="H12" s="3005" t="s">
        <v>2799</v>
      </c>
      <c r="I12" s="3006" t="s">
        <v>2818</v>
      </c>
      <c r="J12" s="3006" t="s">
        <v>2818</v>
      </c>
      <c r="K12" s="3002"/>
      <c r="L12" s="3003"/>
      <c r="M12" s="3004"/>
      <c r="N12" s="3003"/>
      <c r="O12" s="3006" t="s">
        <v>2819</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2820</v>
      </c>
      <c r="C13" s="3010">
        <v>42301</v>
      </c>
      <c r="D13" s="3011">
        <v>4.3499999999999996</v>
      </c>
      <c r="E13" s="3011">
        <v>4.3499999999999996</v>
      </c>
      <c r="F13" s="3011">
        <v>4.75</v>
      </c>
      <c r="G13" s="3011">
        <v>4.75</v>
      </c>
      <c r="H13" s="3011">
        <v>4.9000000000000004</v>
      </c>
      <c r="I13" s="3011">
        <v>2.75</v>
      </c>
      <c r="J13" s="3011">
        <v>3.25</v>
      </c>
      <c r="K13" s="3008"/>
      <c r="L13" s="3009" t="s">
        <v>2820</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2821</v>
      </c>
      <c r="Y42" s="3015" t="s">
        <v>2821</v>
      </c>
      <c r="Z42" s="3015" t="s">
        <v>2821</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2821</v>
      </c>
      <c r="Y43" s="3015" t="s">
        <v>2821</v>
      </c>
      <c r="Z43" s="3015" t="s">
        <v>2821</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2821</v>
      </c>
      <c r="Y44" s="3015" t="s">
        <v>2821</v>
      </c>
      <c r="Z44" s="3015" t="s">
        <v>2821</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2821</v>
      </c>
      <c r="Y45" s="3015" t="s">
        <v>2821</v>
      </c>
      <c r="Z45" s="3015" t="s">
        <v>2821</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2821</v>
      </c>
      <c r="Y46" s="3015" t="s">
        <v>2821</v>
      </c>
      <c r="Z46" s="3015" t="s">
        <v>2821</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2821</v>
      </c>
      <c r="Y47" s="3015" t="s">
        <v>2821</v>
      </c>
      <c r="Z47" s="3015" t="s">
        <v>2821</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2821</v>
      </c>
      <c r="Y48" s="3015" t="s">
        <v>2821</v>
      </c>
      <c r="Z48" s="3015" t="s">
        <v>2821</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2821</v>
      </c>
      <c r="Y49" s="3015" t="s">
        <v>2821</v>
      </c>
      <c r="Z49" s="3015" t="s">
        <v>2821</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2821</v>
      </c>
      <c r="Y50" s="3015" t="s">
        <v>2821</v>
      </c>
      <c r="Z50" s="3015" t="s">
        <v>2821</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2821</v>
      </c>
      <c r="V51" s="3015" t="s">
        <v>2821</v>
      </c>
      <c r="W51" s="3015" t="s">
        <v>2821</v>
      </c>
      <c r="X51" s="3015" t="s">
        <v>2821</v>
      </c>
      <c r="Y51" s="3015" t="s">
        <v>2821</v>
      </c>
      <c r="Z51" s="3015" t="s">
        <v>2821</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2821</v>
      </c>
      <c r="J55" s="3015" t="s">
        <v>2821</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08" t="s">
        <v>2042</v>
      </c>
      <c r="B2" s="1808"/>
      <c r="C2" s="1808"/>
      <c r="D2" s="1808"/>
      <c r="E2" s="1808"/>
      <c r="F2" s="1808"/>
      <c r="G2" s="1808"/>
      <c r="H2" s="1808"/>
      <c r="I2" s="1809"/>
      <c r="J2" s="1809"/>
      <c r="K2" s="1810" t="str">
        <f>"估价期日："&amp;TEXT(项目基本情况!D3,"yyyy年m月d日;;")</f>
        <v>估价期日：2018年4月25日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2" t="s">
        <v>2031</v>
      </c>
      <c r="B3" s="3202" t="s">
        <v>2734</v>
      </c>
      <c r="C3" s="3203" t="s">
        <v>2032</v>
      </c>
      <c r="D3" s="3202" t="s">
        <v>2738</v>
      </c>
      <c r="E3" s="3197" t="s">
        <v>2033</v>
      </c>
      <c r="F3" s="3197"/>
      <c r="G3" s="3197"/>
      <c r="H3" s="3197" t="s">
        <v>2034</v>
      </c>
      <c r="I3" s="3197"/>
      <c r="J3" s="3197"/>
      <c r="K3" s="3203" t="s">
        <v>2035</v>
      </c>
      <c r="L3" s="3203" t="s">
        <v>2036</v>
      </c>
      <c r="M3" s="3202" t="s">
        <v>2735</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74" t="s">
        <v>2044</v>
      </c>
      <c r="F4" s="2674" t="s">
        <v>2747</v>
      </c>
      <c r="G4" s="2674" t="s">
        <v>2038</v>
      </c>
      <c r="H4" s="2674" t="s">
        <v>2039</v>
      </c>
      <c r="I4" s="2674" t="s">
        <v>2748</v>
      </c>
      <c r="J4" s="2674" t="s">
        <v>2038</v>
      </c>
      <c r="K4" s="3203"/>
      <c r="L4" s="3203"/>
      <c r="M4" s="3202"/>
      <c r="N4" s="3204"/>
      <c r="O4" s="3202"/>
      <c r="P4" s="3203"/>
      <c r="Q4" s="3203"/>
      <c r="R4" s="3203"/>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38282.36</v>
      </c>
      <c r="O5" s="1811">
        <f>项目基本情况!C21</f>
        <v>195134.96</v>
      </c>
      <c r="P5" s="1811">
        <f ca="1">结果表!E42</f>
        <v>19183</v>
      </c>
      <c r="Q5" s="1811">
        <f ca="1">结果表!D42</f>
        <v>3763</v>
      </c>
      <c r="R5" s="1812">
        <f ca="1">结果表!C42</f>
        <v>73438</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71838</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5" t="s">
        <v>2067</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2068</v>
      </c>
      <c r="B5" s="3208"/>
      <c r="C5" s="3208"/>
      <c r="D5" s="3208"/>
    </row>
    <row r="6" spans="1:4">
      <c r="A6" s="3205" t="s">
        <v>2046</v>
      </c>
      <c r="B6" s="3205"/>
      <c r="C6" s="3205"/>
      <c r="D6" s="3205"/>
    </row>
    <row r="7" spans="1:4" ht="33" customHeight="1">
      <c r="A7" s="3205" t="s">
        <v>2578</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2070</v>
      </c>
      <c r="B12" s="3208"/>
      <c r="C12" s="3208"/>
      <c r="D12" s="3208"/>
    </row>
    <row r="13" spans="1:4">
      <c r="A13" s="3206" t="s">
        <v>2749</v>
      </c>
      <c r="B13" s="3206"/>
      <c r="C13" s="3206"/>
      <c r="D13" s="3206"/>
    </row>
    <row r="14" spans="1:4">
      <c r="A14" s="3207" t="str">
        <f>IF(项目基本情况!B8="抵押","综上，"&amp;结果表!K47,"——")</f>
        <v>综上，本次评估设定估价师知悉的法定优先受偿款为人民币1600万元整。</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2705</v>
      </c>
      <c r="B17" s="3205"/>
      <c r="C17" s="3205"/>
      <c r="D17" s="3205"/>
    </row>
    <row r="18" spans="1:4">
      <c r="A18" s="3205" t="s">
        <v>2697</v>
      </c>
      <c r="B18" s="3205"/>
      <c r="C18" s="3205"/>
      <c r="D18" s="3205"/>
    </row>
    <row r="19" spans="1:4">
      <c r="A19" s="2893" t="s">
        <v>2698</v>
      </c>
      <c r="B19" s="2893" t="s">
        <v>2699</v>
      </c>
      <c r="C19" s="2893" t="s">
        <v>2700</v>
      </c>
      <c r="D19" s="2893" t="s">
        <v>2701</v>
      </c>
    </row>
    <row r="20" spans="1:4">
      <c r="A20" s="2893" t="str">
        <f>项目基本情况!B4</f>
        <v>郑燚</v>
      </c>
      <c r="B20" s="2893">
        <f>项目基本情况!C4</f>
        <v>2014110011</v>
      </c>
      <c r="C20" s="2895"/>
      <c r="D20" s="1801" t="s">
        <v>2706</v>
      </c>
    </row>
    <row r="21" spans="1:4">
      <c r="A21" s="2893" t="str">
        <f>项目基本情况!D4</f>
        <v>王鹏</v>
      </c>
      <c r="B21" s="2893">
        <f ca="1">项目基本情况!E4</f>
        <v>2002110030</v>
      </c>
      <c r="C21" s="2895"/>
      <c r="D21" s="1801" t="s">
        <v>2707</v>
      </c>
    </row>
    <row r="23" spans="1:4">
      <c r="A23" s="3205" t="s">
        <v>2702</v>
      </c>
      <c r="B23" s="3205"/>
      <c r="C23" s="3205"/>
      <c r="D23" s="320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7" t="s">
        <v>53</v>
      </c>
      <c r="B15" s="3218" t="s">
        <v>845</v>
      </c>
      <c r="C15" s="3214"/>
    </row>
    <row r="16" spans="1:7" ht="14.25">
      <c r="A16" s="3217"/>
      <c r="B16" s="3215" t="s">
        <v>54</v>
      </c>
      <c r="C16" s="1171" t="s">
        <v>53</v>
      </c>
    </row>
    <row r="17" spans="1:3" ht="14.25">
      <c r="A17" s="3217"/>
      <c r="B17" s="3215"/>
      <c r="C17" s="1171" t="s">
        <v>55</v>
      </c>
    </row>
    <row r="18" spans="1:3" ht="14.25">
      <c r="A18" s="3217"/>
      <c r="B18" s="3215"/>
      <c r="C18" s="1171" t="s">
        <v>56</v>
      </c>
    </row>
    <row r="19" spans="1:3" ht="14.25">
      <c r="A19" s="3217"/>
      <c r="B19" s="3213" t="s">
        <v>57</v>
      </c>
      <c r="C19" s="3214"/>
    </row>
    <row r="20" spans="1:3" ht="14.25">
      <c r="A20" s="1172" t="s">
        <v>58</v>
      </c>
      <c r="B20" s="1173"/>
      <c r="C20" s="1174"/>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5" t="s">
        <v>836</v>
      </c>
    </row>
    <row r="25" spans="1:3" ht="14.25">
      <c r="A25" s="3216"/>
      <c r="B25" s="3220"/>
      <c r="C25" s="1175" t="s">
        <v>837</v>
      </c>
    </row>
    <row r="26" spans="1:3" ht="14.25">
      <c r="A26" s="3216"/>
      <c r="B26" s="3220"/>
      <c r="C26" s="1175" t="s">
        <v>838</v>
      </c>
    </row>
    <row r="27" spans="1:3" ht="14.25">
      <c r="A27" s="3216"/>
      <c r="B27" s="3220"/>
      <c r="C27" s="1175" t="s">
        <v>839</v>
      </c>
    </row>
    <row r="28" spans="1:3" ht="14.25">
      <c r="A28" s="3216"/>
      <c r="B28" s="3220"/>
      <c r="C28" s="1175" t="s">
        <v>840</v>
      </c>
    </row>
    <row r="29" spans="1:3" ht="14.25">
      <c r="A29" s="3216"/>
      <c r="B29" s="3220"/>
      <c r="C29" s="1175" t="s">
        <v>841</v>
      </c>
    </row>
    <row r="30" spans="1:3" ht="14.25">
      <c r="A30" s="3216"/>
      <c r="B30" s="3220"/>
      <c r="C30" s="1175" t="s">
        <v>842</v>
      </c>
    </row>
    <row r="31" spans="1:3" ht="14.25">
      <c r="A31" s="3216"/>
      <c r="B31" s="3220"/>
      <c r="C31" s="1175" t="s">
        <v>843</v>
      </c>
    </row>
    <row r="32" spans="1:3" ht="14.25">
      <c r="A32" s="3216"/>
      <c r="B32" s="3220"/>
      <c r="C32" s="1175" t="s">
        <v>1646</v>
      </c>
    </row>
    <row r="33" spans="1:3" ht="14.25">
      <c r="A33" s="3216"/>
      <c r="B33" s="3210" t="s">
        <v>1652</v>
      </c>
      <c r="C33" s="1175" t="s">
        <v>1647</v>
      </c>
    </row>
    <row r="34" spans="1:3" ht="14.25">
      <c r="A34" s="3216"/>
      <c r="B34" s="3211"/>
      <c r="C34" s="1180" t="s">
        <v>1648</v>
      </c>
    </row>
    <row r="35" spans="1:3" ht="14.25">
      <c r="A35" s="3216"/>
      <c r="B35" s="3211"/>
      <c r="C35" s="1181" t="s">
        <v>1649</v>
      </c>
    </row>
    <row r="36" spans="1:3" ht="14.25">
      <c r="A36" s="3216"/>
      <c r="B36" s="3211"/>
      <c r="C36" s="1181" t="s">
        <v>1650</v>
      </c>
    </row>
    <row r="37" spans="1:3" ht="14.25">
      <c r="A37" s="3216"/>
      <c r="B37" s="321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43223</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221" t="s">
        <v>1928</v>
      </c>
      <c r="B25" s="3221"/>
      <c r="C25" s="3221"/>
      <c r="D25" s="3221"/>
      <c r="E25" s="3221"/>
      <c r="F25" s="3221"/>
      <c r="G25" s="3221"/>
    </row>
    <row r="26" spans="1:7" ht="20.25" customHeight="1">
      <c r="A26" s="3222" t="s">
        <v>1929</v>
      </c>
      <c r="B26" s="3222"/>
      <c r="C26" s="3222"/>
      <c r="D26" s="3222" t="s">
        <v>1930</v>
      </c>
      <c r="E26" s="3222"/>
      <c r="F26" s="3222"/>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2544</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2546</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42" t="s">
        <v>2961</v>
      </c>
      <c r="C18" s="1554"/>
    </row>
    <row r="19" spans="1:3">
      <c r="A19" s="8" t="s">
        <v>120</v>
      </c>
      <c r="B19" s="3142" t="s">
        <v>2969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3"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c r="D53" s="1768"/>
      <c r="E53" s="1768"/>
    </row>
    <row r="54" spans="1:5">
      <c r="A54" s="3223"/>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3"/>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3"/>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3"/>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2018-05-03T08:26:02Z</dcterms:modified>
</cp:coreProperties>
</file>