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大兴龙湖\"/>
    </mc:Choice>
  </mc:AlternateContent>
  <bookViews>
    <workbookView xWindow="480" yWindow="210" windowWidth="12120" windowHeight="76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18">成本法!$A$1:$G$52</definedName>
    <definedName name="_xlnm.Print_Area" localSheetId="15">估价对象房地状况!$A$1:$G$24</definedName>
    <definedName name="_xlnm.Print_Area" localSheetId="8">估价师及机构信息!$A$1:$F$29</definedName>
    <definedName name="_xlnm.Print_Area" localSheetId="17">结果表!$A$1:$I$142</definedName>
    <definedName name="_xlnm.Print_Area" localSheetId="23">收益法!$A$1:$F$43</definedName>
    <definedName name="_xlnm.Print_Area" localSheetId="24">'收益法 (元)'!$A$1:$AK$69</definedName>
    <definedName name="_xlnm.Print_Area" localSheetId="13">'数据-汇总表'!$A$1:$I$32</definedName>
    <definedName name="_xlnm.Print_Area" localSheetId="11">'数据-基础表'!$A$1:$AO$13</definedName>
    <definedName name="_xlnm.Print_Area" localSheetId="14">'数据-取费表'!$A$1:$AN$59</definedName>
    <definedName name="_xlnm.Print_Area" localSheetId="21">'土地比较法-住宅、综合'!$B$1:$K$49</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A19" i="77" l="1"/>
  <c r="F53" i="68" l="1"/>
  <c r="E57" i="39" l="1"/>
  <c r="AH6" i="1"/>
  <c r="G19" i="6"/>
  <c r="I46" i="39" l="1"/>
  <c r="G46" i="39"/>
  <c r="E46" i="39"/>
  <c r="I38" i="39"/>
  <c r="G38" i="39"/>
  <c r="E38" i="39"/>
  <c r="C10" i="39"/>
  <c r="I11" i="39"/>
  <c r="G11" i="39"/>
  <c r="E11" i="39"/>
  <c r="C11" i="39"/>
  <c r="E71" i="39" l="1"/>
  <c r="F71" i="39"/>
  <c r="G71" i="39" s="1"/>
  <c r="H71" i="39" s="1"/>
  <c r="I71" i="39" s="1"/>
  <c r="J71" i="39" s="1"/>
  <c r="K71" i="39" s="1"/>
  <c r="L71" i="39" s="1"/>
  <c r="M71" i="39" s="1"/>
  <c r="N71" i="39" s="1"/>
  <c r="O71" i="39" s="1"/>
  <c r="D71" i="39"/>
  <c r="I7" i="39"/>
  <c r="G7" i="39"/>
  <c r="E7" i="39"/>
  <c r="I5" i="39"/>
  <c r="G5" i="39"/>
  <c r="E5" i="39"/>
  <c r="D39" i="43" l="1"/>
  <c r="D33" i="43"/>
  <c r="D29" i="43"/>
  <c r="Y6" i="1" l="1"/>
  <c r="F19" i="6"/>
  <c r="C11" i="4"/>
  <c r="D3" i="4"/>
  <c r="D7" i="71" l="1"/>
  <c r="AH5" i="71" l="1"/>
  <c r="AG5" i="71"/>
  <c r="AE5" i="71"/>
  <c r="AF5" i="71" s="1"/>
  <c r="AD5" i="71"/>
  <c r="Q5" i="71"/>
  <c r="P5" i="71"/>
  <c r="O5" i="71"/>
  <c r="N5" i="71"/>
  <c r="L3" i="71" l="1"/>
  <c r="K3" i="71"/>
  <c r="I3" i="71"/>
  <c r="J3" i="71" l="1"/>
  <c r="AD6" i="71" l="1"/>
  <c r="AG6" i="71"/>
  <c r="AH6" i="71"/>
  <c r="AE6" i="71"/>
  <c r="AF6" i="71" s="1"/>
  <c r="N6" i="71"/>
  <c r="Q6" i="71"/>
  <c r="P6" i="71"/>
  <c r="O6" i="71"/>
  <c r="C6" i="71" l="1"/>
  <c r="T6" i="71" s="1"/>
  <c r="Q7" i="71"/>
  <c r="F6" i="71" s="1"/>
  <c r="F5" i="71" s="1"/>
  <c r="P7" i="71"/>
  <c r="E6" i="71" s="1"/>
  <c r="O7" i="71"/>
  <c r="N7" i="71"/>
  <c r="B6" i="71" s="1"/>
  <c r="S6" i="71" s="1"/>
  <c r="E5" i="71" l="1"/>
  <c r="V6" i="71"/>
  <c r="B5" i="71"/>
  <c r="D6" i="71"/>
  <c r="U6" i="71" s="1"/>
  <c r="C5" i="71"/>
  <c r="D5" i="71" s="1"/>
  <c r="A2" i="53"/>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8" i="71" l="1"/>
  <c r="P8" i="71"/>
  <c r="O8" i="71"/>
  <c r="N8" i="71"/>
  <c r="A15" i="51" l="1"/>
  <c r="B8" i="76"/>
  <c r="B13" i="76"/>
  <c r="B9" i="76"/>
  <c r="B12" i="76"/>
  <c r="B11" i="76"/>
  <c r="E9" i="76"/>
  <c r="E10" i="76"/>
  <c r="B7" i="76"/>
  <c r="E11" i="76"/>
  <c r="E8" i="76"/>
  <c r="E12" i="76"/>
  <c r="E13" i="76"/>
  <c r="B10"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c r="AG22" i="71"/>
  <c r="AH22" i="71"/>
  <c r="S2" i="31" l="1"/>
  <c r="M2" i="31"/>
  <c r="N2" i="31"/>
  <c r="O2" i="31"/>
  <c r="P2" i="31"/>
  <c r="Q2" i="31"/>
  <c r="R2" i="31"/>
  <c r="C1" i="73" l="1"/>
  <c r="L1" i="73" s="1"/>
  <c r="F7" i="73"/>
  <c r="J1" i="73" l="1"/>
  <c r="B74" i="72"/>
  <c r="F5" i="73"/>
  <c r="D3" i="73"/>
  <c r="F3" i="73"/>
  <c r="F4" i="73"/>
  <c r="D5" i="73"/>
  <c r="F6" i="73"/>
  <c r="D6" i="73"/>
  <c r="I1" i="73" l="1"/>
  <c r="B39" i="1" s="1"/>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C36" i="71"/>
  <c r="Q35" i="71"/>
  <c r="F36" i="71" s="1"/>
  <c r="P35" i="71"/>
  <c r="E36" i="71" s="1"/>
  <c r="O35" i="7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s="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s="1"/>
  <c r="F25" i="71" s="1"/>
  <c r="F26" i="71" s="1"/>
  <c r="V26" i="71" s="1"/>
  <c r="P23" i="71"/>
  <c r="E24" i="71" s="1"/>
  <c r="O23" i="71"/>
  <c r="C24" i="71" s="1"/>
  <c r="N23" i="71"/>
  <c r="B24" i="71" s="1"/>
  <c r="D23" i="71"/>
  <c r="Q22" i="71"/>
  <c r="P22" i="71"/>
  <c r="O22" i="71"/>
  <c r="N22" i="71"/>
  <c r="Q21" i="71"/>
  <c r="AB21" i="71" s="1"/>
  <c r="P21" i="71"/>
  <c r="AA21" i="71" s="1"/>
  <c r="O21" i="71"/>
  <c r="N21" i="71"/>
  <c r="X21" i="71" s="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Y6" i="71" s="1"/>
  <c r="Z6" i="71" s="1"/>
  <c r="N10" i="71"/>
  <c r="Y21" i="71" l="1"/>
  <c r="Z21" i="71" s="1"/>
  <c r="Y5" i="71"/>
  <c r="Z5" i="71" s="1"/>
  <c r="X5" i="71"/>
  <c r="X6" i="71"/>
  <c r="B25" i="71"/>
  <c r="B26" i="71" s="1"/>
  <c r="S26" i="71" s="1"/>
  <c r="E25" i="71"/>
  <c r="E26" i="71" s="1"/>
  <c r="U26" i="71" s="1"/>
  <c r="B29" i="71"/>
  <c r="B30" i="71" s="1"/>
  <c r="S30" i="71" s="1"/>
  <c r="E29" i="71"/>
  <c r="E30" i="71" s="1"/>
  <c r="U30" i="71" s="1"/>
  <c r="F37" i="71"/>
  <c r="F38" i="71" s="1"/>
  <c r="V38" i="71" s="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A5" i="71" l="1"/>
  <c r="AA6" i="71"/>
  <c r="AB6" i="71"/>
  <c r="AB5" i="71"/>
  <c r="T10" i="71"/>
  <c r="C9" i="71"/>
  <c r="S10" i="71"/>
  <c r="F10" i="71"/>
  <c r="F9" i="71" s="1"/>
  <c r="F8" i="71" s="1"/>
  <c r="AB3" i="71"/>
  <c r="AB7" i="71"/>
  <c r="AB8" i="71"/>
  <c r="AB9" i="71"/>
  <c r="AB10" i="71"/>
  <c r="E10" i="71"/>
  <c r="E9" i="71" s="1"/>
  <c r="E8"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C8" i="71" l="1"/>
  <c r="D8" i="71" s="1"/>
  <c r="D9" i="71"/>
  <c r="V10" i="71"/>
  <c r="P47" i="71"/>
  <c r="P48" i="71"/>
  <c r="O48" i="71"/>
  <c r="D48" i="71"/>
  <c r="O47" i="71"/>
  <c r="T14" i="71"/>
  <c r="D14" i="71"/>
  <c r="T18" i="71"/>
  <c r="D18" i="71"/>
  <c r="T22" i="71"/>
  <c r="D22" i="71"/>
  <c r="T26" i="71"/>
  <c r="D26" i="71"/>
  <c r="T34" i="71"/>
  <c r="D34" i="71"/>
  <c r="T38" i="71"/>
  <c r="D38" i="71"/>
  <c r="T42" i="71"/>
  <c r="D42" i="71"/>
  <c r="T46" i="71"/>
  <c r="D46"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1" i="1"/>
  <c r="AO10" i="1"/>
  <c r="AO9" i="1"/>
  <c r="AO13"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R5" i="3" s="1"/>
  <c r="G28" i="6" s="1"/>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E22" i="6"/>
  <c r="E23" i="6"/>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s="1"/>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F95" i="39" s="1"/>
  <c r="D93" i="39"/>
  <c r="E93" i="39" s="1"/>
  <c r="F93" i="39" s="1"/>
  <c r="G93" i="39" s="1"/>
  <c r="D91" i="39"/>
  <c r="E91" i="39" s="1"/>
  <c r="F91" i="39" s="1"/>
  <c r="G91" i="39" s="1"/>
  <c r="D89" i="39"/>
  <c r="E89" i="39" s="1"/>
  <c r="F89" i="39" s="1"/>
  <c r="G89" i="39" s="1"/>
  <c r="B86" i="39"/>
  <c r="J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4" i="39"/>
  <c r="AC44" i="39" s="1"/>
  <c r="F36" i="39"/>
  <c r="S36" i="39" s="1"/>
  <c r="H36" i="39"/>
  <c r="AB36" i="39" s="1"/>
  <c r="J35" i="39"/>
  <c r="AC35" i="39" s="1"/>
  <c r="F35" i="39"/>
  <c r="AA35" i="39" s="1"/>
  <c r="J36" i="39"/>
  <c r="AC36" i="39" s="1"/>
  <c r="W40" i="39"/>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W31" i="40"/>
  <c r="U34" i="40"/>
  <c r="U40" i="40"/>
  <c r="F42" i="39"/>
  <c r="AA42" i="39" s="1"/>
  <c r="F41" i="39"/>
  <c r="S41" i="39" s="1"/>
  <c r="H40" i="39"/>
  <c r="AB40" i="39" s="1"/>
  <c r="H39" i="39"/>
  <c r="U39" i="39" s="1"/>
  <c r="S38" i="39"/>
  <c r="S34" i="39"/>
  <c r="H34" i="39"/>
  <c r="U34" i="39" s="1"/>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J31" i="39"/>
  <c r="F101" i="39"/>
  <c r="H27" i="39"/>
  <c r="U27" i="39" s="1"/>
  <c r="J19" i="39"/>
  <c r="AC19" i="39" s="1"/>
  <c r="J17" i="39"/>
  <c r="J27" i="39"/>
  <c r="AC27" i="39" s="1"/>
  <c r="F27" i="39"/>
  <c r="F11" i="21"/>
  <c r="S11" i="21" s="1"/>
  <c r="S40" i="21"/>
  <c r="U34" i="21"/>
  <c r="S34" i="21"/>
  <c r="C27"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F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AA14" i="37"/>
  <c r="W31" i="34"/>
  <c r="AC13" i="36"/>
  <c r="W13" i="36"/>
  <c r="S11" i="36"/>
  <c r="W11" i="36"/>
  <c r="W11" i="35"/>
  <c r="AC30" i="34"/>
  <c r="S45" i="33"/>
  <c r="AB31" i="33"/>
  <c r="W29" i="33"/>
  <c r="AC28" i="21"/>
  <c r="BA586" i="3"/>
  <c r="BA585" i="3"/>
  <c r="F17" i="21"/>
  <c r="AA17" i="21" s="1"/>
  <c r="H17" i="21"/>
  <c r="AB17" i="21" s="1"/>
  <c r="F15" i="21"/>
  <c r="S15" i="21" s="1"/>
  <c r="AB11" i="21"/>
  <c r="J41" i="39"/>
  <c r="W41" i="39" s="1"/>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AZ530" i="3" s="1"/>
  <c r="BL526" i="3"/>
  <c r="BL522" i="3"/>
  <c r="BL516" i="3"/>
  <c r="BL512" i="3"/>
  <c r="BL506" i="3"/>
  <c r="BL502" i="3"/>
  <c r="BL498" i="3"/>
  <c r="BL494" i="3"/>
  <c r="AZ494" i="3" s="1"/>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AZ496" i="3" s="1"/>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AZ499" i="3" s="1"/>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AZ501" i="3" s="1"/>
  <c r="BQ499" i="3"/>
  <c r="BL499" i="3"/>
  <c r="BQ497" i="3"/>
  <c r="BL497" i="3"/>
  <c r="AZ497" i="3" s="1"/>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9" i="37"/>
  <c r="W26" i="37"/>
  <c r="AC8" i="37"/>
  <c r="U26" i="37"/>
  <c r="W47" i="34"/>
  <c r="AB13" i="34"/>
  <c r="W37" i="34"/>
  <c r="AC36" i="34"/>
  <c r="AA13" i="33"/>
  <c r="AC31" i="33"/>
  <c r="AC45" i="33"/>
  <c r="W44" i="33"/>
  <c r="U11" i="33"/>
  <c r="U19" i="21"/>
  <c r="U2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B33" i="40"/>
  <c r="G101" i="39"/>
  <c r="H37" i="39"/>
  <c r="AB37" i="39" s="1"/>
  <c r="AC37" i="39"/>
  <c r="W37" i="39"/>
  <c r="H25" i="39"/>
  <c r="AB25" i="39" s="1"/>
  <c r="J25" i="39"/>
  <c r="F25" i="39"/>
  <c r="AA25" i="39" s="1"/>
  <c r="F15" i="39"/>
  <c r="AA15" i="39" s="1"/>
  <c r="H15" i="39"/>
  <c r="U15" i="39" s="1"/>
  <c r="J15" i="39"/>
  <c r="W15" i="39" s="1"/>
  <c r="H41" i="39"/>
  <c r="AB34" i="39"/>
  <c r="S42" i="39"/>
  <c r="W9" i="39"/>
  <c r="J19" i="40"/>
  <c r="AC19" i="40" s="1"/>
  <c r="J50" i="40"/>
  <c r="B54" i="72"/>
  <c r="H103" i="9"/>
  <c r="D8" i="53" s="1"/>
  <c r="B16" i="53"/>
  <c r="B33" i="72" s="1"/>
  <c r="C7" i="37"/>
  <c r="C7" i="36"/>
  <c r="W35" i="40"/>
  <c r="A118" i="9"/>
  <c r="A4" i="52"/>
  <c r="B41" i="72" s="1"/>
  <c r="J11" i="39"/>
  <c r="W11" i="39" s="1"/>
  <c r="F11" i="39"/>
  <c r="AA11" i="39" s="1"/>
  <c r="A12" i="52"/>
  <c r="B56" i="72" s="1"/>
  <c r="G4" i="4"/>
  <c r="I4" i="4"/>
  <c r="K5" i="4"/>
  <c r="B47" i="48" s="1"/>
  <c r="A2" i="9"/>
  <c r="AZ24" i="3"/>
  <c r="AZ32" i="3"/>
  <c r="BL549" i="3"/>
  <c r="AZ549" i="3" s="1"/>
  <c r="AZ502" i="3"/>
  <c r="AZ514" i="3"/>
  <c r="AZ522"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51" i="3"/>
  <c r="AZ55" i="3"/>
  <c r="AZ67" i="3"/>
  <c r="AZ71" i="3"/>
  <c r="AZ79" i="3"/>
  <c r="AZ83" i="3"/>
  <c r="AZ136" i="3"/>
  <c r="AZ144"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BA382" i="3"/>
  <c r="AZ382" i="3" s="1"/>
  <c r="BL382" i="3"/>
  <c r="G383" i="3"/>
  <c r="G386" i="3"/>
  <c r="BL387" i="3"/>
  <c r="BA389" i="3"/>
  <c r="AZ389" i="3" s="1"/>
  <c r="BA390" i="3"/>
  <c r="BL390" i="3"/>
  <c r="G391" i="3"/>
  <c r="G394" i="3"/>
  <c r="AZ138" i="3"/>
  <c r="AZ142" i="3"/>
  <c r="AZ146" i="3"/>
  <c r="AZ154" i="3"/>
  <c r="AZ162" i="3"/>
  <c r="AZ170" i="3"/>
  <c r="AZ178" i="3"/>
  <c r="AZ186" i="3"/>
  <c r="AZ194" i="3"/>
  <c r="AZ202" i="3"/>
  <c r="AZ206" i="3"/>
  <c r="AZ500" i="3"/>
  <c r="BA16" i="3"/>
  <c r="AZ16" i="3" s="1"/>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AZ222" i="3"/>
  <c r="AZ319" i="3"/>
  <c r="G342" i="3"/>
  <c r="BL345" i="3"/>
  <c r="AZ345" i="3" s="1"/>
  <c r="G346" i="3"/>
  <c r="BL349" i="3"/>
  <c r="BL352" i="3"/>
  <c r="AZ352" i="3" s="1"/>
  <c r="G353" i="3"/>
  <c r="BA357" i="3"/>
  <c r="AZ357" i="3" s="1"/>
  <c r="BL358" i="3"/>
  <c r="AZ358" i="3" s="1"/>
  <c r="G359" i="3"/>
  <c r="BA361" i="3"/>
  <c r="AZ361" i="3" s="1"/>
  <c r="BL362" i="3"/>
  <c r="G363" i="3"/>
  <c r="BA365" i="3"/>
  <c r="AZ365" i="3" s="1"/>
  <c r="BL366" i="3"/>
  <c r="G367" i="3"/>
  <c r="BA369" i="3"/>
  <c r="AZ369" i="3"/>
  <c r="BL370" i="3"/>
  <c r="G371" i="3"/>
  <c r="BA373" i="3"/>
  <c r="AZ373" i="3"/>
  <c r="BL374" i="3"/>
  <c r="AZ374" i="3"/>
  <c r="G375" i="3"/>
  <c r="BA377" i="3"/>
  <c r="AZ377" i="3" s="1"/>
  <c r="AZ233" i="3"/>
  <c r="AZ237" i="3"/>
  <c r="AZ249" i="3"/>
  <c r="AZ253" i="3"/>
  <c r="AZ269" i="3"/>
  <c r="AZ273" i="3"/>
  <c r="AZ370" i="3"/>
  <c r="BA379" i="3"/>
  <c r="AZ379" i="3" s="1"/>
  <c r="BL380" i="3"/>
  <c r="AZ380" i="3" s="1"/>
  <c r="G381" i="3"/>
  <c r="BA383" i="3"/>
  <c r="AZ383" i="3" s="1"/>
  <c r="BL384" i="3"/>
  <c r="G385" i="3"/>
  <c r="BA387" i="3"/>
  <c r="AZ387" i="3" s="1"/>
  <c r="BL388" i="3"/>
  <c r="AZ388" i="3" s="1"/>
  <c r="G389" i="3"/>
  <c r="BA391" i="3"/>
  <c r="AZ391" i="3" s="1"/>
  <c r="BL392" i="3"/>
  <c r="G393" i="3"/>
  <c r="AZ275" i="3"/>
  <c r="AZ283" i="3"/>
  <c r="AZ291" i="3"/>
  <c r="AZ299" i="3"/>
  <c r="BO5" i="3"/>
  <c r="BM5" i="3"/>
  <c r="BJ5" i="3"/>
  <c r="BH5" i="3"/>
  <c r="BF5" i="3"/>
  <c r="BD5" i="3"/>
  <c r="AZ309" i="3"/>
  <c r="AZ317" i="3"/>
  <c r="AZ325" i="3"/>
  <c r="AZ341" i="3"/>
  <c r="AC5" i="3"/>
  <c r="AZ506" i="3"/>
  <c r="G548" i="3"/>
  <c r="G538" i="3"/>
  <c r="G520" i="3"/>
  <c r="G502" i="3"/>
  <c r="BS5" i="3"/>
  <c r="BP5" i="3"/>
  <c r="BN5" i="3"/>
  <c r="BI5" i="3"/>
  <c r="BE5" i="3"/>
  <c r="G17" i="3"/>
  <c r="BA17" i="3"/>
  <c r="BT5" i="3"/>
  <c r="AZ350" i="3"/>
  <c r="AZ356" i="3"/>
  <c r="AZ364" i="3"/>
  <c r="AZ368" i="3"/>
  <c r="BA15" i="3"/>
  <c r="BB5" i="3"/>
  <c r="AZ384" i="3"/>
  <c r="AZ392" i="3"/>
  <c r="AZ394" i="3"/>
  <c r="E8" i="6"/>
  <c r="F27" i="6" s="1"/>
  <c r="G509" i="3"/>
  <c r="BL493" i="3"/>
  <c r="AZ390" i="3"/>
  <c r="AZ493" i="3"/>
  <c r="U36" i="40"/>
  <c r="F81" i="43"/>
  <c r="H83" i="43" s="1"/>
  <c r="N7" i="43"/>
  <c r="F70" i="43"/>
  <c r="H73" i="43" s="1"/>
  <c r="M6" i="43"/>
  <c r="F35" i="43"/>
  <c r="F6" i="1"/>
  <c r="S14" i="35"/>
  <c r="U43" i="21"/>
  <c r="U35" i="21"/>
  <c r="AC35" i="21"/>
  <c r="U10" i="21"/>
  <c r="F48" i="9"/>
  <c r="O52" i="9" s="1"/>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3" i="3"/>
  <c r="AZ21" i="3"/>
  <c r="AZ37" i="3"/>
  <c r="AZ42" i="3"/>
  <c r="AZ53" i="3"/>
  <c r="AZ58" i="3"/>
  <c r="AZ69" i="3"/>
  <c r="AZ82" i="3"/>
  <c r="AZ102" i="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K9" i="1"/>
  <c r="M9" i="1" s="1"/>
  <c r="O9" i="1" s="1"/>
  <c r="P9" i="1" s="1"/>
  <c r="AE9" i="1"/>
  <c r="S31" i="39" l="1"/>
  <c r="W27" i="39"/>
  <c r="U17" i="39"/>
  <c r="J23" i="39"/>
  <c r="AB44" i="39"/>
  <c r="U44" i="39"/>
  <c r="AC43" i="39"/>
  <c r="W43" i="39"/>
  <c r="U45" i="39"/>
  <c r="AB45" i="39"/>
  <c r="H43" i="39"/>
  <c r="J45" i="39"/>
  <c r="S11" i="39"/>
  <c r="AC14" i="39"/>
  <c r="W14" i="39"/>
  <c r="F12" i="39"/>
  <c r="S12" i="39" s="1"/>
  <c r="H14" i="39"/>
  <c r="AB14" i="39" s="1"/>
  <c r="AA41" i="39"/>
  <c r="U40" i="39"/>
  <c r="S40" i="39"/>
  <c r="W35" i="39"/>
  <c r="U9" i="39"/>
  <c r="W8" i="39"/>
  <c r="H87" i="43"/>
  <c r="H74" i="43"/>
  <c r="G20" i="43"/>
  <c r="C20" i="43" s="1"/>
  <c r="L100" i="43"/>
  <c r="H86" i="43"/>
  <c r="F39" i="43"/>
  <c r="H113" i="43"/>
  <c r="F36" i="43"/>
  <c r="J17" i="43"/>
  <c r="I17" i="43"/>
  <c r="E17" i="43"/>
  <c r="N2" i="43"/>
  <c r="F59" i="43" s="1"/>
  <c r="H62" i="43" s="1"/>
  <c r="C21" i="39"/>
  <c r="C25" i="39"/>
  <c r="G7" i="1"/>
  <c r="M11" i="43"/>
  <c r="N4" i="43"/>
  <c r="A15" i="62"/>
  <c r="B61" i="72" s="1"/>
  <c r="G10" i="1"/>
  <c r="G8" i="1"/>
  <c r="G13" i="1"/>
  <c r="G9" i="1"/>
  <c r="S12" i="21"/>
  <c r="AA12" i="21"/>
  <c r="AZ557" i="3"/>
  <c r="H25" i="37"/>
  <c r="J25" i="37"/>
  <c r="BA551" i="3"/>
  <c r="BL550" i="3"/>
  <c r="BA550" i="3"/>
  <c r="BL548" i="3"/>
  <c r="AZ548" i="3" s="1"/>
  <c r="AZ393" i="3"/>
  <c r="AZ362" i="3"/>
  <c r="H82" i="43"/>
  <c r="H75" i="43"/>
  <c r="AC11" i="39"/>
  <c r="BQ5" i="3"/>
  <c r="F29" i="6"/>
  <c r="AZ327" i="3"/>
  <c r="AZ310" i="3"/>
  <c r="AZ371" i="3"/>
  <c r="AZ336" i="3"/>
  <c r="AZ329" i="3"/>
  <c r="AZ321" i="3"/>
  <c r="AZ304" i="3"/>
  <c r="AC13" i="40"/>
  <c r="AA25" i="21"/>
  <c r="AC46" i="21"/>
  <c r="W44" i="21"/>
  <c r="AB37" i="34"/>
  <c r="U33" i="37"/>
  <c r="W14" i="37"/>
  <c r="U43" i="33"/>
  <c r="AA41" i="34"/>
  <c r="AZ507" i="3"/>
  <c r="AZ513" i="3"/>
  <c r="AZ521" i="3"/>
  <c r="AZ553" i="3"/>
  <c r="AZ583" i="3"/>
  <c r="AZ581" i="3"/>
  <c r="AZ518" i="3"/>
  <c r="AZ538" i="3"/>
  <c r="AZ552" i="3"/>
  <c r="S44" i="34"/>
  <c r="U13" i="33"/>
  <c r="AB45" i="33"/>
  <c r="AA14" i="34"/>
  <c r="AB46" i="34"/>
  <c r="AB11" i="36"/>
  <c r="U46" i="33"/>
  <c r="AA13" i="35"/>
  <c r="U23" i="40"/>
  <c r="AA29" i="35"/>
  <c r="U33" i="35"/>
  <c r="BL586" i="3"/>
  <c r="BL585" i="3"/>
  <c r="AZ585" i="3" s="1"/>
  <c r="F38" i="40"/>
  <c r="H38" i="40"/>
  <c r="J40" i="40"/>
  <c r="F40" i="40"/>
  <c r="BL15" i="3"/>
  <c r="AZ15" i="3" s="1"/>
  <c r="BA398" i="3"/>
  <c r="AZ398" i="3" s="1"/>
  <c r="G401" i="3"/>
  <c r="BL401" i="3"/>
  <c r="AZ401" i="3" s="1"/>
  <c r="BL403" i="3"/>
  <c r="AZ403" i="3" s="1"/>
  <c r="BA404" i="3"/>
  <c r="AZ404" i="3" s="1"/>
  <c r="BL406" i="3"/>
  <c r="AZ406" i="3" s="1"/>
  <c r="BA407" i="3"/>
  <c r="AZ407" i="3" s="1"/>
  <c r="G410" i="3"/>
  <c r="G411" i="3"/>
  <c r="G412" i="3"/>
  <c r="BL412" i="3"/>
  <c r="BA413" i="3"/>
  <c r="AZ413" i="3" s="1"/>
  <c r="BA414" i="3"/>
  <c r="AZ414" i="3" s="1"/>
  <c r="G417" i="3"/>
  <c r="BL417" i="3"/>
  <c r="AZ417" i="3" s="1"/>
  <c r="BL419" i="3"/>
  <c r="AZ419" i="3" s="1"/>
  <c r="BA420" i="3"/>
  <c r="AZ420" i="3" s="1"/>
  <c r="BL422" i="3"/>
  <c r="AZ422" i="3" s="1"/>
  <c r="BA423" i="3"/>
  <c r="AZ423" i="3" s="1"/>
  <c r="BA424" i="3"/>
  <c r="AZ424" i="3" s="1"/>
  <c r="G427" i="3"/>
  <c r="G428" i="3"/>
  <c r="BL428" i="3"/>
  <c r="BA429" i="3"/>
  <c r="AZ429" i="3" s="1"/>
  <c r="BA430" i="3"/>
  <c r="AZ430" i="3" s="1"/>
  <c r="G433" i="3"/>
  <c r="BL433" i="3"/>
  <c r="AZ433" i="3" s="1"/>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AZ480" i="3" s="1"/>
  <c r="G483" i="3"/>
  <c r="BA484" i="3"/>
  <c r="AZ484" i="3" s="1"/>
  <c r="BA485" i="3"/>
  <c r="AZ485" i="3" s="1"/>
  <c r="BL487" i="3"/>
  <c r="AZ487" i="3" s="1"/>
  <c r="BA488" i="3"/>
  <c r="AZ488" i="3" s="1"/>
  <c r="BA489" i="3"/>
  <c r="AZ489" i="3" s="1"/>
  <c r="BL491" i="3"/>
  <c r="AZ491" i="3" s="1"/>
  <c r="BA492" i="3"/>
  <c r="AZ492" i="3" s="1"/>
  <c r="AZ274" i="3"/>
  <c r="AZ290" i="3"/>
  <c r="G574" i="3"/>
  <c r="G558" i="3"/>
  <c r="AZ402" i="3"/>
  <c r="AZ418" i="3"/>
  <c r="AZ434" i="3"/>
  <c r="AZ443" i="3"/>
  <c r="AZ445" i="3"/>
  <c r="AZ446" i="3"/>
  <c r="AZ449" i="3"/>
  <c r="AZ450" i="3"/>
  <c r="AZ459" i="3"/>
  <c r="AZ461" i="3"/>
  <c r="AZ462" i="3"/>
  <c r="AZ476" i="3"/>
  <c r="AZ477" i="3"/>
  <c r="AZ481" i="3"/>
  <c r="G315" i="3"/>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AZ284" i="3"/>
  <c r="AZ161" i="3"/>
  <c r="AZ193" i="3"/>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AZ125" i="3"/>
  <c r="AZ169" i="3"/>
  <c r="AZ201" i="3"/>
  <c r="AZ38" i="3"/>
  <c r="G119" i="3"/>
  <c r="G122" i="3"/>
  <c r="BL122" i="3"/>
  <c r="AZ122" i="3" s="1"/>
  <c r="BA124" i="3"/>
  <c r="AZ124" i="3" s="1"/>
  <c r="BL125" i="3"/>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G164" i="3"/>
  <c r="BL166" i="3"/>
  <c r="AZ166" i="3" s="1"/>
  <c r="BA168" i="3"/>
  <c r="AZ168" i="3" s="1"/>
  <c r="BL169" i="3"/>
  <c r="G172" i="3"/>
  <c r="BL174" i="3"/>
  <c r="AZ174" i="3" s="1"/>
  <c r="BA176" i="3"/>
  <c r="AZ176" i="3" s="1"/>
  <c r="BL177" i="3"/>
  <c r="AZ177" i="3" s="1"/>
  <c r="G180" i="3"/>
  <c r="BL182" i="3"/>
  <c r="AZ182" i="3" s="1"/>
  <c r="BA184" i="3"/>
  <c r="AZ184" i="3" s="1"/>
  <c r="BL185" i="3"/>
  <c r="AZ185" i="3" s="1"/>
  <c r="G188" i="3"/>
  <c r="BL190" i="3"/>
  <c r="AZ190" i="3" s="1"/>
  <c r="BA192" i="3"/>
  <c r="AZ192" i="3" s="1"/>
  <c r="BL193" i="3"/>
  <c r="G196" i="3"/>
  <c r="BL198" i="3"/>
  <c r="AZ198" i="3" s="1"/>
  <c r="BA200" i="3"/>
  <c r="AZ200" i="3" s="1"/>
  <c r="BL201" i="3"/>
  <c r="G204" i="3"/>
  <c r="G206" i="3"/>
  <c r="G207" i="3"/>
  <c r="BL207" i="3"/>
  <c r="AZ207" i="3" s="1"/>
  <c r="BA18" i="3"/>
  <c r="AZ18" i="3" s="1"/>
  <c r="BL20" i="3"/>
  <c r="AZ20" i="3" s="1"/>
  <c r="G23" i="3"/>
  <c r="BL23" i="3"/>
  <c r="AZ23" i="3" s="1"/>
  <c r="G26" i="3"/>
  <c r="BL26" i="3"/>
  <c r="BA27" i="3"/>
  <c r="AZ27" i="3" s="1"/>
  <c r="BA28" i="3"/>
  <c r="AZ28" i="3" s="1"/>
  <c r="BA29" i="3"/>
  <c r="AZ29" i="3" s="1"/>
  <c r="BL31" i="3"/>
  <c r="AZ31" i="3" s="1"/>
  <c r="BL33" i="3"/>
  <c r="AZ33" i="3" s="1"/>
  <c r="G35" i="3"/>
  <c r="BL35" i="3"/>
  <c r="G37" i="3"/>
  <c r="G38" i="3"/>
  <c r="BL38" i="3"/>
  <c r="G41" i="3"/>
  <c r="BL41" i="3"/>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57" i="40" s="1"/>
  <c r="E15" i="6"/>
  <c r="E60" i="40" s="1"/>
  <c r="K6" i="1"/>
  <c r="E13" i="6"/>
  <c r="E58" i="40" s="1"/>
  <c r="G29" i="6"/>
  <c r="E29" i="6" s="1"/>
  <c r="AC26" i="33"/>
  <c r="W26" i="33"/>
  <c r="W27" i="34"/>
  <c r="AC27" i="34"/>
  <c r="AB34" i="36"/>
  <c r="U34" i="36"/>
  <c r="AB33" i="36"/>
  <c r="U33" i="36"/>
  <c r="AC12" i="39"/>
  <c r="W12" i="39"/>
  <c r="AC39" i="40"/>
  <c r="W39" i="40"/>
  <c r="AZ412" i="3"/>
  <c r="AZ428"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F48" i="43" s="1"/>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K107" i="43"/>
  <c r="K102" i="43"/>
  <c r="K104" i="43"/>
  <c r="G107" i="43"/>
  <c r="G103" i="43"/>
  <c r="G104" i="43"/>
  <c r="G106" i="43"/>
  <c r="K106" i="43"/>
  <c r="K105" i="43"/>
  <c r="J106" i="43"/>
  <c r="N104" i="43"/>
  <c r="N107" i="43"/>
  <c r="AR12" i="1"/>
  <c r="T12" i="1"/>
  <c r="E19" i="69"/>
  <c r="E19" i="68"/>
  <c r="E19" i="11"/>
  <c r="E1" i="73"/>
  <c r="K1" i="73" s="1"/>
  <c r="G41" i="69"/>
  <c r="G22" i="69"/>
  <c r="G41" i="68"/>
  <c r="G22" i="68"/>
  <c r="G27" i="12"/>
  <c r="G26" i="12"/>
  <c r="G41" i="11"/>
  <c r="G22" i="11"/>
  <c r="G25" i="12"/>
  <c r="J109" i="43"/>
  <c r="C100" i="43"/>
  <c r="K109" i="43"/>
  <c r="E11" i="43"/>
  <c r="E10" i="43"/>
  <c r="E9" i="43"/>
  <c r="E8" i="43"/>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6" i="43"/>
  <c r="H64" i="43"/>
  <c r="H76" i="43"/>
  <c r="H72" i="43"/>
  <c r="H77" i="43"/>
  <c r="L20" i="6"/>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6" i="15"/>
  <c r="J15" i="67"/>
  <c r="M29" i="15"/>
  <c r="J15" i="15"/>
  <c r="F37" i="67"/>
  <c r="M26" i="67"/>
  <c r="F8" i="15"/>
  <c r="M24" i="15"/>
  <c r="F43" i="67"/>
  <c r="F43" i="15"/>
  <c r="F13" i="67"/>
  <c r="F26" i="15"/>
  <c r="F6" i="67"/>
  <c r="M9" i="15"/>
  <c r="M8" i="67"/>
  <c r="F6" i="15"/>
  <c r="F16" i="15"/>
  <c r="F8" i="67"/>
  <c r="M8" i="15"/>
  <c r="G1" i="73"/>
  <c r="F37" i="15"/>
  <c r="M28" i="67"/>
  <c r="F42" i="15"/>
  <c r="M22" i="67"/>
  <c r="M24" i="67"/>
  <c r="L47" i="15"/>
  <c r="F9" i="67"/>
  <c r="F7" i="67"/>
  <c r="L48" i="15"/>
  <c r="M22" i="15"/>
  <c r="F40" i="15"/>
  <c r="M23" i="67"/>
  <c r="M9" i="67"/>
  <c r="F36" i="67"/>
  <c r="F26" i="67"/>
  <c r="L47" i="67"/>
  <c r="F7" i="15"/>
  <c r="M6" i="67"/>
  <c r="M29" i="67"/>
  <c r="M28" i="15"/>
  <c r="F38" i="67"/>
  <c r="M23" i="15"/>
  <c r="F16" i="67"/>
  <c r="F42" i="67"/>
  <c r="L48" i="67"/>
  <c r="F40" i="67"/>
  <c r="F38" i="15"/>
  <c r="C76" i="15"/>
  <c r="C76" i="67"/>
  <c r="F36" i="15"/>
  <c r="M26" i="15"/>
  <c r="F9" i="15"/>
  <c r="F13" i="15"/>
  <c r="C102" i="43" l="1"/>
  <c r="S2" i="43" s="1"/>
  <c r="D115" i="43"/>
  <c r="E115" i="43" s="1"/>
  <c r="F115" i="43" s="1"/>
  <c r="G115" i="43" s="1"/>
  <c r="H115" i="43" s="1"/>
  <c r="AC23" i="39"/>
  <c r="W23" i="39"/>
  <c r="W45" i="39"/>
  <c r="AC45" i="39"/>
  <c r="H63" i="43"/>
  <c r="H65" i="43"/>
  <c r="C7" i="43"/>
  <c r="H67" i="43"/>
  <c r="H59" i="43"/>
  <c r="H60" i="43"/>
  <c r="H61" i="43"/>
  <c r="H52" i="43"/>
  <c r="H49" i="43"/>
  <c r="H50" i="43"/>
  <c r="H53" i="43"/>
  <c r="H55" i="43"/>
  <c r="H56" i="43"/>
  <c r="H48" i="43"/>
  <c r="H54" i="43"/>
  <c r="H51" i="43"/>
  <c r="D118" i="43"/>
  <c r="E118" i="43" s="1"/>
  <c r="F118" i="43" s="1"/>
  <c r="I117" i="43"/>
  <c r="J117" i="43" s="1"/>
  <c r="K117" i="43" s="1"/>
  <c r="L117" i="43" s="1"/>
  <c r="M117" i="43" s="1"/>
  <c r="C105" i="43"/>
  <c r="D22" i="43"/>
  <c r="C109" i="43"/>
  <c r="AR10" i="1"/>
  <c r="E56" i="40"/>
  <c r="F105" i="43"/>
  <c r="B117" i="43"/>
  <c r="C117" i="43" s="1"/>
  <c r="B116" i="43"/>
  <c r="C116" i="43" s="1"/>
  <c r="I118" i="43"/>
  <c r="J118" i="43" s="1"/>
  <c r="K118" i="43" s="1"/>
  <c r="L118" i="43" s="1"/>
  <c r="M118" i="43" s="1"/>
  <c r="F106" i="43"/>
  <c r="E62" i="39"/>
  <c r="S5" i="43"/>
  <c r="F109" i="43"/>
  <c r="F103" i="43"/>
  <c r="I116" i="43"/>
  <c r="J116" i="43" s="1"/>
  <c r="K116" i="43" s="1"/>
  <c r="L116" i="43" s="1"/>
  <c r="M116" i="43" s="1"/>
  <c r="B118" i="43"/>
  <c r="C118" i="43" s="1"/>
  <c r="G118" i="43"/>
  <c r="H118" i="43" s="1"/>
  <c r="D116" i="43"/>
  <c r="E116" i="43" s="1"/>
  <c r="F116" i="43" s="1"/>
  <c r="G116" i="43" s="1"/>
  <c r="H116" i="43" s="1"/>
  <c r="C103" i="43"/>
  <c r="C107" i="43"/>
  <c r="F102" i="43"/>
  <c r="T10" i="1"/>
  <c r="E4" i="4"/>
  <c r="B5" i="62" s="1"/>
  <c r="B73" i="72" s="1"/>
  <c r="W40" i="40"/>
  <c r="AC40" i="40"/>
  <c r="AA38" i="40"/>
  <c r="S38" i="40"/>
  <c r="U25" i="37"/>
  <c r="AB25" i="37"/>
  <c r="AA40" i="40"/>
  <c r="S40" i="40"/>
  <c r="AB38" i="40"/>
  <c r="U38" i="40"/>
  <c r="AC25" i="37"/>
  <c r="W25" i="37"/>
  <c r="C53" i="15"/>
  <c r="C10" i="67"/>
  <c r="C53" i="6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15" s="1"/>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15"/>
  <c r="F31" i="15"/>
  <c r="F31" i="67"/>
  <c r="F59" i="67"/>
  <c r="M17" i="15"/>
  <c r="M17" i="67"/>
  <c r="C17" i="15"/>
  <c r="C16" i="15"/>
  <c r="C16" i="67"/>
  <c r="M20" i="6" l="1"/>
  <c r="I20" i="6" s="1"/>
  <c r="D5" i="43"/>
  <c r="C36" i="43" s="1"/>
  <c r="E36" i="43" s="1"/>
  <c r="C30" i="69"/>
  <c r="AQ7" i="1"/>
  <c r="D113" i="43"/>
  <c r="J22" i="43" s="1"/>
  <c r="K16" i="1"/>
  <c r="M19" i="6"/>
  <c r="I19" i="6" s="1"/>
  <c r="AR6" i="1"/>
  <c r="K4" i="4"/>
  <c r="B46" i="48" s="1"/>
  <c r="B4" i="72" s="1"/>
  <c r="T7" i="1"/>
  <c r="AR7" i="1"/>
  <c r="L59" i="15"/>
  <c r="Q74" i="15" s="1"/>
  <c r="C30" i="11"/>
  <c r="E6" i="70"/>
  <c r="K27" i="6"/>
  <c r="A18" i="62"/>
  <c r="B64" i="72" s="1"/>
  <c r="D3" i="34"/>
  <c r="D3" i="21"/>
  <c r="D3" i="33"/>
  <c r="C33" i="43"/>
  <c r="G33" i="43" s="1"/>
  <c r="I33"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7"/>
  <c r="C32" i="67" s="1"/>
  <c r="F10" i="40"/>
  <c r="AA10" i="40" s="1"/>
  <c r="S20" i="6"/>
  <c r="H10" i="39"/>
  <c r="J10" i="39"/>
  <c r="C49" i="15"/>
  <c r="Q60" i="15"/>
  <c r="M16" i="1"/>
  <c r="N16" i="1" s="1"/>
  <c r="Q60" i="67"/>
  <c r="Q73" i="67"/>
  <c r="F27" i="11"/>
  <c r="Q61" i="67"/>
  <c r="Q74" i="67"/>
  <c r="C49" i="67"/>
  <c r="F1" i="67"/>
  <c r="Q52" i="67"/>
  <c r="C34" i="43" l="1"/>
  <c r="G34" i="43" s="1"/>
  <c r="I34" i="43" s="1"/>
  <c r="C35" i="43"/>
  <c r="G35" i="43" s="1"/>
  <c r="I35" i="43" s="1"/>
  <c r="M27" i="6"/>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68"/>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C30" i="43"/>
  <c r="E30" i="43" s="1"/>
  <c r="E29" i="43"/>
  <c r="G36" i="43"/>
  <c r="I36" i="43" s="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E34" i="43" l="1"/>
  <c r="E35" i="43"/>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8" i="68" s="1"/>
  <c r="C12" i="12"/>
  <c r="C15" i="12"/>
  <c r="C34" i="68"/>
  <c r="U7" i="21"/>
  <c r="C22" i="11"/>
  <c r="C31" i="11"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C26" i="43" l="1"/>
  <c r="C35" i="11"/>
  <c r="C33" i="11" s="1"/>
  <c r="C42" i="11" s="1"/>
  <c r="C18" i="12"/>
  <c r="D31" i="6"/>
  <c r="I6" i="6"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E6" i="76"/>
  <c r="F35" i="15"/>
  <c r="M21" i="67"/>
  <c r="M21" i="15"/>
  <c r="F35" i="67"/>
  <c r="C21" i="12" l="1"/>
  <c r="E2" i="76"/>
  <c r="B2" i="43"/>
  <c r="I5" i="6"/>
  <c r="B3" i="43"/>
  <c r="C49" i="21"/>
  <c r="F63" i="67"/>
  <c r="C62" i="67" s="1"/>
  <c r="C34" i="67"/>
  <c r="J20" i="67"/>
  <c r="C24" i="68"/>
  <c r="J20" i="15"/>
  <c r="F63" i="15"/>
  <c r="C62" i="15" s="1"/>
  <c r="C34" i="15"/>
  <c r="R16" i="1"/>
  <c r="C22" i="12"/>
  <c r="C30" i="12" s="1"/>
  <c r="C28" i="12" s="1"/>
  <c r="C33" i="68"/>
  <c r="I63" i="40"/>
  <c r="H65" i="40"/>
  <c r="C39" i="11"/>
  <c r="C43" i="11" s="1"/>
  <c r="C41" i="11" s="1"/>
  <c r="I70" i="39"/>
  <c r="B6" i="76"/>
  <c r="B2" i="76" l="1"/>
  <c r="B3" i="76"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M27" i="15"/>
  <c r="F41" i="67"/>
  <c r="M27" i="67"/>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E2" i="69"/>
  <c r="AO7" i="1"/>
  <c r="B8" i="70" l="1"/>
  <c r="B7" i="70"/>
  <c r="B6" i="70"/>
  <c r="C46" i="15"/>
  <c r="B2" i="69"/>
  <c r="B3" i="69" s="1"/>
  <c r="B3" i="67"/>
  <c r="D2" i="36"/>
  <c r="F20" i="31"/>
  <c r="D2" i="33"/>
  <c r="D2" i="34"/>
  <c r="D2" i="21"/>
  <c r="D2" i="37"/>
  <c r="D2" i="35"/>
  <c r="E2" i="68"/>
  <c r="B20" i="31" l="1"/>
  <c r="B2" i="36"/>
  <c r="B3" i="36" s="1"/>
  <c r="B2" i="35"/>
  <c r="B3" i="35" s="1"/>
  <c r="B2" i="37"/>
  <c r="B3" i="37" s="1"/>
  <c r="B2" i="34"/>
  <c r="B3" i="34" s="1"/>
  <c r="B2" i="21"/>
  <c r="B3" i="21" s="1"/>
  <c r="B2" i="70"/>
  <c r="B3" i="70" s="1"/>
  <c r="D19" i="9"/>
  <c r="D20"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l="1"/>
  <c r="C5" i="68" s="1"/>
  <c r="C23" i="68" l="1"/>
  <c r="C20" i="68"/>
  <c r="H112" i="9"/>
  <c r="D21" i="53" s="1"/>
  <c r="B39" i="72" s="1"/>
  <c r="H111" i="9"/>
  <c r="D126" i="9" s="1"/>
  <c r="D59" i="9"/>
  <c r="M55" i="9" s="1"/>
  <c r="C28" i="68" l="1"/>
  <c r="C27" i="68" s="1"/>
  <c r="C25" i="68"/>
  <c r="C22" i="68" s="1"/>
  <c r="D19" i="53"/>
  <c r="B38" i="72" s="1"/>
  <c r="D20" i="53"/>
  <c r="B40" i="72" s="1"/>
  <c r="I14" i="74"/>
  <c r="B8" i="74" s="1"/>
  <c r="D127" i="9"/>
  <c r="D13" i="52" s="1"/>
  <c r="D12" i="52"/>
  <c r="C31" i="68" l="1"/>
  <c r="C52" i="68" s="1"/>
  <c r="D8" i="74"/>
  <c r="C8" i="74"/>
  <c r="C57" i="68" l="1"/>
  <c r="C56" i="68" s="1"/>
  <c r="B2" i="68"/>
  <c r="C19" i="9"/>
  <c r="C21" i="9" l="1"/>
  <c r="C102" i="9"/>
  <c r="G19" i="9"/>
  <c r="D22" i="9"/>
  <c r="B3" i="68"/>
  <c r="D34" i="9"/>
  <c r="D35" i="9"/>
  <c r="C20" i="9"/>
  <c r="C103" i="9" l="1"/>
  <c r="G20" i="9"/>
  <c r="G21" i="9"/>
  <c r="C32" i="9"/>
  <c r="C35" i="9" l="1"/>
  <c r="F118" i="9" s="1"/>
  <c r="H118" i="9"/>
  <c r="C104" i="9" l="1"/>
  <c r="H101" i="9"/>
  <c r="H119" i="9"/>
  <c r="H5" i="52" s="1"/>
  <c r="H4" i="52"/>
  <c r="I118" i="9"/>
  <c r="D14" i="74"/>
  <c r="C34" i="9"/>
  <c r="D118" i="9" s="1"/>
  <c r="G118" i="9"/>
  <c r="G4" i="52" s="1"/>
  <c r="B52" i="72" s="1"/>
  <c r="F119" i="9"/>
  <c r="F5" i="52" s="1"/>
  <c r="B53" i="72" s="1"/>
  <c r="F4" i="52"/>
  <c r="B51" i="72" s="1"/>
  <c r="D119" i="9" l="1"/>
  <c r="D5" i="52" s="1"/>
  <c r="B49" i="72" s="1"/>
  <c r="D4" i="52"/>
  <c r="B47" i="72" s="1"/>
  <c r="C105" i="9"/>
  <c r="E118" i="9"/>
  <c r="E4" i="52" s="1"/>
  <c r="B48" i="72" s="1"/>
  <c r="I4" i="52"/>
  <c r="H102" i="9"/>
  <c r="D7" i="53" s="1"/>
  <c r="B21" i="72" s="1"/>
  <c r="B5" i="74"/>
  <c r="E14" i="74"/>
  <c r="F14" i="74"/>
  <c r="M48" i="9"/>
  <c r="H107" i="9"/>
  <c r="D45" i="9"/>
  <c r="D5" i="53"/>
  <c r="AD3" i="71"/>
  <c r="P21" i="43" s="1"/>
  <c r="B20" i="72" l="1"/>
  <c r="D6" i="53"/>
  <c r="B22" i="72" s="1"/>
  <c r="M49" i="9"/>
  <c r="D122" i="9"/>
  <c r="D13" i="53"/>
  <c r="H108" i="9"/>
  <c r="D15" i="53" s="1"/>
  <c r="B31" i="72" s="1"/>
  <c r="C5" i="74"/>
  <c r="D5" i="74"/>
  <c r="D53" i="9"/>
  <c r="D52" i="9"/>
  <c r="C85" i="9"/>
  <c r="D55" i="9"/>
  <c r="M53" i="9" s="1"/>
  <c r="C93" i="9"/>
  <c r="C86" i="9" s="1"/>
  <c r="C78" i="9"/>
  <c r="C73" i="9" s="1"/>
  <c r="C72" i="9"/>
  <c r="C64" i="9"/>
  <c r="C63" i="9" s="1"/>
  <c r="C67" i="9" s="1"/>
  <c r="C68" i="9" s="1"/>
  <c r="D54" i="9" s="1"/>
  <c r="P22" i="43"/>
  <c r="P23" i="43"/>
  <c r="B71" i="39" s="1"/>
  <c r="P24" i="43"/>
  <c r="B66" i="40" s="1"/>
  <c r="P25" i="43"/>
  <c r="D123" i="9" l="1"/>
  <c r="D9" i="52" s="1"/>
  <c r="G14" i="74"/>
  <c r="B6" i="74" s="1"/>
  <c r="D8" i="52"/>
  <c r="C79" i="9"/>
  <c r="C95" i="9"/>
  <c r="B30" i="72"/>
  <c r="D14" i="53"/>
  <c r="B32" i="72" s="1"/>
  <c r="L68" i="9"/>
  <c r="M68" i="9" s="1"/>
  <c r="L63" i="9"/>
  <c r="M63" i="9" s="1"/>
  <c r="L64" i="9"/>
  <c r="M64" i="9" s="1"/>
  <c r="L66" i="9"/>
  <c r="M66" i="9" s="1"/>
  <c r="L65" i="9"/>
  <c r="M65" i="9" s="1"/>
  <c r="L67" i="9"/>
  <c r="M67" i="9" s="1"/>
  <c r="C96" i="9" l="1"/>
  <c r="E96" i="9" s="1"/>
  <c r="E97" i="9" s="1"/>
  <c r="C80" i="9"/>
  <c r="E80" i="9" s="1"/>
  <c r="E81" i="9" s="1"/>
  <c r="D6" i="74"/>
  <c r="C6" i="74"/>
  <c r="M69" i="9"/>
  <c r="N69" i="9" s="1"/>
  <c r="C81" i="9" l="1"/>
  <c r="C97" i="9"/>
  <c r="D58" i="9" s="1"/>
  <c r="D56" i="9" s="1"/>
  <c r="M54" i="9" s="1"/>
  <c r="N57" i="9" s="1"/>
  <c r="N59" i="9" s="1"/>
  <c r="P57" i="9" l="1"/>
  <c r="N58" i="9"/>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<sst xmlns="http://schemas.openxmlformats.org/spreadsheetml/2006/main" count="7465" uniqueCount="3178">
  <si>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</si>
  <si>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</si>
  <si>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</si>
  <si>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</si>
  <si>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</si>
  <si>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</si>
  <si>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</si>
  <si>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</si>
  <si>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</si>
  <si>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</si>
  <si>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</si>
  <si>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</si>
  <si>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</si>
  <si>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</si>
  <si>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</si>
  <si>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</si>
  <si>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</si>
  <si>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</si>
  <si>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</si>
  <si>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</si>
  <si>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</si>
  <si>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</si>
  <si>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</si>
  <si>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</si>
  <si>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</si>
  <si>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</si>
  <si>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</si>
  <si>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</si>
  <si>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</si>
  <si>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</si>
  <si>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</si>
  <si>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</si>
  <si>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</si>
  <si>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</si>
  <si>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</si>
  <si>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</si>
  <si>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</si>
  <si>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</si>
  <si>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</si>
  <si>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</si>
  <si>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</si>
  <si>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</si>
  <si>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</si>
  <si>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</si>
  <si>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</si>
  <si>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</si>
  <si>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</si>
  <si>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</si>
  <si>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</si>
  <si>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</si>
  <si>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</si>
  <si>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</si>
  <si>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</si>
  <si>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</si>
  <si>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</si>
  <si>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</si>
  <si>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</si>
  <si>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</si>
  <si>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</si>
  <si>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</si>
  <si>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</si>
  <si>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</si>
  <si>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</si>
  <si>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</si>
  <si>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</si>
  <si>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</si>
  <si>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</si>
  <si>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</si>
  <si>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</si>
  <si>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</si>
  <si>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</si>
  <si>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</si>
  <si>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</si>
  <si>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</si>
  <si>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</si>
  <si>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</si>
  <si>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</si>
  <si>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</si>
  <si>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</si>
  <si>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</si>
  <si>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</si>
  <si>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</si>
  <si>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</si>
  <si>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</si>
  <si>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</si>
  <si>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</si>
  <si>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</si>
  <si>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</si>
  <si>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</si>
  <si>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</si>
  <si>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</si>
  <si>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</si>
  <si>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</si>
  <si>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</si>
  <si>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</si>
  <si>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</si>
  <si>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</si>
  <si>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</si>
  <si>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</si>
  <si>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</si>
  <si>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</si>
  <si>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</si>
  <si>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</si>
  <si>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</si>
  <si>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</si>
  <si>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</si>
  <si>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</si>
  <si>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</si>
  <si>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</si>
  <si>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</si>
  <si>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</si>
  <si>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</si>
  <si>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</si>
  <si>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</si>
  <si>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</si>
  <si>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</si>
  <si>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</si>
  <si>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</si>
  <si>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</si>
  <si>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</si>
  <si>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</si>
  <si>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</si>
  <si>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</si>
  <si>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</si>
  <si>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</si>
  <si>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</si>
  <si>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</si>
  <si>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</si>
  <si>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</si>
  <si>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</si>
  <si>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</si>
  <si>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</si>
  <si>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</si>
  <si>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</si>
  <si>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</si>
  <si>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</si>
  <si>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</si>
  <si>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</si>
  <si>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</si>
  <si>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</si>
  <si>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</si>
  <si>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</si>
  <si>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</si>
  <si>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</si>
  <si>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</si>
  <si>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</si>
  <si>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</si>
  <si>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</si>
  <si>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</si>
  <si>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</si>
  <si>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</si>
  <si>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</si>
  <si>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</si>
  <si>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</si>
  <si>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</si>
  <si>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</si>
  <si>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</si>
  <si>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</si>
  <si>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</si>
  <si>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</si>
  <si>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</si>
  <si>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</si>
  <si>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</si>
  <si>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</si>
  <si>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</si>
  <si>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</si>
  <si>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</si>
  <si>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</si>
  <si>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</si>
  <si>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</si>
  <si>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</si>
  <si>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</si>
  <si>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</si>
  <si>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</si>
  <si>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</si>
  <si>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</si>
  <si>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</si>
  <si>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</si>
  <si>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</si>
  <si>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</si>
  <si>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</si>
  <si>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</si>
  <si>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</si>
  <si>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</si>
  <si>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</si>
  <si>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</si>
  <si>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</si>
  <si>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</si>
  <si>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</si>
  <si>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</si>
  <si>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</si>
  <si>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</si>
  <si>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</si>
  <si>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</si>
  <si>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</si>
  <si>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</si>
  <si>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</si>
  <si>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</si>
  <si>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</si>
  <si>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</si>
  <si>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</si>
  <si>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</si>
  <si>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</si>
  <si>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</si>
  <si>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</si>
  <si>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</si>
  <si>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</si>
  <si>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</si>
  <si>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</si>
  <si>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</si>
  <si>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</si>
  <si>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</si>
  <si>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</si>
  <si>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</si>
  <si>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</si>
  <si>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</si>
  <si>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</si>
  <si>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</si>
  <si>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</si>
  <si>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</si>
  <si>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</si>
  <si>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</si>
  <si>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</si>
  <si>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</si>
  <si>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</si>
  <si>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</si>
  <si>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</si>
  <si>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</si>
  <si>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</si>
  <si>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</si>
  <si>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</si>
  <si>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</si>
  <si>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</si>
  <si>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</si>
  <si>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</si>
  <si>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</si>
  <si>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</si>
  <si>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</si>
  <si>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</si>
  <si>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</si>
  <si>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</si>
  <si>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</si>
  <si>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</si>
  <si>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</si>
  <si>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</si>
  <si>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</si>
  <si>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</si>
  <si>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</si>
  <si>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</si>
  <si>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</si>
  <si>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</si>
  <si>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</si>
  <si>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</si>
  <si>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</si>
  <si>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</si>
  <si>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</si>
  <si>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</si>
  <si>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</si>
  <si>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</si>
  <si>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</si>
  <si>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</si>
  <si>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</si>
  <si>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</si>
  <si>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</si>
  <si>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</si>
  <si>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</si>
  <si>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</si>
  <si>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</si>
  <si>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</si>
  <si>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</si>
  <si>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</si>
  <si>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</si>
  <si>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</si>
  <si>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</si>
  <si>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</si>
  <si>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</si>
  <si>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</si>
  <si>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</si>
  <si>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</si>
  <si>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</si>
  <si>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</si>
  <si>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</si>
  <si>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</si>
  <si>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</si>
  <si>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</si>
  <si>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</si>
  <si>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</si>
  <si>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</si>
  <si>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</si>
  <si>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</si>
  <si>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</si>
  <si>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</si>
  <si>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</si>
  <si>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</si>
  <si>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</si>
  <si>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</si>
  <si>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</si>
  <si>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</si>
  <si>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</si>
  <si>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</si>
  <si>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</si>
  <si>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</si>
  <si>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</si>
  <si>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</si>
  <si>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</si>
  <si>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</si>
  <si>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</si>
  <si>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</si>
  <si>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</si>
  <si>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</si>
  <si>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</si>
  <si>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</si>
  <si>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</si>
  <si>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</si>
  <si>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</si>
  <si>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</si>
  <si>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</si>
  <si>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</si>
  <si>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</si>
  <si>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</si>
  <si>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</si>
  <si>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</si>
  <si>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</si>
  <si>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</si>
  <si>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</si>
  <si>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</si>
  <si>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</si>
  <si>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</si>
  <si>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</si>
  <si>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</si>
  <si>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</si>
  <si>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</si>
  <si>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</si>
  <si>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</si>
  <si>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</si>
  <si>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</si>
  <si>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</si>
  <si>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</si>
  <si>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</si>
  <si>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</si>
  <si>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</si>
  <si>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</si>
  <si>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</si>
  <si>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</si>
  <si>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</si>
  <si>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</si>
  <si>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</si>
  <si>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</si>
  <si>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</si>
  <si>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</si>
  <si>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</si>
  <si>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</si>
  <si>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</si>
  <si>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</si>
  <si>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</si>
  <si>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</si>
  <si>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</si>
  <si>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</si>
  <si>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</si>
  <si>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</si>
  <si>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</si>
  <si>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</si>
  <si>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</si>
  <si>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</si>
  <si>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</si>
  <si>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</si>
  <si>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</si>
  <si>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</si>
  <si>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</si>
  <si>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</si>
  <si>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</si>
  <si>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</si>
  <si>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</si>
  <si>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</si>
  <si>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</si>
  <si>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</si>
  <si>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</si>
  <si>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</si>
  <si>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</si>
  <si>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</si>
  <si>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</si>
  <si>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</si>
  <si>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</si>
  <si>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</si>
  <si>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</si>
  <si>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</si>
  <si>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</si>
  <si>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</si>
  <si>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</si>
  <si>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</si>
  <si>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</si>
  <si>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</si>
  <si>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</si>
  <si>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</si>
  <si>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</si>
  <si>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</si>
  <si>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</si>
  <si>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</si>
  <si>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</si>
  <si>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</si>
  <si>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</si>
  <si>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</si>
  <si>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</si>
  <si>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</si>
  <si>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</si>
  <si>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</si>
  <si>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</si>
  <si>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</si>
  <si>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</si>
  <si>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</si>
  <si>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</si>
  <si>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</si>
  <si>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</si>
  <si>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</si>
  <si>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</si>
  <si>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</si>
  <si>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</si>
  <si>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</si>
  <si>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</si>
  <si>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</si>
  <si>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</si>
  <si>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</si>
  <si>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</si>
  <si>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</si>
  <si>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</si>
  <si>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</si>
  <si>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</si>
  <si>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</si>
  <si>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</si>
  <si>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</si>
  <si>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</si>
  <si>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</si>
  <si>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</si>
  <si>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</si>
  <si>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</si>
  <si>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</si>
  <si>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</si>
  <si>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</si>
  <si>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</si>
  <si>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</si>
  <si>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</si>
  <si>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</si>
  <si>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</si>
  <si>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</si>
  <si>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</si>
  <si>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</si>
  <si>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</si>
  <si>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</si>
  <si>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</si>
  <si>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</si>
  <si>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</si>
  <si>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</si>
  <si>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</si>
  <si>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</si>
  <si>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</si>
  <si>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</si>
  <si>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</si>
  <si>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</si>
  <si>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</si>
  <si>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</si>
  <si>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</si>
  <si>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</si>
  <si>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</si>
  <si>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</si>
  <si>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</si>
  <si>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</si>
  <si>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</si>
  <si>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</si>
  <si>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</si>
  <si>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</si>
  <si>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</si>
  <si>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</si>
  <si>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</si>
  <si>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</si>
  <si>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</si>
  <si>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</si>
  <si>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</si>
  <si>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</si>
  <si>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</si>
  <si>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</si>
  <si>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</si>
  <si>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</si>
  <si>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</si>
  <si>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</si>
  <si>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</si>
  <si>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</si>
  <si>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</si>
  <si>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</si>
  <si>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</si>
  <si>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</si>
  <si>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</si>
  <si>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</si>
  <si>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</si>
  <si>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</si>
  <si>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</si>
  <si>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</si>
  <si>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</si>
  <si>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</si>
  <si>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</si>
  <si>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</si>
  <si>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</si>
  <si>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</si>
  <si>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</si>
  <si>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</si>
  <si>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</si>
  <si>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</si>
  <si>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</si>
  <si>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</si>
  <si>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</si>
  <si>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</si>
  <si>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</si>
  <si>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</si>
  <si>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</si>
  <si>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</si>
  <si>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</si>
  <si>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</si>
  <si>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</si>
  <si>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</si>
  <si>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</si>
  <si>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</si>
  <si>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</si>
  <si>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</si>
  <si>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</si>
  <si>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</si>
  <si>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</si>
  <si>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</si>
  <si>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</si>
  <si>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</si>
  <si>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</si>
  <si>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</si>
  <si>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</si>
  <si>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</si>
  <si>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</si>
  <si>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</si>
  <si>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</si>
  <si>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</si>
  <si>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</si>
  <si>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</si>
  <si>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</si>
  <si>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</si>
  <si>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</si>
  <si>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</si>
  <si>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</si>
  <si>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</si>
  <si>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</si>
  <si>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</si>
  <si>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</si>
  <si>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</si>
  <si>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</si>
  <si>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</si>
  <si>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</si>
  <si>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</si>
  <si>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</si>
  <si>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</si>
  <si>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</si>
  <si>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</si>
  <si>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</si>
  <si>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</si>
  <si>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</si>
  <si>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</si>
  <si>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</si>
  <si>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</si>
  <si>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</si>
  <si>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</si>
  <si>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</si>
  <si>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</si>
  <si>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</si>
  <si>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</si>
  <si>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</si>
  <si>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</si>
  <si>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</si>
  <si>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</si>
  <si>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</si>
  <si>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</si>
  <si>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</si>
  <si>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</si>
  <si>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</si>
  <si>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</si>
  <si>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</si>
  <si>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</si>
  <si>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</si>
  <si>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</si>
  <si>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</si>
  <si>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</si>
  <si>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</si>
  <si>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</si>
  <si>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</si>
  <si>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</si>
  <si>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</si>
  <si>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</si>
  <si>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</si>
  <si>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</si>
  <si>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</si>
  <si>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</si>
  <si>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</si>
  <si>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</si>
  <si>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</si>
  <si>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</si>
  <si>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</si>
  <si>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</si>
  <si>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</si>
  <si>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</si>
  <si>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</si>
  <si>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</si>
  <si>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</si>
  <si>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</si>
  <si>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</si>
  <si>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</si>
  <si>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</si>
  <si>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</si>
  <si>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</si>
  <si>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</si>
  <si>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</si>
  <si>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</si>
  <si>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</si>
  <si>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</si>
  <si>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</si>
  <si>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</si>
  <si>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</si>
  <si>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</si>
  <si>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</si>
  <si>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</si>
  <si>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</si>
  <si>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</si>
  <si>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</si>
  <si>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</si>
  <si>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</si>
  <si>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</si>
  <si>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</si>
  <si>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</si>
  <si>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</si>
  <si>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</si>
  <si>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</si>
  <si>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</si>
  <si>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</si>
  <si>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</si>
  <si>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</si>
  <si>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</si>
  <si>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</si>
  <si>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</si>
  <si>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</si>
  <si>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</si>
  <si>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</si>
  <si>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</si>
  <si>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</si>
  <si>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</si>
  <si>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</si>
  <si>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</si>
  <si>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</si>
  <si>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</si>
  <si>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</si>
  <si>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</si>
  <si>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</si>
  <si>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</si>
  <si>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</si>
  <si>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</si>
  <si>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</si>
  <si>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</si>
  <si>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</si>
  <si>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</si>
  <si>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</si>
  <si>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</si>
  <si>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</si>
  <si>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</si>
  <si>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</si>
  <si>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</si>
  <si>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</si>
  <si>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</si>
  <si>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</si>
  <si>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</si>
  <si>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</si>
  <si>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</si>
  <si>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</si>
  <si>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</si>
  <si>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</si>
  <si>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</si>
  <si>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</si>
  <si>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</si>
  <si>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</si>
  <si>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</si>
  <si>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</si>
  <si>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</si>
  <si>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</si>
  <si>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</si>
  <si>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</si>
  <si>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</si>
  <si>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</si>
  <si>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</si>
  <si>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</si>
  <si>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</si>
  <si>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</si>
  <si>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</si>
  <si>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</si>
  <si>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</si>
  <si>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</si>
  <si>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</si>
  <si>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</si>
  <si>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</si>
  <si>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</si>
  <si>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</si>
  <si>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</si>
  <si>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</si>
  <si>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</si>
  <si>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</si>
  <si>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</si>
  <si>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</si>
  <si>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</si>
  <si>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</si>
  <si>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</si>
  <si>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</si>
  <si>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</si>
  <si>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</si>
  <si>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</si>
  <si>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</si>
  <si>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</si>
  <si>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</si>
  <si>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</si>
  <si>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</si>
  <si>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</si>
  <si>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</si>
  <si>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</si>
  <si>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</si>
  <si>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</si>
  <si>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</si>
  <si>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</si>
  <si>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</si>
  <si>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</si>
  <si>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</si>
  <si>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</si>
  <si>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</si>
  <si>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</si>
  <si>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</si>
  <si>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</si>
  <si>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</si>
  <si>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</si>
  <si>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</si>
  <si>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</si>
  <si>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</si>
  <si>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</si>
  <si>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</si>
  <si>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</si>
  <si>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</si>
  <si>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</si>
  <si>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</si>
  <si>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</si>
  <si>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</si>
  <si>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</si>
  <si>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</si>
  <si>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</si>
  <si>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</si>
  <si>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</si>
  <si>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</si>
  <si>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</si>
  <si>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</si>
  <si>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</si>
  <si>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</si>
  <si>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</si>
  <si>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</si>
  <si>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</si>
  <si>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</si>
  <si>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</si>
  <si>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</si>
  <si>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</si>
  <si>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</si>
  <si>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</si>
  <si>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</si>
  <si>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</si>
  <si>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</si>
  <si>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</si>
  <si>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</si>
  <si>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</si>
  <si>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</si>
  <si>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</si>
  <si>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</si>
  <si>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</si>
  <si>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</si>
  <si>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</si>
  <si>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</si>
  <si>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</si>
  <si>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</si>
  <si>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</si>
  <si>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</si>
  <si>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</si>
  <si>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</si>
  <si>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</si>
  <si>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</si>
  <si>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</si>
  <si>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</si>
  <si>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</si>
  <si>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</si>
  <si>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</si>
  <si>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</si>
  <si>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</si>
  <si>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</si>
  <si>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</si>
  <si>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</si>
  <si>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</si>
  <si>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</si>
  <si>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</si>
  <si>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</si>
  <si>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</si>
  <si>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</si>
  <si>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</si>
  <si>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</si>
  <si>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</si>
  <si>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</si>
  <si>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</si>
  <si>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</si>
  <si>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</si>
  <si>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</si>
  <si>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</si>
  <si>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</si>
  <si>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</si>
  <si>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</si>
  <si>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</si>
  <si>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</si>
  <si>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</si>
  <si>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</si>
  <si>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</si>
  <si>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</si>
  <si>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</si>
  <si>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</si>
  <si>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</si>
  <si>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</si>
  <si>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</si>
  <si>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</si>
  <si>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</si>
  <si>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</si>
  <si>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</si>
  <si>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</si>
  <si>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</si>
  <si>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</si>
  <si>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</si>
  <si>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</si>
  <si>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</si>
  <si>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</si>
  <si>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</si>
  <si>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</si>
  <si>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</si>
  <si>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</si>
  <si>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</si>
  <si>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</si>
  <si>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</si>
  <si>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</si>
  <si>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</si>
  <si>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</si>
  <si>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</si>
  <si>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</si>
  <si>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</si>
  <si>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</si>
  <si>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</si>
  <si>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</si>
  <si>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</si>
  <si>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</si>
  <si>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</si>
  <si>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</si>
  <si>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</si>
  <si>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</si>
  <si>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</si>
  <si>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</si>
  <si>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</si>
  <si>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</si>
  <si>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</si>
  <si>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</si>
  <si>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</si>
  <si>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</si>
  <si>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</si>
  <si>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</si>
  <si>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</si>
  <si>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</si>
  <si>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</si>
  <si>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</si>
  <si>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</si>
  <si>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</si>
  <si>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</si>
  <si>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</si>
  <si>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</si>
  <si>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</si>
  <si>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</si>
  <si>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</si>
  <si>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</si>
  <si>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</si>
  <si>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</si>
  <si>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</si>
  <si>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</si>
  <si>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</si>
  <si>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</si>
  <si>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</si>
  <si>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</si>
  <si>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</si>
  <si>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</si>
  <si>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</si>
  <si>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</si>
  <si>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</si>
  <si>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</si>
  <si>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</si>
  <si>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</si>
  <si>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</si>
  <si>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</si>
  <si>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</si>
  <si>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</si>
  <si>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</si>
  <si>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</si>
  <si>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</si>
  <si>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</si>
  <si>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</si>
  <si>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</si>
  <si>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</si>
  <si>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</si>
  <si>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</si>
  <si>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</si>
  <si>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</si>
  <si>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</si>
  <si>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</si>
  <si>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</si>
  <si>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</si>
  <si>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</si>
  <si>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</si>
  <si>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</si>
  <si>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</si>
  <si>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</si>
  <si>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</si>
  <si>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</si>
  <si>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</si>
  <si>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</si>
  <si>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</si>
  <si>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</si>
  <si>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</si>
  <si>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</si>
  <si>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</si>
  <si>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</si>
  <si>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</si>
  <si>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</si>
  <si>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</si>
  <si>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</si>
  <si>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</si>
  <si>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</si>
  <si>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</si>
  <si>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</si>
  <si>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</si>
  <si>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</si>
  <si>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</si>
  <si>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</si>
  <si>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</si>
  <si>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</si>
  <si>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</si>
  <si>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</si>
  <si>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</si>
  <si>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</si>
  <si>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</si>
  <si>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</si>
  <si>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</si>
  <si>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</si>
  <si>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</si>
  <si>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</si>
  <si>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</si>
  <si>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</si>
  <si>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</si>
  <si>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</si>
  <si>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</si>
  <si>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</si>
  <si>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</si>
  <si>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</si>
  <si>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</si>
  <si>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</si>
  <si>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</si>
  <si>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</si>
  <si>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</si>
  <si>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</si>
  <si>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</si>
  <si>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</si>
  <si>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</si>
  <si>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</si>
  <si>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</si>
  <si>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</si>
  <si>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</si>
  <si>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</si>
  <si>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</si>
  <si>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</si>
  <si>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</si>
  <si>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</si>
  <si>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</si>
  <si>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</si>
  <si>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</si>
  <si>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</si>
  <si>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</si>
  <si>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</si>
  <si>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</si>
  <si>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</si>
  <si>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</si>
  <si>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</si>
  <si>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</si>
  <si>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</si>
  <si>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</si>
  <si>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</si>
  <si>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</si>
  <si>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</si>
  <si>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</si>
  <si>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</si>
  <si>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</si>
  <si>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</si>
  <si>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</si>
  <si>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</si>
  <si>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</si>
  <si>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</si>
  <si>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</si>
  <si>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</si>
  <si>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</si>
  <si>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</si>
  <si>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</si>
  <si>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</si>
  <si>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</si>
  <si>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</si>
  <si>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</si>
  <si>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</si>
  <si>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</si>
  <si>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</si>
  <si>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</si>
  <si>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</si>
  <si>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</si>
  <si>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</si>
  <si>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</si>
  <si>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</si>
  <si>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</si>
  <si>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</si>
  <si>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</si>
  <si>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</si>
  <si>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</si>
  <si>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</si>
  <si>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</si>
  <si>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</si>
  <si>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</si>
  <si>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</si>
  <si>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</si>
  <si>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</si>
  <si>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</si>
  <si>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</si>
  <si>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</si>
  <si>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</si>
  <si>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</si>
  <si>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</si>
  <si>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</si>
  <si>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</si>
  <si>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</si>
  <si>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</si>
  <si>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</si>
  <si>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</si>
  <si>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</si>
  <si>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</si>
  <si>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</si>
  <si>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</si>
  <si>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</si>
  <si>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</si>
  <si>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</si>
  <si>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</si>
  <si>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</si>
  <si>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</si>
  <si>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</si>
  <si>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</si>
  <si>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</si>
  <si>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</si>
  <si>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</si>
  <si>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</si>
  <si>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</si>
  <si>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</si>
  <si>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</si>
  <si>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</si>
  <si>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</si>
  <si>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</si>
  <si>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</si>
  <si>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</si>
  <si>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</si>
  <si>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</si>
  <si>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</si>
  <si>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</si>
  <si>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</si>
  <si>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</si>
  <si>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</si>
  <si>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</si>
  <si>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</si>
  <si>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</si>
  <si>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</si>
  <si>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</si>
  <si>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</si>
  <si>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</si>
  <si>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</si>
  <si>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</si>
  <si>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</si>
  <si>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</si>
  <si>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</si>
  <si>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</si>
  <si>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</si>
  <si>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</si>
  <si>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</si>
  <si>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</si>
  <si>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</si>
  <si>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</si>
  <si>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</si>
  <si>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</si>
  <si>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</si>
  <si>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</si>
  <si>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</si>
  <si>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</si>
  <si>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</si>
  <si>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</si>
  <si>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</si>
  <si>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</si>
  <si>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</si>
  <si>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</si>
  <si>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</si>
  <si>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</si>
  <si>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</si>
  <si>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</si>
  <si>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</si>
  <si>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</si>
  <si>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</si>
  <si>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</si>
  <si>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</si>
  <si>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</si>
  <si>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</si>
  <si>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</si>
  <si>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</si>
  <si>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</si>
  <si>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</si>
  <si>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</si>
  <si>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</si>
  <si>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</si>
  <si>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</si>
  <si>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</si>
  <si>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</si>
  <si>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</si>
  <si>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</si>
  <si>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</si>
  <si>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</si>
  <si>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</si>
  <si>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</si>
  <si>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</si>
  <si>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</si>
  <si>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</si>
  <si>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</si>
  <si>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</si>
  <si>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</si>
  <si>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</si>
  <si>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</si>
  <si>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</si>
  <si>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</si>
  <si>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</si>
  <si>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</si>
  <si>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</si>
  <si>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</si>
  <si>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</si>
  <si>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</si>
  <si>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</si>
  <si>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</si>
  <si>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</si>
  <si>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</si>
  <si>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</si>
  <si>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</si>
  <si>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</si>
  <si>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</si>
  <si>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</si>
  <si>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</si>
  <si>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</si>
  <si>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</si>
  <si>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</si>
  <si>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</si>
  <si>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</si>
  <si>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</si>
  <si>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</si>
  <si>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</si>
  <si>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</si>
  <si>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</si>
  <si>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</si>
  <si>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</si>
  <si>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</si>
  <si>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</si>
  <si>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</si>
  <si>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</si>
  <si>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</si>
  <si>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</si>
  <si>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</si>
  <si>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</si>
  <si>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</si>
  <si>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</si>
  <si>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</si>
  <si>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</si>
  <si>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</si>
  <si>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</si>
  <si>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</si>
  <si>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</si>
  <si>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</si>
  <si>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</si>
  <si>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</si>
  <si>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</si>
  <si>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</si>
  <si>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</si>
  <si>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</si>
  <si>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</si>
  <si>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</si>
  <si>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</si>
  <si>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</si>
  <si>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</si>
  <si>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</si>
  <si>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</si>
  <si>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</si>
  <si>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</si>
  <si>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</si>
  <si>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</si>
  <si>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</si>
  <si>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</si>
  <si>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</si>
  <si>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</si>
  <si>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</si>
  <si>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</si>
  <si>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</si>
  <si>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</si>
  <si>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</si>
  <si>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</si>
  <si>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</si>
  <si>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</si>
  <si>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</si>
  <si>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</si>
  <si>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</si>
  <si>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</si>
  <si>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</si>
  <si>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</si>
  <si>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</si>
  <si>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</si>
  <si>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</si>
  <si>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</si>
  <si>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</si>
  <si>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</si>
  <si>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</si>
  <si>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</si>
  <si>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</si>
  <si>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</si>
  <si>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</si>
  <si>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</si>
  <si>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</si>
  <si>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</si>
  <si>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</si>
  <si>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</si>
  <si>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</si>
  <si>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</si>
  <si>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</si>
  <si>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</si>
  <si>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</si>
  <si>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</si>
  <si>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</si>
  <si>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</si>
  <si>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</si>
  <si>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</si>
  <si>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</si>
  <si>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</si>
  <si>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</si>
  <si>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</si>
  <si>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</si>
  <si>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</si>
  <si>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</si>
  <si>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</si>
  <si>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</si>
  <si>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</si>
  <si>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</si>
  <si>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</si>
  <si>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</si>
  <si>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</si>
  <si>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</si>
  <si>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</si>
  <si>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</si>
  <si>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</si>
  <si>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</si>
  <si>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</si>
  <si>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</si>
  <si>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</si>
  <si>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</si>
  <si>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</si>
  <si>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</si>
  <si>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</si>
  <si>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</si>
  <si>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</si>
  <si>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</si>
  <si>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</si>
  <si>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</si>
  <si>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</si>
  <si>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</si>
  <si>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</si>
  <si>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</si>
  <si>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</si>
  <si>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</si>
  <si>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</si>
  <si>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</si>
  <si>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</si>
  <si>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</si>
  <si>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</si>
  <si>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</si>
  <si>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</si>
  <si>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</si>
  <si>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</si>
  <si>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</si>
  <si>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</si>
  <si>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</si>
  <si>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</si>
  <si>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</si>
  <si>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</si>
  <si>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</si>
  <si>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</si>
  <si>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</si>
  <si>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</si>
  <si>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</si>
  <si>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</si>
  <si>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</si>
  <si>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</si>
  <si>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</si>
  <si>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</si>
  <si>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</si>
  <si>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</si>
  <si>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</si>
  <si>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</si>
  <si>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</si>
  <si>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</si>
  <si>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</si>
  <si>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</si>
  <si>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</si>
  <si>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</si>
  <si>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</si>
  <si>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</si>
  <si>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</si>
  <si>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</si>
  <si>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</si>
  <si>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</si>
  <si>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</si>
  <si>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</si>
  <si>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</si>
  <si>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</si>
  <si>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</si>
  <si>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</si>
  <si>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</si>
  <si>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</si>
  <si>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</si>
  <si>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</si>
  <si>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</si>
  <si>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</si>
  <si>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</si>
  <si>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</si>
  <si>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</si>
  <si>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</si>
  <si>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</si>
  <si>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</si>
  <si>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</si>
  <si>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</si>
  <si>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</si>
  <si>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</si>
  <si>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</si>
  <si>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</si>
  <si>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</si>
  <si>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</si>
  <si>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</si>
  <si>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</si>
  <si>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</si>
  <si>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</si>
  <si>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</si>
  <si>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</si>
  <si>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</si>
  <si>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</si>
  <si>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</si>
  <si>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</si>
  <si>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</si>
  <si>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</si>
  <si>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</si>
  <si>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</si>
  <si>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</si>
  <si>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</si>
  <si>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</si>
  <si>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</si>
  <si>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</si>
  <si>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</si>
  <si>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</si>
  <si>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</si>
  <si>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</si>
  <si>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</si>
  <si>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</si>
  <si>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</si>
  <si>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</si>
  <si>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</si>
  <si>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</si>
  <si>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</si>
  <si>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</si>
  <si>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</si>
  <si>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</si>
  <si>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</si>
  <si>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</si>
  <si>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</si>
  <si>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</si>
  <si>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</si>
  <si>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</si>
  <si>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</si>
  <si>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</si>
  <si>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</si>
  <si>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</si>
  <si>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</si>
  <si>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</si>
  <si>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</si>
  <si>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</si>
  <si>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</si>
  <si>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</si>
  <si>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</si>
  <si>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</si>
  <si>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</si>
  <si>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</si>
  <si>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</si>
  <si>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</si>
  <si>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</si>
  <si>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</si>
  <si>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</si>
  <si>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</si>
  <si>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</si>
  <si>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</si>
  <si>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</si>
  <si>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</si>
  <si>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</si>
  <si>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</si>
  <si>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</si>
  <si>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</si>
  <si>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</si>
  <si>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</si>
  <si>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</si>
  <si>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</si>
  <si>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</si>
  <si>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</si>
  <si>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</si>
  <si>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</si>
  <si>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</si>
  <si>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</si>
  <si>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</si>
  <si>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</si>
  <si>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</si>
  <si>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</si>
  <si>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</si>
  <si>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</si>
  <si>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</si>
  <si>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</si>
  <si>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</si>
  <si>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</si>
  <si>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</si>
  <si>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</si>
  <si>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</si>
  <si>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</si>
  <si>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</si>
  <si>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</si>
  <si>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</si>
  <si>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</si>
  <si>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</si>
  <si>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</si>
  <si>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</si>
  <si>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</si>
  <si>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</si>
  <si>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</si>
  <si>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</si>
  <si>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</si>
  <si>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</si>
  <si>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</si>
  <si>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</si>
  <si>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</si>
  <si>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</si>
  <si>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</si>
  <si>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</si>
  <si>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</si>
  <si>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</si>
  <si>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</si>
  <si>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</si>
  <si>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</si>
  <si>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</si>
  <si>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</si>
  <si>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</si>
  <si>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</si>
  <si>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</si>
  <si>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</si>
  <si>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</si>
  <si>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</si>
  <si>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</si>
  <si>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</si>
  <si>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</si>
  <si>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</si>
  <si>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</si>
  <si>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</si>
  <si>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</si>
  <si>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</si>
  <si>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</si>
  <si>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</si>
  <si>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</si>
  <si>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</si>
  <si>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</si>
  <si>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</si>
  <si>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</si>
  <si>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</si>
  <si>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</si>
  <si>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</si>
  <si>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</si>
  <si>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</si>
  <si>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</si>
  <si>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</si>
  <si>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</si>
  <si>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</si>
  <si>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</si>
  <si>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</si>
  <si>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</si>
  <si>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</si>
  <si>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</si>
  <si>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</si>
  <si>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</si>
  <si>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</si>
  <si>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</si>
  <si>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</si>
  <si>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</si>
  <si>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</si>
  <si>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</si>
  <si>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</si>
  <si>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</si>
  <si>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</si>
  <si>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</si>
  <si>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</si>
  <si>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</si>
  <si>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</si>
  <si>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</si>
  <si>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</si>
  <si>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</si>
  <si>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</si>
  <si>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</si>
  <si>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</si>
  <si>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</si>
  <si>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</si>
  <si>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</si>
  <si>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</si>
  <si>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</si>
  <si>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</si>
  <si>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</si>
  <si>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</si>
  <si>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</si>
  <si>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</si>
  <si>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</si>
  <si>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</si>
  <si>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</si>
  <si>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</si>
  <si>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</si>
  <si>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</si>
  <si>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</si>
  <si>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</si>
  <si>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</si>
  <si>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</si>
  <si>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</si>
  <si>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</si>
  <si>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</si>
  <si>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</si>
  <si>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</si>
  <si>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</si>
  <si>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</si>
  <si>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</si>
  <si>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</si>
  <si>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</si>
  <si>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</si>
  <si>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</si>
  <si>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</si>
  <si>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</si>
  <si>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</si>
  <si>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</si>
  <si>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</si>
  <si>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</si>
  <si>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</si>
  <si>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</si>
  <si>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</si>
  <si>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</si>
  <si>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</si>
  <si>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</si>
  <si>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</si>
  <si>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</si>
  <si>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</si>
  <si>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</si>
  <si>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</si>
  <si>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</si>
  <si>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</si>
  <si>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</si>
  <si>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</si>
  <si>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</si>
  <si>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</si>
  <si>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</si>
  <si>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</si>
  <si>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</si>
  <si>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</si>
  <si>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</si>
  <si>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</si>
  <si>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</si>
  <si>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</si>
  <si>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</si>
  <si>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</si>
  <si>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</si>
  <si>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</si>
  <si>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</si>
  <si>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</si>
  <si>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</si>
  <si>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</si>
  <si>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</si>
  <si>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</si>
  <si>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</si>
  <si>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</si>
  <si>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</si>
  <si>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</si>
  <si>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</si>
  <si>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</si>
  <si>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</si>
  <si>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</si>
  <si>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</si>
  <si>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</si>
  <si>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</si>
  <si>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</si>
  <si>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</si>
  <si>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</si>
  <si>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</si>
  <si>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</si>
  <si>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</si>
  <si>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</si>
  <si>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</si>
  <si>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</si>
  <si>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</si>
  <si>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</si>
  <si>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</si>
  <si>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</si>
  <si>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</si>
  <si>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</si>
  <si>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</si>
  <si>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</si>
  <si>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</si>
  <si>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</si>
  <si>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</si>
  <si>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</si>
  <si>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</si>
  <si>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</si>
  <si>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</si>
  <si>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</si>
  <si>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</si>
  <si>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</si>
  <si>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</si>
  <si>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</si>
  <si>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</si>
  <si>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</si>
  <si>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</si>
  <si>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</si>
  <si>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</si>
  <si>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</si>
  <si>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</si>
  <si>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</si>
  <si>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</si>
  <si>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</si>
  <si>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</si>
  <si>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</si>
  <si>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</si>
  <si>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</si>
  <si>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</si>
  <si>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</si>
  <si>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</si>
  <si>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</si>
  <si>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</si>
  <si>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</si>
  <si>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</si>
  <si>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</si>
  <si>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</si>
  <si>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</si>
  <si>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</si>
  <si>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</si>
  <si>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</si>
  <si>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</si>
  <si>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</si>
  <si>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</si>
  <si>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</si>
  <si>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</si>
  <si>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</si>
  <si>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</si>
  <si>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</si>
  <si>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</si>
  <si>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</si>
  <si>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</si>
  <si>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</si>
  <si>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</si>
  <si>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</si>
  <si>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</si>
  <si>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</si>
  <si>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</si>
  <si>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</si>
  <si>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</si>
  <si>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</si>
  <si>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</si>
  <si>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</si>
  <si>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</si>
  <si>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</si>
  <si>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</si>
  <si>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</si>
  <si>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</si>
  <si>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</si>
  <si>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</si>
  <si>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</si>
  <si>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</si>
  <si>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</si>
  <si>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</si>
  <si>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</si>
  <si>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</si>
  <si>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</si>
  <si>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</si>
  <si>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</si>
  <si>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</si>
  <si>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</si>
  <si>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</si>
  <si>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</si>
  <si>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</si>
  <si>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</si>
  <si>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</si>
  <si>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</si>
  <si>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</si>
  <si>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</si>
  <si>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</si>
  <si>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</si>
  <si>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</si>
  <si>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</si>
  <si>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</si>
  <si>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</si>
  <si>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</si>
  <si>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</si>
  <si>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</si>
  <si>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</si>
  <si>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</si>
  <si>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</si>
  <si>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</si>
  <si>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</si>
  <si>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</si>
  <si>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</si>
  <si>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</si>
  <si>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</si>
  <si>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</si>
  <si>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</si>
  <si>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</si>
  <si>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</si>
  <si>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</si>
  <si>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</si>
  <si>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</si>
  <si>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</si>
  <si>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</si>
  <si>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</si>
  <si>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</si>
  <si>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</si>
  <si>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</si>
  <si>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</si>
  <si>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</si>
  <si>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</si>
  <si>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</si>
  <si>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</si>
  <si>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</si>
  <si>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</si>
  <si>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</si>
  <si>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</si>
  <si>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</si>
  <si>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</si>
  <si>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</si>
  <si>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</si>
  <si>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</si>
  <si>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</si>
  <si>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</si>
  <si>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</si>
  <si>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</si>
  <si>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</si>
  <si>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</si>
  <si>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</si>
  <si>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</si>
  <si>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</si>
  <si>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</si>
  <si>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</si>
  <si>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</si>
  <si>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</si>
  <si>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</si>
  <si>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</si>
  <si>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</si>
  <si>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</si>
  <si>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</si>
  <si>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</si>
  <si>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</si>
  <si>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</si>
  <si>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</si>
  <si>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</si>
  <si>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</si>
  <si>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</si>
  <si>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</si>
  <si>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</si>
  <si>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</si>
  <si>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</si>
  <si>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</si>
  <si>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</si>
  <si>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</si>
  <si>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</si>
  <si>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</si>
  <si>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</si>
  <si>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</si>
  <si>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</si>
  <si>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</si>
  <si>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</si>
  <si>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</si>
  <si>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</si>
  <si>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</si>
  <si>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</si>
  <si>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</si>
  <si>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</si>
  <si>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</si>
  <si>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</si>
  <si>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</si>
  <si>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</si>
  <si>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</si>
  <si>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</si>
  <si>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</si>
  <si>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</si>
  <si>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</si>
  <si>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</si>
  <si>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</si>
  <si>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</si>
  <si>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</si>
  <si>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</si>
  <si>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</si>
  <si>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</si>
  <si>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</si>
  <si>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</si>
  <si>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</si>
  <si>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</si>
  <si>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</si>
  <si>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</si>
  <si>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</si>
  <si>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</si>
  <si>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</si>
  <si>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</si>
  <si>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</si>
  <si>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</si>
  <si>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</si>
  <si>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</si>
  <si>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</si>
  <si>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</si>
  <si>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</si>
  <si>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</si>
  <si>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</si>
  <si>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</si>
  <si>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</si>
  <si>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</si>
  <si>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</si>
  <si>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</si>
  <si>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</si>
  <si>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</si>
  <si>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</si>
  <si>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</si>
  <si>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</si>
  <si>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</si>
  <si>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</si>
  <si>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</si>
  <si>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</si>
  <si>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</si>
  <si>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</si>
  <si>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</si>
  <si>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</si>
  <si>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</si>
  <si>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</si>
  <si>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</si>
  <si>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</si>
  <si>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</si>
  <si>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</si>
  <si>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</si>
  <si>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</si>
  <si>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</si>
  <si>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</si>
  <si>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</si>
  <si>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</si>
  <si>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</si>
  <si>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</si>
  <si>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</si>
  <si>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</si>
  <si>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</si>
  <si>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</si>
  <si>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</si>
  <si>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</si>
  <si>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</si>
  <si>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</si>
  <si>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</si>
  <si>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</si>
  <si>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</si>
  <si>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</si>
  <si>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</si>
  <si>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</si>
  <si>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</si>
  <si>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</si>
  <si>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</si>
  <si>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</si>
  <si>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</si>
  <si>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</si>
  <si>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</si>
  <si>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</si>
  <si>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</si>
  <si>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</si>
  <si>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</si>
  <si>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</si>
  <si>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</si>
  <si>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</si>
  <si>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</si>
  <si>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</si>
  <si>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</si>
  <si>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</si>
  <si>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</si>
  <si>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</si>
  <si>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</si>
  <si>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</si>
  <si>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</si>
  <si>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</si>
  <si>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</si>
  <si>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</si>
  <si>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</si>
  <si>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</si>
  <si>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</si>
  <si>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</si>
  <si>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</si>
  <si>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</si>
  <si>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</si>
  <si>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</si>
  <si>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</si>
  <si>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</si>
  <si>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</si>
  <si>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</si>
  <si>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</si>
  <si>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</si>
  <si>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</si>
  <si>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</si>
  <si>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</si>
  <si>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</si>
  <si>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</si>
  <si>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</si>
  <si>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</si>
  <si>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</si>
  <si>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</si>
  <si>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</si>
  <si>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</si>
  <si>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</si>
  <si>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</si>
  <si>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</si>
  <si>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</si>
  <si>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</si>
  <si>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</si>
  <si>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</si>
  <si>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</si>
  <si>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</si>
  <si>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</si>
  <si>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</si>
  <si>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</si>
  <si>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</si>
  <si>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</si>
  <si>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</si>
  <si>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</si>
  <si>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</si>
  <si>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</si>
  <si>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</si>
  <si>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</si>
  <si>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</si>
  <si>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</si>
  <si>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</si>
  <si>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</si>
  <si>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</si>
  <si>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</si>
  <si>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</si>
  <si>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</si>
  <si>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</si>
  <si>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</si>
  <si>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</si>
  <si>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</si>
  <si>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</si>
  <si>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</si>
  <si>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</si>
  <si>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</si>
  <si>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</si>
  <si>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</si>
  <si>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</si>
  <si>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</si>
  <si>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</si>
  <si>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</si>
  <si>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</si>
  <si>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</si>
  <si>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</si>
  <si>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</si>
  <si>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</si>
  <si>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</si>
  <si>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</si>
  <si>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</si>
  <si>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</si>
  <si>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</si>
  <si>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</si>
  <si>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</si>
  <si>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</si>
  <si>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</si>
  <si>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</si>
  <si>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</si>
  <si>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</si>
  <si>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</si>
  <si>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</si>
  <si>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</si>
  <si>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</si>
  <si>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</si>
  <si>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</si>
  <si>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</si>
  <si>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</si>
  <si>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</si>
  <si>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</si>
  <si>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</si>
  <si>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</si>
  <si>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</si>
  <si>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</si>
  <si>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</si>
  <si>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</si>
  <si>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</si>
  <si>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</si>
  <si>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</si>
  <si>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</si>
  <si>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</si>
  <si>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</si>
  <si>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</si>
  <si>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</si>
  <si>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</si>
  <si>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</si>
  <si>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</si>
  <si>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</si>
  <si>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</si>
  <si>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</si>
  <si>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</si>
  <si>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</si>
  <si>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</si>
  <si>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</si>
  <si>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</si>
  <si>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</si>
  <si>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</si>
  <si>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</si>
  <si>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</si>
  <si>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</si>
  <si>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</si>
  <si>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</si>
  <si>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</si>
  <si>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</si>
  <si>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</si>
  <si>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</si>
  <si>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</si>
  <si>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</si>
  <si>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</si>
  <si>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</si>
  <si>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</si>
  <si>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</si>
  <si>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</si>
  <si>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</si>
  <si>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</si>
  <si>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</si>
  <si>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</si>
  <si>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</si>
  <si>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</si>
  <si>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</si>
  <si>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</si>
  <si>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</si>
  <si>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</si>
  <si>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</si>
  <si>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</si>
  <si>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</si>
  <si>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</si>
  <si>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</si>
  <si>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</si>
  <si>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</si>
  <si>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</si>
  <si>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</si>
  <si>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</si>
  <si>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</si>
  <si>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</si>
  <si>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</si>
  <si>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</si>
  <si>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</si>
  <si>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</si>
  <si>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</si>
  <si>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</si>
  <si>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</si>
  <si>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</si>
  <si>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</si>
  <si>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</si>
  <si>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</si>
  <si>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</si>
  <si>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</si>
  <si>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</si>
  <si>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</si>
  <si>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</si>
  <si>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</si>
  <si>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</si>
  <si>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</si>
  <si>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</si>
  <si>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</si>
  <si>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</si>
  <si>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</si>
  <si>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</si>
  <si>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</si>
  <si>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</si>
  <si>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</si>
  <si>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</si>
  <si>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</si>
  <si>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</si>
  <si>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</si>
  <si>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</si>
  <si>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</si>
  <si>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</si>
  <si>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</si>
  <si>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</si>
  <si>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</si>
  <si>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</si>
  <si>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</si>
  <si>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</si>
  <si>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</si>
  <si>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</si>
  <si>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</si>
  <si>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</si>
  <si>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</si>
  <si>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</si>
  <si>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</si>
  <si>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</si>
  <si>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</si>
  <si>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</si>
  <si>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</si>
  <si>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</si>
  <si>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</si>
  <si>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</si>
  <si>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</si>
  <si>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</si>
  <si>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</si>
  <si>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</si>
  <si>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</si>
  <si>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</si>
  <si>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</si>
  <si>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</si>
  <si>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</si>
  <si>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</si>
  <si>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</si>
  <si>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</si>
  <si>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</si>
  <si>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</si>
  <si>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</si>
  <si>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</si>
  <si>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</si>
  <si>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</si>
  <si>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</si>
  <si>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</si>
  <si>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</si>
  <si>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</si>
  <si>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</si>
  <si>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</si>
  <si>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</si>
  <si>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</si>
  <si>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</si>
  <si>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</si>
  <si>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</si>
  <si>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</si>
  <si>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</si>
  <si>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</si>
  <si>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</si>
  <si>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</si>
  <si>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</si>
  <si>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</si>
  <si>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</si>
  <si>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</si>
  <si>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</si>
  <si>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</si>
  <si>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</si>
  <si>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</si>
  <si>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</si>
  <si>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</si>
  <si>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</si>
  <si>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</si>
  <si>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</si>
  <si>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</si>
  <si>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</si>
  <si>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</si>
  <si>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</si>
  <si>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</si>
  <si>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</si>
  <si>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</si>
  <si>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</si>
  <si>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</si>
  <si>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</si>
  <si>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</si>
  <si>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</si>
  <si>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</si>
  <si>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</si>
  <si>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</si>
  <si>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</si>
  <si>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</si>
  <si>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</si>
  <si>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</si>
  <si>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</si>
  <si>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</si>
  <si>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</si>
  <si>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</si>
  <si>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</si>
  <si>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</si>
  <si>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</si>
  <si>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</si>
  <si>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</si>
  <si>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</si>
  <si>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</si>
  <si>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</si>
  <si>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</si>
  <si>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</si>
  <si>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</si>
  <si>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</si>
  <si>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</si>
  <si>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</si>
  <si>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</si>
  <si>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</si>
  <si>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</si>
  <si>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</si>
  <si>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</si>
  <si>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</si>
  <si>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</si>
  <si>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</si>
  <si>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</si>
  <si>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</si>
  <si>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</si>
  <si>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</si>
  <si>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</si>
  <si>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</si>
  <si>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</si>
  <si>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</si>
  <si>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</si>
  <si>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</si>
  <si>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</si>
  <si>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</si>
  <si>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</si>
  <si>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</si>
  <si>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</si>
  <si>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</si>
  <si>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</si>
  <si>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</si>
  <si>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</si>
  <si>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</si>
  <si>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</si>
  <si>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</si>
  <si>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</si>
  <si>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</si>
  <si>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</si>
  <si>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</si>
  <si>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</si>
  <si>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</si>
  <si>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</si>
  <si>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</si>
  <si>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</si>
  <si>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</si>
  <si>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</si>
  <si>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</si>
  <si>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</si>
  <si>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</si>
  <si>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</si>
  <si>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</si>
  <si>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</si>
  <si>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</si>
  <si>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</si>
  <si>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</si>
  <si>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</si>
  <si>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</si>
  <si>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</si>
  <si>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</si>
  <si>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</si>
  <si>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</si>
  <si>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</si>
  <si>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</si>
  <si>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</si>
  <si>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</si>
  <si>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</si>
  <si>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</si>
  <si>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</si>
  <si>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</si>
  <si>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</si>
  <si>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</si>
  <si>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</si>
  <si>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</si>
  <si>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</si>
  <si>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</si>
  <si>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</si>
  <si>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</si>
  <si>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</si>
  <si>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</si>
  <si>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</si>
  <si>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</si>
  <si>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</si>
  <si>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</si>
  <si>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</si>
  <si>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</si>
  <si>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</si>
  <si>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</si>
  <si>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</si>
  <si>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</si>
  <si>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</si>
  <si>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</si>
  <si>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</si>
  <si>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</si>
  <si>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</si>
  <si>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</si>
  <si>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</si>
  <si>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</si>
  <si>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</si>
  <si>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</si>
  <si>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</si>
  <si>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</si>
  <si>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</si>
  <si>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</si>
  <si>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</si>
  <si>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</si>
  <si>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</si>
  <si>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</si>
  <si>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</si>
  <si>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</si>
  <si>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</si>
  <si>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</si>
  <si>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</si>
  <si>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</si>
  <si>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</si>
  <si>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</si>
  <si>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</si>
  <si>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</si>
  <si>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</si>
  <si>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</si>
  <si>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</si>
  <si>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</si>
  <si>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</si>
  <si>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</si>
  <si>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</si>
  <si>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</si>
  <si>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</si>
  <si>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</si>
  <si>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</si>
  <si>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</si>
  <si>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</si>
  <si>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</si>
  <si>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</si>
  <si>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</si>
  <si>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</si>
  <si>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</si>
  <si>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</si>
  <si>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</si>
  <si>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</si>
  <si>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</si>
  <si>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</si>
  <si>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</si>
  <si>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</si>
  <si>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</si>
  <si>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</si>
  <si>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</si>
  <si>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</si>
  <si>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</si>
  <si>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</si>
  <si>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</si>
  <si>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</si>
  <si>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</si>
  <si>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</si>
  <si>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</si>
  <si>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</si>
  <si>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</si>
  <si>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</si>
  <si>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</si>
  <si>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</si>
  <si>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</si>
  <si>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</si>
  <si>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</si>
  <si>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</si>
  <si>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</si>
  <si>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</si>
  <si>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</si>
  <si>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</si>
  <si>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</si>
  <si>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</si>
  <si>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</si>
  <si>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</si>
  <si>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</si>
  <si>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</si>
  <si>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</si>
  <si>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</si>
  <si>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</si>
  <si>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</si>
  <si>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</si>
  <si>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</si>
  <si>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</si>
  <si>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</si>
  <si>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</si>
  <si>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</si>
  <si>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</si>
  <si>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</si>
  <si>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</si>
  <si>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</si>
  <si>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</si>
  <si>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</si>
  <si>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</si>
  <si>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</si>
  <si>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</si>
  <si>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</si>
  <si>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</si>
  <si>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</si>
  <si>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</si>
  <si>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</si>
  <si>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</si>
  <si>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</si>
  <si>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</si>
  <si>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</si>
  <si>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</si>
  <si>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</si>
  <si>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</si>
  <si>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</si>
  <si>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</si>
  <si>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</si>
  <si>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</si>
  <si>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</si>
  <si>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</si>
  <si>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</si>
  <si>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</si>
  <si>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</si>
  <si>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</si>
  <si>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</si>
  <si>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</si>
  <si>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</si>
  <si>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</si>
  <si>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</si>
  <si>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</si>
  <si>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</si>
  <si>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</si>
  <si>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</si>
  <si>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</si>
  <si>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</si>
  <si>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</si>
  <si>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</si>
  <si>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</si>
  <si>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</si>
  <si>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</si>
  <si>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</si>
  <si>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</si>
  <si>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</si>
  <si>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</si>
  <si>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</si>
  <si>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</si>
  <si>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</si>
  <si>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</si>
  <si>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</si>
  <si>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</si>
  <si>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</si>
  <si>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</si>
  <si>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</si>
  <si>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</si>
  <si>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</si>
  <si>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</si>
  <si>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</si>
  <si>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</si>
  <si>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</si>
  <si>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</si>
  <si>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</si>
  <si>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</si>
  <si>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</si>
  <si>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</si>
  <si>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</si>
  <si>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</si>
  <si>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</si>
  <si>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</si>
  <si>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</si>
  <si>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</si>
  <si>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</si>
  <si>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</si>
  <si>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</si>
  <si>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</si>
  <si>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</si>
  <si>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</si>
  <si>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</si>
  <si>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</si>
  <si>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</si>
  <si>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</si>
  <si>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</si>
  <si>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</si>
  <si>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</si>
  <si>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</si>
  <si>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</si>
  <si>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</si>
  <si>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</si>
  <si>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</si>
  <si>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</si>
  <si>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</si>
  <si>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</si>
  <si>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</si>
  <si>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</si>
  <si>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</si>
  <si>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</si>
  <si>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</si>
  <si>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</si>
  <si>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</si>
  <si>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</si>
  <si>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</si>
  <si>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</si>
  <si>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</si>
  <si>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</si>
  <si>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</si>
  <si>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</si>
  <si>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</si>
  <si>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</si>
  <si>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</si>
  <si>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</si>
  <si>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</si>
  <si>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</si>
  <si>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</si>
  <si>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</si>
  <si>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</si>
  <si>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</si>
  <si>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</si>
  <si>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</si>
  <si>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</si>
  <si>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</si>
  <si>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</si>
  <si>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</si>
  <si>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</si>
  <si>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</si>
  <si>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</si>
  <si>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</si>
  <si>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</si>
  <si>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</si>
  <si>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</si>
  <si>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</si>
  <si>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</si>
  <si>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</si>
  <si>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</si>
  <si>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</si>
  <si>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</si>
  <si>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</si>
  <si>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</si>
  <si>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</si>
  <si>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</si>
  <si>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</si>
  <si>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</si>
  <si>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</si>
  <si>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</si>
  <si>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</si>
  <si>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</si>
  <si>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</si>
  <si>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</si>
  <si>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</si>
  <si>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</si>
  <si>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</si>
  <si>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</si>
  <si>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</si>
  <si>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</si>
  <si>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</si>
  <si>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</si>
  <si>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</si>
  <si>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</si>
  <si>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</si>
  <si>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</si>
  <si>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</si>
  <si>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</si>
  <si>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</si>
  <si>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</si>
  <si>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</si>
  <si>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</si>
  <si>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</si>
  <si>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</si>
  <si>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</si>
  <si>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</si>
  <si>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</si>
  <si>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</si>
  <si>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</si>
  <si>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</si>
  <si>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</si>
  <si>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</si>
  <si>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</si>
  <si>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</si>
  <si>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</si>
  <si>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</si>
  <si>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</si>
  <si>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</si>
  <si>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</si>
  <si>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</si>
  <si>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</si>
  <si>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</si>
  <si>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</si>
  <si>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</si>
  <si>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</si>
  <si>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</si>
  <si>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</si>
  <si>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</si>
  <si>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</si>
  <si>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</si>
  <si>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</si>
  <si>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</si>
  <si>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</si>
  <si>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</si>
  <si>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</si>
  <si>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</si>
  <si>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</si>
  <si>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</si>
  <si>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</si>
  <si>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</si>
  <si>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</si>
  <si>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</si>
  <si>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</si>
  <si>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</si>
  <si>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</si>
  <si>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</si>
  <si>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</si>
  <si>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</si>
  <si>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</si>
  <si>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</si>
  <si>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</si>
  <si>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</si>
  <si>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</si>
  <si>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</si>
  <si>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</si>
  <si>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</si>
  <si>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</si>
  <si>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</si>
  <si>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</si>
  <si>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</si>
  <si>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</si>
  <si>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</si>
  <si>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</si>
  <si>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</si>
  <si>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</si>
  <si>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</si>
  <si>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</si>
  <si>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</si>
  <si>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</si>
  <si>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</si>
  <si>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</si>
  <si>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</si>
  <si>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</si>
  <si>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</si>
  <si>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</si>
  <si>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</si>
  <si>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</si>
  <si>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</si>
  <si>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</si>
  <si>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</si>
  <si>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</si>
  <si>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</si>
  <si>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</si>
  <si>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</si>
  <si>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</si>
  <si>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</si>
  <si>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</si>
  <si>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</si>
  <si>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</si>
  <si>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</si>
  <si>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</si>
  <si>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</si>
  <si>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</si>
  <si>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</si>
  <si>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</si>
  <si>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</si>
  <si>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</si>
  <si>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</si>
  <si>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</si>
  <si>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</si>
  <si>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</si>
  <si>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</si>
  <si>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</si>
  <si>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</si>
  <si>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</si>
  <si>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</si>
  <si>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</si>
  <si>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</si>
  <si>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</si>
  <si>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</si>
  <si>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</si>
  <si>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</si>
  <si>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</si>
  <si>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</si>
  <si>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</si>
  <si>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</si>
  <si>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</si>
  <si>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</si>
  <si>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</si>
  <si>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</si>
  <si>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</si>
  <si>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</si>
  <si>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</si>
  <si>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</si>
  <si>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</si>
  <si>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</si>
  <si>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</si>
  <si>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</si>
  <si>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</si>
  <si>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</si>
  <si>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</si>
  <si>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</si>
  <si>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</si>
  <si>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</si>
  <si>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</si>
  <si>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</si>
  <si>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</si>
  <si>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</si>
  <si>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</si>
  <si>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</si>
  <si>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</si>
  <si>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</si>
  <si>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</si>
  <si>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</si>
  <si>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</si>
  <si>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</si>
  <si>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</si>
  <si>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</si>
  <si>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</si>
  <si>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</si>
  <si>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</si>
  <si>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</si>
  <si>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</si>
  <si>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</si>
  <si>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</si>
  <si>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</si>
  <si>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</si>
  <si>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</si>
  <si>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</si>
  <si>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</si>
  <si>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</si>
  <si>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</si>
  <si>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</si>
  <si>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</si>
  <si>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</si>
  <si>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</si>
  <si>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</si>
  <si>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</si>
  <si>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</si>
  <si>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</si>
  <si>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</si>
  <si>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</si>
  <si>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</si>
  <si>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</si>
  <si>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</si>
  <si>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</si>
  <si>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</si>
  <si>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</si>
  <si>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</si>
  <si>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</si>
  <si>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</si>
  <si>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</si>
  <si>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</si>
  <si>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</si>
  <si>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</si>
  <si>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</si>
  <si>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</si>
  <si>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</si>
  <si>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</si>
  <si>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</si>
  <si>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</si>
  <si>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</si>
  <si>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</si>
  <si>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</si>
  <si>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</si>
  <si>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</si>
  <si>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</si>
  <si>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</si>
  <si>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</si>
  <si>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</si>
  <si>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</si>
  <si>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</si>
  <si>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</si>
  <si>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</si>
  <si>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</si>
  <si>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</si>
  <si>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</si>
  <si>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</si>
  <si>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</si>
  <si>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</si>
  <si>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</si>
  <si>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</si>
  <si>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</si>
  <si>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</si>
  <si>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</si>
  <si>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</si>
  <si>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</si>
  <si>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</si>
  <si>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</si>
  <si>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</si>
  <si>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</si>
  <si>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</si>
  <si>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</si>
  <si>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</si>
  <si>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</si>
  <si>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</si>
  <si>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</si>
  <si>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</si>
  <si>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</si>
  <si>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</si>
  <si>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</si>
  <si>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</si>
  <si>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</si>
  <si>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</si>
  <si>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</si>
  <si>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</si>
  <si>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</si>
  <si>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</si>
  <si>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</si>
  <si>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</si>
  <si>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</si>
  <si>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</si>
  <si>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</si>
  <si>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</si>
  <si>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</si>
  <si>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</si>
  <si>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</si>
  <si>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</si>
  <si>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</si>
  <si>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</si>
  <si>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</si>
  <si>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</si>
  <si>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</si>
  <si>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</si>
  <si>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</si>
  <si>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</si>
  <si>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</si>
  <si>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</si>
  <si>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</si>
  <si>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</si>
  <si>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</si>
  <si>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</si>
  <si>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</si>
  <si>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</si>
  <si>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</si>
  <si>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</si>
  <si>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</si>
  <si>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</si>
  <si>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</si>
  <si>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</si>
  <si>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</si>
  <si>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</si>
  <si>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</si>
  <si>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</si>
  <si>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</si>
  <si>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</si>
  <si>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</si>
  <si>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</si>
  <si>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</si>
  <si>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</si>
  <si>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</si>
  <si>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</si>
  <si>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</si>
  <si>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</si>
  <si>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</si>
  <si>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</si>
  <si>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</si>
  <si>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</si>
  <si>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</si>
  <si>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</si>
  <si>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</si>
  <si>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</si>
  <si>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</si>
  <si>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</si>
  <si>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</si>
  <si>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</si>
  <si>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</si>
  <si>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</si>
  <si>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</si>
  <si>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</si>
  <si>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</si>
  <si>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</si>
  <si>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</si>
  <si>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</si>
  <si>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</si>
  <si>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</si>
  <si>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</si>
  <si>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</si>
  <si>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</si>
  <si>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</si>
  <si>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</si>
  <si>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</si>
  <si>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</si>
  <si>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</si>
  <si>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</si>
  <si>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</si>
  <si>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</si>
  <si>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</si>
  <si>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</si>
  <si>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</si>
  <si>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</si>
  <si>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</si>
  <si>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</si>
  <si>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</si>
  <si>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</si>
  <si>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</si>
  <si>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</si>
  <si>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</si>
  <si>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</si>
  <si>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</si>
  <si>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</si>
  <si>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</si>
  <si>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</si>
  <si>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</si>
  <si>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</si>
  <si>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</si>
  <si>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</si>
  <si>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</si>
  <si>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</si>
  <si>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</si>
  <si>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</si>
  <si>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</si>
  <si>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</si>
  <si>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</si>
  <si>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</si>
  <si>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</si>
  <si>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</si>
  <si>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</si>
  <si>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</si>
  <si>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</si>
  <si>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</si>
  <si>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</si>
  <si>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</si>
  <si>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</si>
  <si>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</si>
  <si>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</si>
  <si>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</si>
  <si>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</si>
  <si>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</si>
  <si>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</si>
  <si>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</si>
  <si>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</si>
  <si>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</si>
  <si>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</si>
  <si>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</si>
  <si>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</si>
  <si>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</si>
  <si>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</si>
  <si>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</si>
  <si>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</si>
  <si>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</si>
  <si>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</si>
  <si>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</si>
  <si>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</si>
  <si>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</si>
  <si>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</si>
  <si>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</si>
  <si>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</si>
  <si>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</si>
  <si>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</si>
  <si>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</si>
  <si>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</si>
  <si>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</si>
  <si>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</si>
  <si>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</si>
  <si>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</si>
  <si>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</si>
  <si>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</si>
  <si>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</si>
  <si>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</si>
  <si>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</si>
  <si>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</si>
  <si>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</si>
  <si>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</si>
  <si>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</si>
  <si>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</si>
  <si>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</si>
  <si>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</si>
  <si>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</si>
  <si>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</si>
  <si>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</si>
  <si>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</si>
  <si>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</si>
  <si>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</si>
  <si>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</si>
  <si>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</si>
  <si>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</si>
  <si>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</si>
  <si>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</si>
  <si>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</si>
  <si>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</si>
  <si>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</si>
  <si>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</si>
  <si>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</si>
  <si>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</si>
  <si>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</si>
  <si>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</si>
  <si>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</si>
  <si>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</si>
  <si>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</si>
  <si>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</si>
  <si>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</si>
  <si>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</si>
  <si>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</si>
  <si>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</si>
  <si>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</si>
  <si>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</si>
  <si>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</si>
  <si>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</si>
  <si>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</si>
  <si>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</si>
  <si>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</si>
  <si>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</si>
  <si>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</si>
  <si>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</si>
  <si>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</si>
  <si>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</si>
  <si>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</si>
  <si>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</si>
  <si>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</si>
  <si>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</si>
  <si>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</si>
  <si>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</si>
  <si>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</si>
  <si>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</si>
  <si>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</si>
  <si>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</si>
  <si>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</si>
  <si>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</si>
  <si>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</si>
  <si>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</si>
  <si>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</si>
  <si>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</si>
  <si>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</si>
  <si>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</si>
  <si>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</si>
  <si>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</si>
  <si>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</si>
  <si>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</si>
  <si>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</si>
  <si>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</si>
  <si>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</si>
  <si>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</si>
  <si>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</si>
  <si>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</si>
  <si>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</si>
  <si>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</si>
  <si>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</si>
  <si>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</si>
  <si>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</si>
  <si>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</si>
  <si>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</si>
  <si>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</si>
  <si>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</si>
  <si>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刘梅</t>
  </si>
  <si>
    <t>吴薇</t>
  </si>
  <si>
    <t>中国建设银行股份有限公司北京城建支行</t>
    <phoneticPr fontId="6" type="noConversion"/>
  </si>
  <si>
    <t>北京龙湖兴润置业有限公司</t>
    <phoneticPr fontId="6" type="noConversion"/>
  </si>
  <si>
    <t>北京龙湖兴润置业有限公司</t>
    <phoneticPr fontId="6" type="noConversion"/>
  </si>
  <si>
    <t>抵押</t>
  </si>
  <si>
    <t>房地产抵押价值</t>
  </si>
  <si>
    <t>北京市</t>
  </si>
  <si>
    <r>
      <rPr>
        <sz val="12"/>
        <rFont val="宋体"/>
        <family val="3"/>
        <charset val="134"/>
      </rPr>
      <t>大兴区永兴路</t>
    </r>
    <r>
      <rPr>
        <sz val="12"/>
        <rFont val="Arial"/>
        <family val="2"/>
      </rPr>
      <t>7</t>
    </r>
    <r>
      <rPr>
        <sz val="12"/>
        <rFont val="宋体"/>
        <family val="3"/>
        <charset val="134"/>
      </rPr>
      <t>号院</t>
    </r>
    <r>
      <rPr>
        <sz val="12"/>
        <rFont val="Arial"/>
        <family val="2"/>
      </rPr>
      <t>1</t>
    </r>
    <r>
      <rPr>
        <sz val="12"/>
        <rFont val="宋体"/>
        <family val="3"/>
        <charset val="134"/>
      </rPr>
      <t>号楼</t>
    </r>
    <r>
      <rPr>
        <sz val="12"/>
        <rFont val="Arial"/>
        <family val="2"/>
      </rPr>
      <t>-3</t>
    </r>
    <r>
      <rPr>
        <sz val="12"/>
        <rFont val="宋体"/>
        <family val="3"/>
        <charset val="134"/>
      </rPr>
      <t>层至</t>
    </r>
    <r>
      <rPr>
        <sz val="12"/>
        <rFont val="Arial"/>
        <family val="2"/>
      </rPr>
      <t>4</t>
    </r>
    <r>
      <rPr>
        <sz val="12"/>
        <rFont val="宋体"/>
        <family val="3"/>
        <charset val="134"/>
      </rPr>
      <t>层</t>
    </r>
    <r>
      <rPr>
        <sz val="12"/>
        <rFont val="Arial"/>
        <family val="2"/>
      </rPr>
      <t>101</t>
    </r>
    <r>
      <rPr>
        <sz val="12"/>
        <rFont val="宋体"/>
        <family val="3"/>
        <charset val="134"/>
      </rPr>
      <t>号</t>
    </r>
    <phoneticPr fontId="6" type="noConversion"/>
  </si>
  <si>
    <t>企业</t>
  </si>
  <si>
    <t>出让</t>
  </si>
  <si>
    <t>商业、地下商业、地下车库</t>
    <phoneticPr fontId="6" type="noConversion"/>
  </si>
  <si>
    <r>
      <rPr>
        <sz val="12"/>
        <rFont val="宋体"/>
        <family val="3"/>
        <charset val="134"/>
      </rPr>
      <t>商业、地下商业</t>
    </r>
    <r>
      <rPr>
        <sz val="12"/>
        <rFont val="Arial"/>
        <family val="2"/>
      </rPr>
      <t>32.6</t>
    </r>
    <r>
      <rPr>
        <sz val="12"/>
        <rFont val="宋体"/>
        <family val="3"/>
        <charset val="134"/>
      </rPr>
      <t>，车库</t>
    </r>
    <r>
      <rPr>
        <sz val="12"/>
        <rFont val="Arial"/>
        <family val="2"/>
      </rPr>
      <t>42.6</t>
    </r>
    <phoneticPr fontId="6" type="noConversion"/>
  </si>
  <si>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及《房屋土地测绘技术报告书》</t>
    </r>
    <phoneticPr fontId="6" type="noConversion"/>
  </si>
  <si>
    <t>是</t>
  </si>
  <si>
    <t>商业项目</t>
  </si>
  <si>
    <t>商场</t>
  </si>
  <si>
    <t>否</t>
  </si>
  <si>
    <t>现房</t>
  </si>
  <si>
    <t>通路</t>
  </si>
  <si>
    <t>通电</t>
  </si>
  <si>
    <t>通讯</t>
  </si>
  <si>
    <t>通上水</t>
  </si>
  <si>
    <t>通下水</t>
  </si>
  <si>
    <t>燃气</t>
  </si>
  <si>
    <t>Ⅷ-兴1</t>
  </si>
  <si>
    <r>
      <rPr>
        <sz val="12"/>
        <rFont val="宋体"/>
        <family val="3"/>
        <charset val="134"/>
      </rPr>
      <t>《不动产权证书》</t>
    </r>
    <r>
      <rPr>
        <sz val="12"/>
        <rFont val="Arial"/>
        <family val="2"/>
      </rPr>
      <t>[</t>
    </r>
    <r>
      <rPr>
        <sz val="12"/>
        <rFont val="宋体"/>
        <family val="3"/>
        <charset val="134"/>
      </rPr>
      <t>京（</t>
    </r>
    <r>
      <rPr>
        <sz val="12"/>
        <rFont val="Arial"/>
        <family val="2"/>
      </rPr>
      <t>2016</t>
    </r>
    <r>
      <rPr>
        <sz val="12"/>
        <rFont val="宋体"/>
        <family val="3"/>
        <charset val="134"/>
      </rPr>
      <t>）大兴区不动产权第</t>
    </r>
    <r>
      <rPr>
        <sz val="12"/>
        <rFont val="Arial"/>
        <family val="2"/>
      </rPr>
      <t>0019592</t>
    </r>
    <r>
      <rPr>
        <sz val="12"/>
        <rFont val="宋体"/>
        <family val="3"/>
        <charset val="134"/>
      </rPr>
      <t>号</t>
    </r>
    <r>
      <rPr>
        <sz val="12"/>
        <rFont val="Arial"/>
        <family val="2"/>
      </rPr>
      <t>]</t>
    </r>
    <r>
      <rPr>
        <sz val="12"/>
        <rFont val="宋体"/>
        <family val="3"/>
        <charset val="134"/>
      </rPr>
      <t>及《房屋面积测算技术报告书》</t>
    </r>
    <phoneticPr fontId="6" type="noConversion"/>
  </si>
  <si>
    <r>
      <t>1</t>
    </r>
    <r>
      <rPr>
        <sz val="10"/>
        <color indexed="8"/>
        <rFont val="宋体"/>
        <family val="3"/>
        <charset val="134"/>
      </rPr>
      <t>号楼</t>
    </r>
    <phoneticPr fontId="3" type="noConversion"/>
  </si>
  <si>
    <t>地上</t>
  </si>
  <si>
    <t>地下</t>
  </si>
  <si>
    <t>车库</t>
  </si>
  <si>
    <t>独立商业</t>
  </si>
  <si>
    <t>车库—商业</t>
  </si>
  <si>
    <t>成新度</t>
  </si>
  <si>
    <t>收益法</t>
  </si>
  <si>
    <t>估价对象位于大兴区生物医药基地地区，周边商业氛围成熟度一般，人流量较大，商业繁华度一般。</t>
    <phoneticPr fontId="25" type="noConversion"/>
  </si>
  <si>
    <t>一致</t>
    <phoneticPr fontId="25" type="noConversion"/>
  </si>
  <si>
    <t>估价对象所处区域自然环境及人文环境：有念坛公园、绿化条件一般，缺乏图书馆、博物馆等设施；综合评价环境状况一般。</t>
    <phoneticPr fontId="25" type="noConversion"/>
  </si>
  <si>
    <t>七通</t>
    <phoneticPr fontId="25" type="noConversion"/>
  </si>
  <si>
    <r>
      <rPr>
        <sz val="11"/>
        <rFont val="宋体"/>
        <family val="3"/>
        <charset val="134"/>
      </rPr>
      <t>估价对象所在区域有北京市农村商业银行</t>
    </r>
    <r>
      <rPr>
        <sz val="11"/>
        <rFont val="Arial"/>
        <family val="2"/>
      </rPr>
      <t>(</t>
    </r>
    <r>
      <rPr>
        <sz val="11"/>
        <rFont val="宋体"/>
        <family val="3"/>
        <charset val="134"/>
      </rPr>
      <t>北臧村支行</t>
    </r>
    <r>
      <rPr>
        <sz val="11"/>
        <rFont val="Arial"/>
        <family val="2"/>
      </rPr>
      <t>)</t>
    </r>
    <r>
      <rPr>
        <sz val="11"/>
        <rFont val="宋体"/>
        <family val="3"/>
        <charset val="134"/>
      </rPr>
      <t>、北京市大兴区向阳希望学校、华联超市等公共配套设施齐备情况较好。</t>
    </r>
    <phoneticPr fontId="25" type="noConversion"/>
  </si>
  <si>
    <t>双面临街</t>
  </si>
  <si>
    <t>项目局部</t>
  </si>
  <si>
    <t>成本法</t>
  </si>
  <si>
    <t>成本比率</t>
  </si>
  <si>
    <t>总价</t>
  </si>
  <si>
    <t>分摊土地面积</t>
  </si>
  <si>
    <t>建筑面积</t>
  </si>
  <si>
    <t>建筑物价值</t>
  </si>
  <si>
    <t>全部缴纳</t>
  </si>
  <si>
    <t>已包含在土地取得成本中</t>
  </si>
  <si>
    <t>押一</t>
  </si>
  <si>
    <t>钢混</t>
  </si>
  <si>
    <t>非生产用房</t>
  </si>
  <si>
    <t>批发零售用地</t>
  </si>
  <si>
    <t>六通一平</t>
  </si>
  <si>
    <t>增加</t>
  </si>
  <si>
    <t>按公示增长率计算</t>
  </si>
  <si>
    <t>不临58条商业街</t>
  </si>
  <si>
    <t>楼层修正</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</si>
  <si>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</si>
  <si>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</si>
  <si>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</si>
  <si>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</si>
  <si>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</si>
  <si>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</si>
  <si>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</si>
  <si>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</si>
  <si>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</si>
  <si>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</si>
  <si>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</si>
  <si>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</si>
  <si>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</si>
  <si>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北京经济技术开发区路东区C14C-1、C14C-2、C14S-1地块B4综合性商业金融服务业用地及S41公用停车场用地</t>
  </si>
  <si>
    <t>商业/办公用地</t>
  </si>
  <si>
    <t>挂牌</t>
  </si>
  <si>
    <t>2017-08-08</t>
  </si>
  <si>
    <t>北京联茂方泰房地产开发有限公司(京东)</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</si>
  <si>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</si>
  <si>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</si>
  <si>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</si>
  <si>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</si>
  <si>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</si>
  <si>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</si>
  <si>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</si>
  <si>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</si>
  <si>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</si>
  <si>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</si>
  <si>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</si>
  <si>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</si>
  <si>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</si>
  <si>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</si>
  <si>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</si>
  <si>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</si>
  <si>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</si>
  <si>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</si>
  <si>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</si>
  <si>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</si>
  <si>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</si>
  <si>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</si>
  <si>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</si>
  <si>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</si>
  <si>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</si>
  <si>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</si>
  <si>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</si>
  <si>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</si>
  <si>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</si>
  <si>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龙湖天街</t>
    <phoneticPr fontId="3" type="noConversion"/>
  </si>
  <si>
    <t>高溢价率</t>
  </si>
  <si>
    <t>低溢价率</t>
  </si>
  <si>
    <t>低溢价率</t>
    <phoneticPr fontId="31" type="noConversion"/>
  </si>
  <si>
    <t>高溢价率</t>
    <phoneticPr fontId="31" type="noConversion"/>
  </si>
  <si>
    <t>商业</t>
    <phoneticPr fontId="31" type="noConversion"/>
  </si>
  <si>
    <t>商业、办公</t>
  </si>
  <si>
    <t>商业、办公</t>
    <phoneticPr fontId="31" type="noConversion"/>
  </si>
  <si>
    <t>一般</t>
  </si>
  <si>
    <t>较好</t>
  </si>
  <si>
    <t>七通</t>
  </si>
  <si>
    <t>快速路</t>
    <phoneticPr fontId="31" type="noConversion"/>
  </si>
  <si>
    <t>主干道</t>
    <phoneticPr fontId="31" type="noConversion"/>
  </si>
  <si>
    <t>次干道</t>
  </si>
  <si>
    <t>次干道</t>
    <phoneticPr fontId="31" type="noConversion"/>
  </si>
  <si>
    <t>支路</t>
  </si>
  <si>
    <t>支路</t>
    <phoneticPr fontId="31" type="noConversion"/>
  </si>
  <si>
    <t>良好</t>
  </si>
  <si>
    <t>良好</t>
    <phoneticPr fontId="31" type="noConversion"/>
  </si>
  <si>
    <t>一般</t>
    <phoneticPr fontId="31" type="noConversion"/>
  </si>
  <si>
    <t>较差</t>
  </si>
  <si>
    <t>较差</t>
    <phoneticPr fontId="31" type="noConversion"/>
  </si>
  <si>
    <t>规则</t>
  </si>
  <si>
    <t>规则</t>
    <phoneticPr fontId="31" type="noConversion"/>
  </si>
  <si>
    <t>较规则</t>
    <phoneticPr fontId="31" type="noConversion"/>
  </si>
  <si>
    <t>较不规则</t>
    <phoneticPr fontId="31" type="noConversion"/>
  </si>
  <si>
    <t>不规则</t>
    <phoneticPr fontId="31" type="noConversion"/>
  </si>
  <si>
    <r>
      <rPr>
        <sz val="11"/>
        <color indexed="8"/>
        <rFont val="宋体"/>
        <family val="3"/>
        <charset val="134"/>
      </rPr>
      <t>商业</t>
    </r>
    <r>
      <rPr>
        <sz val="11"/>
        <color indexed="8"/>
        <rFont val="Arial"/>
        <family val="2"/>
      </rPr>
      <t>40</t>
    </r>
    <phoneticPr fontId="31" type="noConversion"/>
  </si>
  <si>
    <t>楼面地价</t>
  </si>
  <si>
    <r>
      <rPr>
        <sz val="11"/>
        <rFont val="宋体"/>
        <family val="3"/>
        <charset val="134"/>
      </rPr>
      <t>城市次干道</t>
    </r>
    <r>
      <rPr>
        <sz val="11"/>
        <rFont val="Arial"/>
        <family val="2"/>
      </rPr>
      <t>-</t>
    </r>
    <r>
      <rPr>
        <sz val="11"/>
        <rFont val="宋体"/>
        <family val="3"/>
        <charset val="134"/>
      </rPr>
      <t>新源大街</t>
    </r>
    <phoneticPr fontId="31" type="noConversion"/>
  </si>
  <si>
    <t>七通一平</t>
  </si>
  <si>
    <t>七通一平</t>
    <phoneticPr fontId="31" type="noConversion"/>
  </si>
  <si>
    <t>六通一平</t>
    <phoneticPr fontId="31" type="noConversion"/>
  </si>
  <si>
    <t>五通一平</t>
    <phoneticPr fontId="31" type="noConversion"/>
  </si>
  <si>
    <t>估价对象周边路网密集、公共交通通达情况较好、停车便捷程度好，综合评价交通便捷度较好。</t>
    <phoneticPr fontId="25" type="noConversion"/>
  </si>
  <si>
    <t>多面临街</t>
  </si>
  <si>
    <r>
      <rPr>
        <b/>
        <sz val="11"/>
        <rFont val="宋体"/>
        <family val="3"/>
        <charset val="134"/>
      </rPr>
      <t>估价对象</t>
    </r>
    <r>
      <rPr>
        <b/>
        <sz val="11"/>
        <color indexed="10"/>
        <rFont val="宋体"/>
        <family val="3"/>
        <charset val="134"/>
      </rPr>
      <t>商业用地的</t>
    </r>
    <r>
      <rPr>
        <b/>
        <sz val="11"/>
        <rFont val="宋体"/>
        <family val="3"/>
        <charset val="134"/>
      </rPr>
      <t>比较价值（楼面单价，元</t>
    </r>
    <r>
      <rPr>
        <b/>
        <sz val="11"/>
        <rFont val="Arial"/>
        <family val="2"/>
      </rPr>
      <t>/</t>
    </r>
    <r>
      <rPr>
        <b/>
        <sz val="11"/>
        <rFont val="宋体"/>
        <family val="3"/>
        <charset val="134"/>
      </rPr>
      <t>平方米）</t>
    </r>
    <phoneticPr fontId="3" type="noConversion"/>
  </si>
  <si>
    <t>整栋楼</t>
  </si>
  <si>
    <t>整栋楼</t>
    <phoneticPr fontId="7" type="noConversion"/>
  </si>
  <si>
    <t>未包含在土地购买价格中</t>
  </si>
  <si>
    <t>按租金收入计税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</si>
</sst>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61"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49" fontId="98" fillId="0" borderId="24"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24" xfId="0" applyFont="1" applyBorder="1" applyAlignment="1" applyProtection="1">
      <alignment horizontal="center" vertical="center" wrapText="1"/>
      <protection locked="0"/>
    </xf>
    <xf numFmtId="0" fontId="0" fillId="9" borderId="0" xfId="0" applyFill="1" applyAlignment="1"/>
    <xf numFmtId="0" fontId="0" fillId="0" borderId="0" xfId="0" applyFill="1" applyAlignment="1"/>
    <xf numFmtId="184" fontId="54" fillId="6" borderId="26" xfId="0" applyNumberFormat="1" applyFont="1" applyFill="1" applyBorder="1" applyAlignment="1" applyProtection="1">
      <alignment horizontal="center" vertical="center" wrapText="1"/>
    </xf>
    <xf numFmtId="0" fontId="54" fillId="6" borderId="67" xfId="0" applyNumberFormat="1" applyFont="1" applyFill="1" applyBorder="1" applyAlignment="1" applyProtection="1">
      <alignment horizontal="center" vertical="center" wrapText="1"/>
    </xf>
    <xf numFmtId="184" fontId="54" fillId="0" borderId="70" xfId="0" applyNumberFormat="1" applyFont="1" applyFill="1" applyBorder="1" applyAlignment="1" applyProtection="1">
      <alignment horizontal="center" vertical="center" wrapText="1"/>
      <protection locked="0"/>
    </xf>
    <xf numFmtId="0" fontId="54" fillId="6" borderId="34" xfId="0" applyNumberFormat="1" applyFont="1" applyFill="1" applyBorder="1" applyAlignment="1" applyProtection="1">
      <alignment horizontal="center" vertical="center" wrapText="1"/>
    </xf>
    <xf numFmtId="184" fontId="54" fillId="0" borderId="26"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7" fillId="17" borderId="24" xfId="1" applyFont="1" applyFill="1" applyBorder="1" applyAlignment="1" applyProtection="1">
      <alignment horizontal="left" vertical="center"/>
      <protection locked="0"/>
    </xf>
    <xf numFmtId="181" fontId="47" fillId="9" borderId="1"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61" fillId="7" borderId="5" xfId="0" applyNumberFormat="1" applyFont="1" applyFill="1" applyBorder="1" applyAlignment="1" applyProtection="1">
      <alignment horizontal="left" vertical="center"/>
      <protection locked="0"/>
    </xf>
    <xf numFmtId="49" fontId="61" fillId="7" borderId="54" xfId="0" applyNumberFormat="1" applyFont="1" applyFill="1" applyBorder="1" applyAlignment="1" applyProtection="1">
      <alignment horizontal="left" vertical="center"/>
      <protection locked="0"/>
    </xf>
    <xf numFmtId="49" fontId="61" fillId="7" borderId="3" xfId="0" applyNumberFormat="1" applyFont="1" applyFill="1" applyBorder="1" applyAlignment="1" applyProtection="1">
      <alignment horizontal="left" vertical="center"/>
      <protection locked="0"/>
    </xf>
    <xf numFmtId="49" fontId="61" fillId="7" borderId="85" xfId="0" applyNumberFormat="1" applyFont="1" applyFill="1" applyBorder="1" applyAlignment="1" applyProtection="1">
      <alignment horizontal="left" vertical="center"/>
      <protection locked="0"/>
    </xf>
    <xf numFmtId="0" fontId="61" fillId="7" borderId="88" xfId="0" applyNumberFormat="1" applyFont="1" applyFill="1" applyBorder="1" applyAlignment="1" applyProtection="1">
      <alignment horizontal="left" vertical="center"/>
      <protection locked="0"/>
    </xf>
    <xf numFmtId="0" fontId="6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北京市大兴区永兴路7号院1号楼-3层至4层101号房地产抵押价值预评估</v>
      </c>
    </row>
    <row r="3" spans="1:2" s="1595" customFormat="1">
      <c r="A3" s="1593" t="s">
        <v>1221</v>
      </c>
      <c r="B3" s="1594" t="str">
        <f>'预评函-封皮'!B40</f>
        <v>北京龙湖兴润置业有限公司</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受贵公司委托，我公司对北京市大兴区永兴路7号院1号楼-3层至4层101号房地产抵押价值进行了预评估。</v>
      </c>
    </row>
    <row r="7" spans="1:2" s="1595" customFormat="1">
      <c r="A7" s="1593" t="s">
        <v>1264</v>
      </c>
      <c r="B7" s="1594" t="str">
        <f>'预评函-1'!A7</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根据《不动产权证书》[京（2016）大兴区不动产权第0019592号]及《房屋土地测绘技术报告书》，估价对象建筑面积为210956.06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根据《不动产权证书》[京（2016）大兴区不动产权第0019592号]及《房屋土地测绘技术报告书》，估价对象规划建筑面积为210956.06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为估价委托人在向中国建设银行股份有限公司北京城建支行办理贷款手续过程中，确定房地产抵押贷款额度提供参考依据而评估房地产抵押价值。</v>
      </c>
    </row>
    <row r="12" spans="1:2" s="1595" customFormat="1">
      <c r="A12" s="1593" t="s">
        <v>1226</v>
      </c>
      <c r="B12" s="1594" t="str">
        <f>'预评函-1'!A15</f>
        <v>2018年5月15日（评估专业人员实地查勘之日）</v>
      </c>
    </row>
    <row r="13" spans="1:2" s="1595" customFormat="1">
      <c r="A13" s="1593" t="s">
        <v>1227</v>
      </c>
      <c r="B13" s="1594" t="str">
        <f>'预评函-1'!A18</f>
        <v>本次估价的“房地产价值”是指在正常市场情况下，在价值时点2018年5月15日，估价对象规划用途为商业、地下商业、地下车库，土地取得方式为出让，出让国有建设用地使用权剩余土地使用年限为商业、地下商业32.6，车库42.6，假定未设立法定优先受偿款下的房地产市场价值。</v>
      </c>
    </row>
    <row r="14" spans="1:2" s="1595" customFormat="1">
      <c r="A14" s="1593" t="s">
        <v>1228</v>
      </c>
      <c r="B14" s="1594" t="str">
        <f>'预评函-1'!A19</f>
        <v>其中，“出让国有建设用地使用权价值”是指估价对象用途为商业、地下商业、地下车库，实际开发程度为宗地红线外“七通”（即通路、通电、通讯、通上水、通下水、燃气、）、红线内场地平整条件下，剩余土地使用年限为商业、地下商业32.6，车库42.6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324550</v>
      </c>
    </row>
    <row r="21" spans="1:2" s="1595" customFormat="1">
      <c r="A21" s="1593" t="s">
        <v>1235</v>
      </c>
      <c r="B21" s="1594">
        <f ca="1">'预评函-2'!D7</f>
        <v>15385</v>
      </c>
    </row>
    <row r="22" spans="1:2" s="1595" customFormat="1">
      <c r="A22" s="1593" t="s">
        <v>1236</v>
      </c>
      <c r="B22" s="1594" t="str">
        <f ca="1">'预评函-2'!D6</f>
        <v>叁拾贰亿肆仟伍佰伍拾万元整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324550</v>
      </c>
    </row>
    <row r="31" spans="1:2" s="1595" customFormat="1">
      <c r="A31" s="1593" t="s">
        <v>1274</v>
      </c>
      <c r="B31" s="1594">
        <f ca="1">'预评函-2'!D15</f>
        <v>15385</v>
      </c>
    </row>
    <row r="32" spans="1:2" s="1595" customFormat="1">
      <c r="A32" s="1593" t="s">
        <v>1241</v>
      </c>
      <c r="B32" s="1594" t="str">
        <f ca="1">'预评函-2'!D14</f>
        <v>叁拾贰亿肆仟伍佰伍拾万元整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北京市大兴区永兴路7号院1号楼-3层至4层101号房地产</v>
      </c>
    </row>
    <row r="42" spans="1:2" s="1595" customFormat="1">
      <c r="A42" s="1593" t="s">
        <v>1288</v>
      </c>
      <c r="B42" s="1594" t="str">
        <f>'预评函-3'!B2</f>
        <v>建筑面积</v>
      </c>
    </row>
    <row r="43" spans="1:2" s="1595" customFormat="1">
      <c r="A43" s="1593" t="s">
        <v>1289</v>
      </c>
      <c r="B43" s="1594">
        <f>'预评函-3'!B4</f>
        <v>210956.06</v>
      </c>
    </row>
    <row r="44" spans="1:2" s="1595" customFormat="1">
      <c r="A44" s="1593" t="s">
        <v>1273</v>
      </c>
      <c r="B44" s="1594" t="str">
        <f>'预评函-3'!C2</f>
        <v>(分摊)土地面积</v>
      </c>
    </row>
    <row r="45" spans="1:2" s="1595" customFormat="1">
      <c r="A45" s="1593" t="s">
        <v>1245</v>
      </c>
      <c r="B45" s="1594">
        <f>'预评函-3'!C4</f>
        <v>55191.78</v>
      </c>
    </row>
    <row r="46" spans="1:2" s="1595" customFormat="1">
      <c r="A46" s="1593" t="s">
        <v>1271</v>
      </c>
      <c r="B46" s="1594" t="str">
        <f>'预评函-3'!D2</f>
        <v>出让国有建设用地使用权价值</v>
      </c>
    </row>
    <row r="47" spans="1:2" s="1595" customFormat="1">
      <c r="A47" s="1593" t="s">
        <v>1246</v>
      </c>
      <c r="B47" s="1594">
        <f ca="1">'预评函-3'!D4</f>
        <v>244386</v>
      </c>
    </row>
    <row r="48" spans="1:2" s="1595" customFormat="1">
      <c r="A48" s="1593" t="s">
        <v>1247</v>
      </c>
      <c r="B48" s="1594">
        <f ca="1">'预评函-3'!E4</f>
        <v>11585</v>
      </c>
    </row>
    <row r="49" spans="1:2" s="1595" customFormat="1">
      <c r="A49" s="1593" t="s">
        <v>1248</v>
      </c>
      <c r="B49" s="1594" t="str">
        <f ca="1">'预评函-3'!D5</f>
        <v>贰拾肆亿肆仟叁佰捌拾陆万元整</v>
      </c>
    </row>
    <row r="50" spans="1:2" s="1595" customFormat="1">
      <c r="A50" s="1593" t="s">
        <v>1272</v>
      </c>
      <c r="B50" s="1594" t="str">
        <f>'预评函-3'!F2</f>
        <v>建筑物价值</v>
      </c>
    </row>
    <row r="51" spans="1:2" s="1595" customFormat="1">
      <c r="A51" s="1593" t="s">
        <v>1249</v>
      </c>
      <c r="B51" s="1594">
        <f ca="1">'预评函-3'!F4</f>
        <v>80164</v>
      </c>
    </row>
    <row r="52" spans="1:2" s="1595" customFormat="1">
      <c r="A52" s="1593" t="s">
        <v>1250</v>
      </c>
      <c r="B52" s="1594">
        <f ca="1">'预评函-3'!G4</f>
        <v>3800</v>
      </c>
    </row>
    <row r="53" spans="1:2" s="1595" customFormat="1">
      <c r="A53" s="1593" t="s">
        <v>1278</v>
      </c>
      <c r="B53" s="1594" t="str">
        <f ca="1">'预评函-3'!F5</f>
        <v>捌亿零壹佰陆拾肆万元整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（1）根据估价对象《房屋所有权证》原件、《国有土地使用权》复印件，截至价值时点，估价对象已设定抵押。上述抵押权设定日期为，权利人为，权利范围为，权利价值为。</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6" t="str">
        <f>项目基本情况!B1</f>
        <v>北京市大兴区永兴路7号院1号楼-3层至4层101号房地产抵押价值预评估</v>
      </c>
      <c r="C37" s="2966"/>
      <c r="D37" s="2966"/>
      <c r="E37" s="2966"/>
      <c r="F37" s="2966"/>
      <c r="G37" s="2966"/>
      <c r="H37" s="2966"/>
      <c r="I37" s="2966"/>
    </row>
    <row r="38" spans="1:9">
      <c r="A38" s="1019"/>
      <c r="B38" s="1019"/>
    </row>
    <row r="39" spans="1:9">
      <c r="A39" s="1017" t="s">
        <v>818</v>
      </c>
      <c r="B39" s="1017" t="s">
        <v>820</v>
      </c>
    </row>
    <row r="40" spans="1:9">
      <c r="A40" s="1017"/>
      <c r="B40" s="1944" t="str">
        <f>项目基本情况!B5</f>
        <v>北京龙湖兴润置业有限公司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刘梅（注册号：1120140022)、吴薇（注册号：1419970001)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北京龙湖兴润置业有限公司：</v>
      </c>
    </row>
    <row r="4" spans="1:1" ht="36">
      <c r="A4" s="1950" t="str">
        <f>"受贵公司委托，我公司对"&amp;项目基本情况!S1&amp;"进行了预评估。"</f>
        <v>受贵公司委托，我公司对北京市大兴区永兴路7号院1号楼-3层至4层101号房地产抵押价值进行了预评估。</v>
      </c>
    </row>
    <row r="5" spans="1:1" ht="18.75">
      <c r="A5" s="1951" t="s">
        <v>1612</v>
      </c>
    </row>
    <row r="6" spans="1:1" ht="18.75">
      <c r="A6" s="1952" t="s">
        <v>1613</v>
      </c>
    </row>
    <row r="7" spans="1:1" ht="108">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永兴路7号院1号楼-3层至4层101号房地产，为北京龙湖兴润置业有限公司所有。根据《不动产权证书》[京（2016）大兴区不动产权第0019592号]及《房屋面积测算技术报告书》，估价对象（分摊）出让国有建设用地使用权面积为55191.78平方米。根据《不动产权证书》[京（2016）大兴区不动产权第0019592号]及《房屋土地测绘技术报告书》，估价对象建筑面积为210956.06平方米。</v>
      </c>
    </row>
    <row r="8" spans="1:1" ht="57.75">
      <c r="A8" s="1953" t="s">
        <v>1614</v>
      </c>
    </row>
    <row r="9" spans="1:1" ht="18.75">
      <c r="A9" s="1952" t="s">
        <v>1615</v>
      </c>
    </row>
    <row r="10" spans="1:1" ht="108">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永兴路7号院1号楼-3层至4层101号房地产,属北京龙湖兴润置业有限公司开发建设的商业项目，该项目尚在开发建设中。根据《不动产权证书》[京（2016）大兴区不动产权第0019592号]及《房屋面积测算技术报告书》，估价对象（分摊）出让国有建设用地使用权面积为55191.78平方米。根据《不动产权证书》[京（2016）大兴区不动产权第0019592号]及《房屋土地测绘技术报告书》，估价对象规划建筑面积为210956.06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为估价委托人在向中国建设银行股份有限公司北京城建支行办理贷款手续过程中，确定房地产抵押贷款额度提供参考依据而评估房地产抵押价值。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2018年5月15日（评估专业人员实地查勘之日）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15日，估价对象规划用途为商业、地下商业、地下车库，土地取得方式为出让，出让国有建设用地使用权剩余土地使用年限为商业、地下商业32.6，车库42.6，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地下车库，实际开发程度为宗地红线外“七通”（即通路、通电、通讯、通上水、通下水、燃气、）、红线内场地平整条件下，剩余土地使用年限为商业、地下商业32.6，车库42.6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63"/>
      <c r="B4" s="2970" t="s">
        <v>1630</v>
      </c>
      <c r="C4" s="2970"/>
      <c r="D4" s="2970"/>
      <c r="E4" s="1963"/>
    </row>
    <row r="5" spans="1:5" ht="16.5" thickTop="1">
      <c r="A5" s="1961"/>
      <c r="B5" s="2968" t="s">
        <v>1622</v>
      </c>
      <c r="C5" s="1964" t="s">
        <v>1623</v>
      </c>
      <c r="D5" s="1043">
        <f ca="1">结果表!H101</f>
        <v>324550</v>
      </c>
      <c r="E5" s="1961"/>
    </row>
    <row r="6" spans="1:5" ht="15.75">
      <c r="A6" s="1961"/>
      <c r="B6" s="2968"/>
      <c r="C6" s="1964" t="s">
        <v>1624</v>
      </c>
      <c r="D6" s="1043" t="str">
        <f ca="1">NUMBERSTRING(INT(D5*10000),2)&amp;"元整"</f>
        <v>叁拾贰亿肆仟伍佰伍拾万元整</v>
      </c>
      <c r="E6" s="1961"/>
    </row>
    <row r="7" spans="1:5" ht="15.75">
      <c r="A7" s="1961"/>
      <c r="B7" s="2973"/>
      <c r="C7" s="1965" t="s">
        <v>1625</v>
      </c>
      <c r="D7" s="1044">
        <f ca="1">结果表!H102</f>
        <v>15385</v>
      </c>
      <c r="E7" s="1961"/>
    </row>
    <row r="8" spans="1:5" ht="15.75">
      <c r="A8" s="1961"/>
      <c r="B8" s="2974" t="str">
        <f>结果表!E103</f>
        <v>2.估价师知悉的法定优先受偿款</v>
      </c>
      <c r="C8" s="1966" t="s">
        <v>1626</v>
      </c>
      <c r="D8" s="1044">
        <f>结果表!H103</f>
        <v>0</v>
      </c>
      <c r="E8" s="1961"/>
    </row>
    <row r="9" spans="1:5" ht="15.75">
      <c r="A9" s="1961"/>
      <c r="B9" s="2976"/>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67" t="str">
        <f>结果表!E107</f>
        <v>3.房地产抵押价值</v>
      </c>
      <c r="C13" s="1969" t="s">
        <v>1623</v>
      </c>
      <c r="D13" s="1046">
        <f ca="1">结果表!H107</f>
        <v>324550</v>
      </c>
      <c r="E13" s="1961"/>
    </row>
    <row r="14" spans="1:5" ht="15.75">
      <c r="A14" s="1961"/>
      <c r="B14" s="2968"/>
      <c r="C14" s="1964" t="s">
        <v>1624</v>
      </c>
      <c r="D14" s="1043" t="str">
        <f ca="1">NUMBERSTRING(INT(D13*10000),2)&amp;"元整"</f>
        <v>叁拾贰亿肆仟伍佰伍拾万元整</v>
      </c>
      <c r="E14" s="1961"/>
    </row>
    <row r="15" spans="1:5" ht="15">
      <c r="A15" s="1961"/>
      <c r="B15" s="2973"/>
      <c r="C15" s="1965" t="s">
        <v>1634</v>
      </c>
      <c r="D15" s="1055">
        <f ca="1">结果表!H108</f>
        <v>15385</v>
      </c>
      <c r="E15" s="1961"/>
    </row>
    <row r="16" spans="1:5" ht="15">
      <c r="A16" s="1961"/>
      <c r="B16" s="2974" t="str">
        <f>结果表!E109</f>
        <v>——</v>
      </c>
      <c r="C16" s="1969" t="s">
        <v>1635</v>
      </c>
      <c r="D16" s="1970" t="str">
        <f>结果表!H109</f>
        <v>——</v>
      </c>
      <c r="E16" s="1961"/>
    </row>
    <row r="17" spans="1:5" ht="15.75">
      <c r="A17" s="1961"/>
      <c r="B17" s="2975"/>
      <c r="C17" s="1964" t="s">
        <v>1636</v>
      </c>
      <c r="D17" s="1043" t="e">
        <f>NUMBERSTRING(INT(D16*10000),2)&amp;"元整"</f>
        <v>#VALUE!</v>
      </c>
      <c r="E17" s="1961"/>
    </row>
    <row r="18" spans="1:5" ht="15">
      <c r="A18" s="1961"/>
      <c r="B18" s="2976"/>
      <c r="C18" s="1965" t="s">
        <v>1625</v>
      </c>
      <c r="D18" s="1055" t="str">
        <f>结果表!H110</f>
        <v>——</v>
      </c>
      <c r="E18" s="1961"/>
    </row>
    <row r="19" spans="1:5" ht="15.75">
      <c r="A19" s="1961"/>
      <c r="B19" s="2967" t="str">
        <f>结果表!E111</f>
        <v>——</v>
      </c>
      <c r="C19" s="1969" t="s">
        <v>1623</v>
      </c>
      <c r="D19" s="1044" t="str">
        <f>结果表!H111</f>
        <v>——</v>
      </c>
      <c r="E19" s="1961"/>
    </row>
    <row r="20" spans="1:5" ht="15.75">
      <c r="A20" s="1961"/>
      <c r="B20" s="2968"/>
      <c r="C20" s="1964" t="s">
        <v>1636</v>
      </c>
      <c r="D20" s="1043" t="e">
        <f>NUMBERSTRING(INT(D19*10000),2)&amp;"元整"</f>
        <v>#VALUE!</v>
      </c>
      <c r="E20" s="1961"/>
    </row>
    <row r="21" spans="1:5" ht="15.75" thickBot="1">
      <c r="A21" s="1961"/>
      <c r="B21" s="2969"/>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1641</v>
      </c>
      <c r="B2" s="2978" t="s">
        <v>1642</v>
      </c>
      <c r="C2" s="2978" t="s">
        <v>1643</v>
      </c>
      <c r="D2" s="2978" t="str">
        <f>结果表!D116</f>
        <v>出让国有建设用地使用权价值</v>
      </c>
      <c r="E2" s="2978"/>
      <c r="F2" s="2978" t="str">
        <f>结果表!F116</f>
        <v>建筑物价值</v>
      </c>
      <c r="G2" s="2978"/>
      <c r="H2" s="2978" t="str">
        <f>IF(项目基本情况!B9="房地产市场价值","房地产市场价值","房地产价值")</f>
        <v>房地产价值</v>
      </c>
      <c r="I2" s="2978"/>
    </row>
    <row r="3" spans="1:9" ht="15">
      <c r="A3" s="2979"/>
      <c r="B3" s="2979"/>
      <c r="C3" s="2979"/>
      <c r="D3" s="1047" t="s">
        <v>1638</v>
      </c>
      <c r="E3" s="1047" t="s">
        <v>1644</v>
      </c>
      <c r="F3" s="1047" t="s">
        <v>1638</v>
      </c>
      <c r="G3" s="1047" t="s">
        <v>1639</v>
      </c>
      <c r="H3" s="1047" t="s">
        <v>1638</v>
      </c>
      <c r="I3" s="1047" t="s">
        <v>1639</v>
      </c>
    </row>
    <row r="4" spans="1:9" ht="30">
      <c r="A4" s="1975" t="str">
        <f>项目基本情况!S2</f>
        <v>北京市大兴区永兴路7号院1号楼-3层至4层101号房地产</v>
      </c>
      <c r="B4" s="1047">
        <f>项目基本情况!C17</f>
        <v>210956.06</v>
      </c>
      <c r="C4" s="1047">
        <f>项目基本情况!C18</f>
        <v>55191.78</v>
      </c>
      <c r="D4" s="1047">
        <f ca="1">结果表!D118</f>
        <v>244386</v>
      </c>
      <c r="E4" s="1047">
        <f ca="1">结果表!E118</f>
        <v>11585</v>
      </c>
      <c r="F4" s="1047">
        <f ca="1">结果表!F118</f>
        <v>80164</v>
      </c>
      <c r="G4" s="1047">
        <f ca="1">结果表!G118</f>
        <v>3800</v>
      </c>
      <c r="H4" s="1047">
        <f ca="1">结果表!H118</f>
        <v>324550</v>
      </c>
      <c r="I4" s="1047">
        <f ca="1">结果表!I118</f>
        <v>15385</v>
      </c>
    </row>
    <row r="5" spans="1:9" ht="30" customHeight="1">
      <c r="A5" s="2979" t="s">
        <v>1640</v>
      </c>
      <c r="B5" s="2979"/>
      <c r="C5" s="2979"/>
      <c r="D5" s="2980" t="str">
        <f ca="1">结果表!D119</f>
        <v>贰拾肆亿肆仟叁佰捌拾陆万元整</v>
      </c>
      <c r="E5" s="2980"/>
      <c r="F5" s="2980" t="str">
        <f ca="1">结果表!F119</f>
        <v>捌亿零壹佰陆拾肆万元整</v>
      </c>
      <c r="G5" s="2980"/>
      <c r="H5" s="2980" t="str">
        <f ca="1">结果表!H119</f>
        <v>叁拾贰亿肆仟伍佰伍拾万元整</v>
      </c>
      <c r="I5" s="2980"/>
    </row>
    <row r="6" spans="1:9" ht="15.75">
      <c r="A6" s="2981" t="str">
        <f>结果表!A120</f>
        <v>估价师知悉的法定优先受偿款</v>
      </c>
      <c r="B6" s="2981"/>
      <c r="C6" s="2981"/>
      <c r="D6" s="2981">
        <f>结果表!D120</f>
        <v>0</v>
      </c>
      <c r="E6" s="2981"/>
      <c r="F6" s="2981"/>
      <c r="G6" s="2981"/>
      <c r="H6" s="2981"/>
      <c r="I6" s="2981"/>
    </row>
    <row r="7" spans="1:9" ht="15">
      <c r="A7" s="2979" t="s">
        <v>1640</v>
      </c>
      <c r="B7" s="2979"/>
      <c r="C7" s="2979"/>
      <c r="D7" s="2982" t="str">
        <f>结果表!D121</f>
        <v>零元整</v>
      </c>
      <c r="E7" s="2983"/>
      <c r="F7" s="2983"/>
      <c r="G7" s="2983"/>
      <c r="H7" s="2983"/>
      <c r="I7" s="2984"/>
    </row>
    <row r="8" spans="1:9" ht="15.75">
      <c r="A8" s="2981" t="str">
        <f>结果表!A122</f>
        <v>房地产抵押价值</v>
      </c>
      <c r="B8" s="2981"/>
      <c r="C8" s="2981"/>
      <c r="D8" s="2981">
        <f ca="1">结果表!D122</f>
        <v>324550</v>
      </c>
      <c r="E8" s="2981"/>
      <c r="F8" s="2981"/>
      <c r="G8" s="2981"/>
      <c r="H8" s="2981"/>
      <c r="I8" s="2981"/>
    </row>
    <row r="9" spans="1:9" ht="15">
      <c r="A9" s="2979" t="s">
        <v>1640</v>
      </c>
      <c r="B9" s="2979"/>
      <c r="C9" s="2979"/>
      <c r="D9" s="2980" t="str">
        <f ca="1">结果表!D123</f>
        <v>叁拾贰亿肆仟伍佰伍拾万元整</v>
      </c>
      <c r="E9" s="2980"/>
      <c r="F9" s="2980"/>
      <c r="G9" s="2980"/>
      <c r="H9" s="2980"/>
      <c r="I9" s="2980"/>
    </row>
    <row r="10" spans="1:9" ht="15.75">
      <c r="A10" s="2981" t="str">
        <f>结果表!A124</f>
        <v/>
      </c>
      <c r="B10" s="2981"/>
      <c r="C10" s="2981"/>
      <c r="D10" s="2981" t="str">
        <f>结果表!D124</f>
        <v>——</v>
      </c>
      <c r="E10" s="2981"/>
      <c r="F10" s="2981"/>
      <c r="G10" s="2981"/>
      <c r="H10" s="2981"/>
      <c r="I10" s="2981"/>
    </row>
    <row r="11" spans="1:9" ht="15">
      <c r="A11" s="2979" t="s">
        <v>1640</v>
      </c>
      <c r="B11" s="2979"/>
      <c r="C11" s="2979"/>
      <c r="D11" s="2980" t="e">
        <f>结果表!D125</f>
        <v>#VALUE!</v>
      </c>
      <c r="E11" s="2980"/>
      <c r="F11" s="2980"/>
      <c r="G11" s="2980"/>
      <c r="H11" s="2980"/>
      <c r="I11" s="2980"/>
    </row>
    <row r="12" spans="1:9" ht="15.75">
      <c r="A12" s="2981" t="str">
        <f>结果表!A126</f>
        <v/>
      </c>
      <c r="B12" s="2981"/>
      <c r="C12" s="2981"/>
      <c r="D12" s="2981" t="str">
        <f>结果表!D126</f>
        <v>——</v>
      </c>
      <c r="E12" s="2981"/>
      <c r="F12" s="2981"/>
      <c r="G12" s="2981"/>
      <c r="H12" s="2981"/>
      <c r="I12" s="2981"/>
    </row>
    <row r="13" spans="1:9" ht="15.75" thickBot="1">
      <c r="A13" s="2985" t="s">
        <v>1640</v>
      </c>
      <c r="B13" s="2985"/>
      <c r="C13" s="2985"/>
      <c r="D13" s="2986" t="e">
        <f>结果表!D127</f>
        <v>#VALUE!</v>
      </c>
      <c r="E13" s="2986"/>
      <c r="F13" s="2986"/>
      <c r="G13" s="2986"/>
      <c r="H13" s="2986"/>
      <c r="I13" s="2986"/>
    </row>
    <row r="14" spans="1:9" ht="15" thickTop="1">
      <c r="A14" s="2987" t="s">
        <v>1645</v>
      </c>
      <c r="B14" s="2987"/>
      <c r="C14" s="2987"/>
      <c r="D14" s="2987"/>
      <c r="E14" s="2987"/>
      <c r="F14" s="2987"/>
      <c r="G14" s="2987"/>
      <c r="H14" s="2987"/>
      <c r="I14" s="2987"/>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8" t="s">
        <v>1662</v>
      </c>
      <c r="B1" s="2988"/>
      <c r="C1" s="2988"/>
      <c r="D1" s="2988"/>
    </row>
    <row r="2" spans="1:4" ht="18">
      <c r="A2" s="2989" t="s">
        <v>1646</v>
      </c>
      <c r="B2" s="2989"/>
      <c r="C2" s="2989"/>
      <c r="D2" s="2989"/>
    </row>
    <row r="3" spans="1:4" ht="18.75">
      <c r="A3" s="1979" t="s">
        <v>1647</v>
      </c>
      <c r="B3" s="1979" t="s">
        <v>1648</v>
      </c>
      <c r="C3" s="1979" t="s">
        <v>1649</v>
      </c>
      <c r="D3" s="1979" t="s">
        <v>1650</v>
      </c>
    </row>
    <row r="4" spans="1:4" ht="56.25" customHeight="1">
      <c r="A4" s="1980" t="str">
        <f>项目基本情况!B4</f>
        <v>刘梅</v>
      </c>
      <c r="B4" s="1981">
        <f ca="1">项目基本情况!C4</f>
        <v>1120140022</v>
      </c>
      <c r="C4" s="1982"/>
      <c r="D4" s="1983" t="s">
        <v>1651</v>
      </c>
    </row>
    <row r="5" spans="1:4" ht="56.25" customHeight="1">
      <c r="A5" s="1980" t="str">
        <f>项目基本情况!D4</f>
        <v>吴薇</v>
      </c>
      <c r="B5" s="1981">
        <f ca="1">项目基本情况!E4</f>
        <v>1419970001</v>
      </c>
      <c r="C5" s="1984"/>
      <c r="D5" s="1983" t="s">
        <v>1651</v>
      </c>
    </row>
    <row r="6" spans="1:4" ht="18">
      <c r="A6" s="2989" t="s">
        <v>1652</v>
      </c>
      <c r="B6" s="2989"/>
      <c r="C6" s="2989"/>
      <c r="D6" s="2989"/>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2990" t="s">
        <v>1655</v>
      </c>
      <c r="B11" s="2991"/>
      <c r="C11" s="2991"/>
      <c r="D11" s="2991"/>
    </row>
    <row r="12" spans="1:4" ht="15.75">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2991"/>
      <c r="C15" s="2991"/>
      <c r="D15" s="2991"/>
    </row>
    <row r="16" spans="1:4" ht="30" customHeight="1">
      <c r="A16" s="2994" t="s">
        <v>1656</v>
      </c>
      <c r="B16" s="2994"/>
      <c r="C16" s="2994"/>
      <c r="D16" s="2994"/>
    </row>
    <row r="17" spans="1:4" ht="144" customHeight="1">
      <c r="A17" s="2994" t="s">
        <v>1657</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1658</v>
      </c>
      <c r="B22" s="2996"/>
      <c r="C22" s="2996"/>
      <c r="D22" s="299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2" t="s">
        <v>1669</v>
      </c>
      <c r="B15" s="2997" t="s">
        <v>136</v>
      </c>
      <c r="C15" s="2998"/>
    </row>
    <row r="16" spans="1:7" ht="13.5">
      <c r="A16" s="3003"/>
      <c r="B16" s="2997" t="s">
        <v>69</v>
      </c>
      <c r="C16" s="2998"/>
    </row>
    <row r="17" spans="1:3" ht="13.5">
      <c r="A17" s="3003"/>
      <c r="B17" s="3000" t="s">
        <v>1670</v>
      </c>
      <c r="C17" s="2002" t="s">
        <v>1669</v>
      </c>
    </row>
    <row r="18" spans="1:3" ht="13.5">
      <c r="A18" s="3003"/>
      <c r="B18" s="3000"/>
      <c r="C18" s="2002" t="s">
        <v>1671</v>
      </c>
    </row>
    <row r="19" spans="1:3" ht="13.5">
      <c r="A19" s="3003"/>
      <c r="B19" s="3000"/>
      <c r="C19" s="2002" t="s">
        <v>1672</v>
      </c>
    </row>
    <row r="20" spans="1:3" ht="13.5">
      <c r="A20" s="3004"/>
      <c r="B20" s="2999" t="s">
        <v>1673</v>
      </c>
      <c r="C20" s="2998"/>
    </row>
    <row r="21" spans="1:3" ht="13.5">
      <c r="A21" s="2003" t="s">
        <v>1674</v>
      </c>
      <c r="B21" s="2004"/>
      <c r="C21" s="2005"/>
    </row>
    <row r="22" spans="1:3" ht="13.5">
      <c r="A22" s="3001" t="s">
        <v>1675</v>
      </c>
      <c r="B22" s="2999" t="s">
        <v>1676</v>
      </c>
      <c r="C22" s="2998"/>
    </row>
    <row r="23" spans="1:3" ht="13.5">
      <c r="A23" s="3001"/>
      <c r="B23" s="2999" t="s">
        <v>1677</v>
      </c>
      <c r="C23" s="2998"/>
    </row>
    <row r="24" spans="1:3" ht="13.5">
      <c r="A24" s="3001"/>
      <c r="B24" s="2999" t="s">
        <v>1678</v>
      </c>
      <c r="C24" s="2998"/>
    </row>
    <row r="25" spans="1:3" ht="13.5">
      <c r="A25" s="3001"/>
      <c r="B25" s="3000" t="s">
        <v>1679</v>
      </c>
      <c r="C25" s="2002" t="s">
        <v>1680</v>
      </c>
    </row>
    <row r="26" spans="1:3" ht="13.5">
      <c r="A26" s="3001"/>
      <c r="B26" s="3000"/>
      <c r="C26" s="2002" t="s">
        <v>1681</v>
      </c>
    </row>
    <row r="27" spans="1:3" ht="13.5">
      <c r="A27" s="3001"/>
      <c r="B27" s="3000"/>
      <c r="C27" s="2002" t="s">
        <v>1682</v>
      </c>
    </row>
    <row r="28" spans="1:3" ht="13.5">
      <c r="A28" s="3001"/>
      <c r="B28" s="3000"/>
      <c r="C28" s="2002" t="s">
        <v>1683</v>
      </c>
    </row>
    <row r="29" spans="1:3" ht="13.5">
      <c r="A29" s="3001"/>
      <c r="B29" s="3000"/>
      <c r="C29" s="2002" t="s">
        <v>1684</v>
      </c>
    </row>
    <row r="30" spans="1:3" ht="13.5">
      <c r="A30" s="3001"/>
      <c r="B30" s="3000"/>
      <c r="C30" s="2002" t="s">
        <v>1685</v>
      </c>
    </row>
    <row r="31" spans="1:3" ht="13.5">
      <c r="A31" s="3001"/>
      <c r="B31" s="3000"/>
      <c r="C31" s="2002" t="s">
        <v>1686</v>
      </c>
    </row>
    <row r="32" spans="1:3" ht="13.5">
      <c r="A32" s="3001"/>
      <c r="B32" s="3000"/>
      <c r="C32" s="2002" t="s">
        <v>1687</v>
      </c>
    </row>
    <row r="33" spans="1:3" ht="13.5">
      <c r="A33" s="3001"/>
      <c r="B33" s="3000"/>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43241</v>
      </c>
      <c r="C2" s="1022" t="s">
        <v>826</v>
      </c>
      <c r="D2" s="1022"/>
    </row>
    <row r="3" spans="1:6" ht="24" customHeight="1">
      <c r="A3" s="1023" t="s">
        <v>827</v>
      </c>
      <c r="B3" s="1024" t="s">
        <v>828</v>
      </c>
      <c r="C3" s="2346" t="s">
        <v>829</v>
      </c>
      <c r="D3" s="2349" t="s">
        <v>830</v>
      </c>
      <c r="E3" s="1025" t="s">
        <v>831</v>
      </c>
      <c r="F3" s="1024" t="s">
        <v>829</v>
      </c>
    </row>
    <row r="4" spans="1:6" ht="24" customHeight="1">
      <c r="A4" s="1704" t="s">
        <v>832</v>
      </c>
      <c r="B4" s="1025">
        <f ca="1">IF(C4&lt;B2,"已过期",1119970066)</f>
        <v>1119970066</v>
      </c>
      <c r="C4" s="2347">
        <v>43849</v>
      </c>
      <c r="D4" s="2350" t="s">
        <v>832</v>
      </c>
      <c r="E4" s="1025">
        <f ca="1">IF(F4&lt;B2,"已过期",96010014)</f>
        <v>96010014</v>
      </c>
      <c r="F4" s="1033">
        <v>47118</v>
      </c>
    </row>
    <row r="5" spans="1:6" ht="24" customHeight="1">
      <c r="A5" s="1704" t="s">
        <v>833</v>
      </c>
      <c r="B5" s="1025">
        <f ca="1">IF(C5&lt;B2,"已过期",1119970074)</f>
        <v>1119970074</v>
      </c>
      <c r="C5" s="2347">
        <v>43849</v>
      </c>
      <c r="D5" s="2350" t="s">
        <v>833</v>
      </c>
      <c r="E5" s="1025">
        <f ca="1">IF(F5&lt;B2,"已过期",2002110027)</f>
        <v>2002110027</v>
      </c>
      <c r="F5" s="1033">
        <v>46752</v>
      </c>
    </row>
    <row r="6" spans="1:6" ht="24" customHeight="1">
      <c r="A6" s="1704" t="s">
        <v>834</v>
      </c>
      <c r="B6" s="1025">
        <f ca="1">IF(C6&lt;B2,"已过期",1119970111)</f>
        <v>1119970111</v>
      </c>
      <c r="C6" s="2347">
        <v>43849</v>
      </c>
      <c r="D6" s="2350" t="s">
        <v>834</v>
      </c>
      <c r="E6" s="1025">
        <f ca="1">IF(F6&lt;B2,"已过期",94010078)</f>
        <v>94010078</v>
      </c>
      <c r="F6" s="1033">
        <v>46387</v>
      </c>
    </row>
    <row r="7" spans="1:6" ht="24" customHeight="1">
      <c r="A7" s="1704" t="s">
        <v>835</v>
      </c>
      <c r="B7" s="1025">
        <f ca="1">IF(C7&lt;B2,"已过期",1120050019)</f>
        <v>1120050019</v>
      </c>
      <c r="C7" s="2347">
        <v>43359</v>
      </c>
      <c r="D7" s="2350" t="s">
        <v>835</v>
      </c>
      <c r="E7" s="1025">
        <f ca="1">IF(F7&lt;B2,"已过期",2002110030)</f>
        <v>2002110030</v>
      </c>
      <c r="F7" s="1033">
        <v>46387</v>
      </c>
    </row>
    <row r="8" spans="1:6" ht="24" customHeight="1">
      <c r="A8" s="1704" t="s">
        <v>836</v>
      </c>
      <c r="B8" s="1025">
        <f ca="1">IF(C8&lt;B2,"已过期",1120000080)</f>
        <v>1120000080</v>
      </c>
      <c r="C8" s="2347">
        <v>43849</v>
      </c>
      <c r="D8" s="2350" t="s">
        <v>836</v>
      </c>
      <c r="E8" s="1025">
        <f ca="1">IF(F8&lt;B2,"已过期",2000110082)</f>
        <v>2000110082</v>
      </c>
      <c r="F8" s="1033">
        <v>46387</v>
      </c>
    </row>
    <row r="9" spans="1:6" ht="24" customHeight="1">
      <c r="A9" s="1704" t="s">
        <v>837</v>
      </c>
      <c r="B9" s="1025">
        <f ca="1">IF(C9&lt;B2,"已过期",1419970001)</f>
        <v>1419970001</v>
      </c>
      <c r="C9" s="2347">
        <v>43867</v>
      </c>
      <c r="D9" s="2350" t="s">
        <v>837</v>
      </c>
      <c r="E9" s="1025">
        <f ca="1">IF(F9&lt;B2,"已过期",2002110125)</f>
        <v>2002110125</v>
      </c>
      <c r="F9" s="1033">
        <v>47118</v>
      </c>
    </row>
    <row r="10" spans="1:6" ht="24" customHeight="1">
      <c r="A10" s="1704" t="s">
        <v>838</v>
      </c>
      <c r="B10" s="1025">
        <f ca="1">IF(C10&lt;B2,"已过期",1120060040)</f>
        <v>1120060040</v>
      </c>
      <c r="C10" s="2347">
        <v>43483</v>
      </c>
      <c r="D10" s="2350" t="s">
        <v>838</v>
      </c>
      <c r="E10" s="1025">
        <f ca="1">IF(F10&lt;B2,"已过期",2004110096)</f>
        <v>2004110096</v>
      </c>
      <c r="F10" s="1033">
        <v>47118</v>
      </c>
    </row>
    <row r="11" spans="1:6" ht="24" customHeight="1">
      <c r="A11" s="1704" t="s">
        <v>839</v>
      </c>
      <c r="B11" s="1025">
        <f ca="1">IF(C11&lt;B2,"已过期",1120100036)</f>
        <v>1120100036</v>
      </c>
      <c r="C11" s="2347">
        <v>43622</v>
      </c>
      <c r="D11" s="2350" t="s">
        <v>839</v>
      </c>
      <c r="E11" s="1025">
        <f ca="1">IF(F11&lt;B2,"已过期",2010110070)</f>
        <v>2010110070</v>
      </c>
      <c r="F11" s="1033">
        <v>47907</v>
      </c>
    </row>
    <row r="12" spans="1:6" ht="24" customHeight="1">
      <c r="A12" s="1704" t="s">
        <v>3030</v>
      </c>
      <c r="B12" s="1025">
        <v>1120110054</v>
      </c>
      <c r="C12" s="2943">
        <v>43937</v>
      </c>
      <c r="D12" s="1704" t="s">
        <v>3030</v>
      </c>
      <c r="E12" s="1025">
        <v>2008110060</v>
      </c>
      <c r="F12" s="1033">
        <v>47177</v>
      </c>
    </row>
    <row r="13" spans="1:6" ht="24" customHeight="1">
      <c r="A13" s="1704" t="s">
        <v>840</v>
      </c>
      <c r="B13" s="1025">
        <f ca="1">IF(C13&lt;B2,"已过期",1120070131)</f>
        <v>1120070131</v>
      </c>
      <c r="C13" s="2347">
        <v>43814</v>
      </c>
      <c r="D13" s="2350" t="s">
        <v>840</v>
      </c>
      <c r="E13" s="1025">
        <v>2014110011</v>
      </c>
      <c r="F13" s="1033">
        <v>49302</v>
      </c>
    </row>
    <row r="14" spans="1:6" ht="24" customHeight="1">
      <c r="A14" s="1704" t="s">
        <v>841</v>
      </c>
      <c r="B14" s="1025">
        <f ca="1">IF(C14&lt;B2,"已过期",1120130020)</f>
        <v>1120130020</v>
      </c>
      <c r="C14" s="2347">
        <v>43622</v>
      </c>
      <c r="D14" s="2350"/>
      <c r="E14" s="1025"/>
      <c r="F14" s="1025"/>
    </row>
    <row r="15" spans="1:6" ht="24" customHeight="1">
      <c r="A15" s="1705" t="s">
        <v>1149</v>
      </c>
      <c r="B15" s="1025">
        <v>1120070085</v>
      </c>
      <c r="C15" s="2347">
        <v>43814</v>
      </c>
      <c r="D15" s="2351" t="s">
        <v>1149</v>
      </c>
      <c r="E15" s="1025">
        <v>2004110128</v>
      </c>
      <c r="F15" s="1026">
        <v>47118</v>
      </c>
    </row>
    <row r="16" spans="1:6" ht="24" customHeight="1">
      <c r="A16" s="1704" t="s">
        <v>842</v>
      </c>
      <c r="B16" s="1025">
        <f ca="1">IF(C16&lt;B2,"已过期",1120140022)</f>
        <v>1120140022</v>
      </c>
      <c r="C16" s="2347">
        <v>44029</v>
      </c>
      <c r="D16" s="2350" t="s">
        <v>842</v>
      </c>
      <c r="E16" s="1025">
        <f ca="1">IF(F16&lt;B2,"已过期",2008110059)</f>
        <v>2008110059</v>
      </c>
      <c r="F16" s="1033">
        <v>47177</v>
      </c>
    </row>
    <row r="17" spans="1:7" ht="24" customHeight="1">
      <c r="A17" s="1704"/>
      <c r="B17" s="1025"/>
      <c r="C17" s="2347"/>
      <c r="D17" s="2350"/>
      <c r="E17" s="1025"/>
      <c r="F17" s="1033"/>
    </row>
    <row r="18" spans="1:7" ht="24" customHeight="1">
      <c r="A18" s="1704"/>
      <c r="B18" s="1025"/>
      <c r="C18" s="2347"/>
      <c r="D18" s="2350"/>
      <c r="E18" s="1025"/>
      <c r="F18" s="1033"/>
    </row>
    <row r="19" spans="1:7" ht="24" customHeight="1">
      <c r="A19" s="1704"/>
      <c r="B19" s="1025"/>
      <c r="C19" s="2347"/>
      <c r="D19" s="2350"/>
      <c r="E19" s="1025"/>
      <c r="F19" s="1025"/>
    </row>
    <row r="20" spans="1:7" ht="24" customHeight="1">
      <c r="A20" s="1704"/>
      <c r="B20" s="1025"/>
      <c r="C20" s="2347"/>
      <c r="D20" s="2350"/>
      <c r="E20" s="1025"/>
      <c r="F20" s="1025"/>
    </row>
    <row r="21" spans="1:7" ht="24" customHeight="1">
      <c r="A21" s="1704"/>
      <c r="B21" s="1025"/>
      <c r="C21" s="2347"/>
      <c r="D21" s="2350" t="s">
        <v>843</v>
      </c>
      <c r="E21" s="1025">
        <f ca="1">IF(F21&lt;B2,"已过期",2011110090)</f>
        <v>2011110090</v>
      </c>
      <c r="F21" s="1033">
        <v>48302</v>
      </c>
    </row>
    <row r="22" spans="1:7" ht="24" customHeight="1">
      <c r="A22" s="1704" t="s">
        <v>844</v>
      </c>
      <c r="B22" s="1025">
        <f ca="1">IF(C22&lt;B2,"已过期",1120020033)</f>
        <v>1120020033</v>
      </c>
      <c r="C22" s="2347">
        <v>43304</v>
      </c>
      <c r="D22" s="2350" t="s">
        <v>844</v>
      </c>
      <c r="E22" s="1025">
        <f ca="1">IF(F22&lt;B2,"已过期",2000110137)</f>
        <v>2000110137</v>
      </c>
      <c r="F22" s="1033">
        <v>46387</v>
      </c>
    </row>
    <row r="23" spans="1:7" ht="24" customHeight="1">
      <c r="A23" s="1704" t="s">
        <v>845</v>
      </c>
      <c r="B23" s="1025">
        <f ca="1">IF(C23&lt;B2,"已过期",1120130048)</f>
        <v>1120130048</v>
      </c>
      <c r="C23" s="2347">
        <v>43686</v>
      </c>
      <c r="D23" s="2350"/>
      <c r="E23" s="1025"/>
      <c r="F23" s="1025"/>
    </row>
    <row r="24" spans="1:7" s="1027" customFormat="1" ht="24" customHeight="1">
      <c r="A24" s="1705" t="s">
        <v>1333</v>
      </c>
      <c r="B24" s="1705" t="s">
        <v>1333</v>
      </c>
      <c r="C24" s="2348" t="s">
        <v>1333</v>
      </c>
      <c r="D24" s="2351" t="s">
        <v>1333</v>
      </c>
      <c r="E24" s="1705" t="s">
        <v>1333</v>
      </c>
      <c r="F24" s="1705" t="s">
        <v>1333</v>
      </c>
    </row>
    <row r="25" spans="1:7" ht="24" customHeight="1">
      <c r="A25" s="3005" t="s">
        <v>846</v>
      </c>
      <c r="B25" s="3005"/>
      <c r="C25" s="3005"/>
      <c r="D25" s="3005"/>
      <c r="E25" s="3005"/>
      <c r="F25" s="3005"/>
      <c r="G25" s="3005"/>
    </row>
    <row r="26" spans="1:7" s="1028" customFormat="1" ht="24" customHeight="1">
      <c r="A26" s="3006" t="s">
        <v>847</v>
      </c>
      <c r="B26" s="3006"/>
      <c r="C26" s="3007"/>
      <c r="D26" s="3008" t="s">
        <v>848</v>
      </c>
      <c r="E26" s="3006"/>
      <c r="F26" s="3006"/>
    </row>
    <row r="27" spans="1:7" s="1030" customFormat="1" ht="24" customHeight="1">
      <c r="A27" s="1029" t="s">
        <v>849</v>
      </c>
      <c r="B27" s="1024" t="s">
        <v>850</v>
      </c>
      <c r="C27" s="2346" t="s">
        <v>851</v>
      </c>
      <c r="D27" s="2354" t="s">
        <v>849</v>
      </c>
      <c r="E27" s="1024" t="s">
        <v>850</v>
      </c>
      <c r="F27" s="1024" t="s">
        <v>851</v>
      </c>
    </row>
    <row r="28" spans="1:7" s="1030" customFormat="1" ht="24" customHeight="1">
      <c r="A28" s="1031" t="s">
        <v>852</v>
      </c>
      <c r="B28" s="1032" t="s">
        <v>853</v>
      </c>
      <c r="C28" s="2352">
        <v>43725</v>
      </c>
      <c r="D28" s="2355" t="s">
        <v>854</v>
      </c>
      <c r="E28" s="1031" t="s">
        <v>855</v>
      </c>
      <c r="F28" s="1061">
        <v>44377</v>
      </c>
    </row>
    <row r="29" spans="1:7" s="1030" customFormat="1" ht="24" customHeight="1">
      <c r="A29" s="1031"/>
      <c r="B29" s="1031"/>
      <c r="C29" s="2353"/>
      <c r="D29" s="2355"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6" priority="62">
      <formula>AND($C28-TODAY()&lt;30,TODAY()&lt;$C28)</formula>
    </cfRule>
  </conditionalFormatting>
  <conditionalFormatting sqref="C28 F4">
    <cfRule type="cellIs" dxfId="195" priority="64" stopIfTrue="1" operator="lessThan">
      <formula>$B$2</formula>
    </cfRule>
  </conditionalFormatting>
  <conditionalFormatting sqref="C5">
    <cfRule type="expression" dxfId="194" priority="59">
      <formula>AND($C5-TODAY()&lt;30,TODAY()&lt;$C5)</formula>
    </cfRule>
  </conditionalFormatting>
  <conditionalFormatting sqref="C5 F5">
    <cfRule type="cellIs" dxfId="193" priority="60" stopIfTrue="1" operator="lessThan">
      <formula>$B$2</formula>
    </cfRule>
  </conditionalFormatting>
  <conditionalFormatting sqref="F6 F8 F10">
    <cfRule type="cellIs" dxfId="192" priority="58" stopIfTrue="1" operator="lessThan">
      <formula>$B$2</formula>
    </cfRule>
  </conditionalFormatting>
  <conditionalFormatting sqref="C4:C11 C13:C23">
    <cfRule type="expression" dxfId="191" priority="56">
      <formula>AND($C4-TODAY()&lt;30,TODAY()&lt;$C4)</formula>
    </cfRule>
  </conditionalFormatting>
  <conditionalFormatting sqref="F7 F9 F11 C4:C11 C13:C23">
    <cfRule type="cellIs" dxfId="190" priority="57" stopIfTrue="1" operator="lessThan">
      <formula>$B$2</formula>
    </cfRule>
  </conditionalFormatting>
  <conditionalFormatting sqref="C14">
    <cfRule type="expression" dxfId="189" priority="50">
      <formula>AND($C14-TODAY()&lt;30,TODAY()&lt;$C14)</formula>
    </cfRule>
  </conditionalFormatting>
  <conditionalFormatting sqref="C14">
    <cfRule type="cellIs" dxfId="188" priority="51" stopIfTrue="1" operator="lessThan">
      <formula>$B$2</formula>
    </cfRule>
  </conditionalFormatting>
  <conditionalFormatting sqref="C16">
    <cfRule type="expression" dxfId="187" priority="48">
      <formula>AND($C16-TODAY()&lt;30,TODAY()&lt;$C16)</formula>
    </cfRule>
  </conditionalFormatting>
  <conditionalFormatting sqref="C16">
    <cfRule type="cellIs" dxfId="186" priority="49" stopIfTrue="1" operator="lessThan">
      <formula>$B$2</formula>
    </cfRule>
  </conditionalFormatting>
  <conditionalFormatting sqref="C18">
    <cfRule type="expression" dxfId="185" priority="46">
      <formula>AND($C18-TODAY()&lt;30,TODAY()&lt;$C18)</formula>
    </cfRule>
  </conditionalFormatting>
  <conditionalFormatting sqref="C18">
    <cfRule type="cellIs" dxfId="184" priority="47" stopIfTrue="1" operator="lessThan">
      <formula>$B$2</formula>
    </cfRule>
  </conditionalFormatting>
  <conditionalFormatting sqref="C20">
    <cfRule type="expression" dxfId="183" priority="44">
      <formula>AND($C20-TODAY()&lt;30,TODAY()&lt;$C20)</formula>
    </cfRule>
  </conditionalFormatting>
  <conditionalFormatting sqref="C20">
    <cfRule type="cellIs" dxfId="182" priority="45" stopIfTrue="1" operator="lessThan">
      <formula>$B$2</formula>
    </cfRule>
  </conditionalFormatting>
  <conditionalFormatting sqref="C22">
    <cfRule type="expression" dxfId="181" priority="42">
      <formula>AND($C22-TODAY()&lt;30,TODAY()&lt;$C22)</formula>
    </cfRule>
  </conditionalFormatting>
  <conditionalFormatting sqref="C22">
    <cfRule type="cellIs" dxfId="180" priority="43" stopIfTrue="1" operator="lessThan">
      <formula>$B$2</formula>
    </cfRule>
  </conditionalFormatting>
  <conditionalFormatting sqref="C15">
    <cfRule type="expression" dxfId="179" priority="40">
      <formula>AND($C15-TODAY()&lt;30,TODAY()&lt;$C15)</formula>
    </cfRule>
  </conditionalFormatting>
  <conditionalFormatting sqref="C15">
    <cfRule type="cellIs" dxfId="178" priority="41" stopIfTrue="1" operator="lessThan">
      <formula>$B$2</formula>
    </cfRule>
  </conditionalFormatting>
  <conditionalFormatting sqref="C17">
    <cfRule type="expression" dxfId="177" priority="38">
      <formula>AND($C17-TODAY()&lt;30,TODAY()&lt;$C17)</formula>
    </cfRule>
  </conditionalFormatting>
  <conditionalFormatting sqref="C17">
    <cfRule type="cellIs" dxfId="176" priority="39" stopIfTrue="1" operator="lessThan">
      <formula>$B$2</formula>
    </cfRule>
  </conditionalFormatting>
  <conditionalFormatting sqref="C19">
    <cfRule type="expression" dxfId="175" priority="36">
      <formula>AND($C19-TODAY()&lt;30,TODAY()&lt;$C19)</formula>
    </cfRule>
  </conditionalFormatting>
  <conditionalFormatting sqref="C19">
    <cfRule type="cellIs" dxfId="174" priority="37" stopIfTrue="1" operator="lessThan">
      <formula>$B$2</formula>
    </cfRule>
  </conditionalFormatting>
  <conditionalFormatting sqref="C21">
    <cfRule type="expression" dxfId="173" priority="34">
      <formula>AND($C21-TODAY()&lt;30,TODAY()&lt;$C21)</formula>
    </cfRule>
  </conditionalFormatting>
  <conditionalFormatting sqref="C21">
    <cfRule type="cellIs" dxfId="172" priority="35" stopIfTrue="1" operator="lessThan">
      <formula>$B$2</formula>
    </cfRule>
  </conditionalFormatting>
  <conditionalFormatting sqref="C23">
    <cfRule type="expression" dxfId="171" priority="32">
      <formula>AND($C23-TODAY()&lt;30,TODAY()&lt;$C23)</formula>
    </cfRule>
  </conditionalFormatting>
  <conditionalFormatting sqref="C23">
    <cfRule type="cellIs" dxfId="170" priority="33" stopIfTrue="1" operator="lessThan">
      <formula>$B$2</formula>
    </cfRule>
  </conditionalFormatting>
  <conditionalFormatting sqref="F16">
    <cfRule type="cellIs" dxfId="169" priority="30" stopIfTrue="1" operator="lessThan">
      <formula>$B$2</formula>
    </cfRule>
  </conditionalFormatting>
  <conditionalFormatting sqref="F18">
    <cfRule type="cellIs" dxfId="168" priority="29" stopIfTrue="1" operator="lessThan">
      <formula>$B$2</formula>
    </cfRule>
  </conditionalFormatting>
  <conditionalFormatting sqref="F22">
    <cfRule type="cellIs" dxfId="167" priority="28" stopIfTrue="1" operator="lessThan">
      <formula>$B$2</formula>
    </cfRule>
  </conditionalFormatting>
  <conditionalFormatting sqref="F21">
    <cfRule type="cellIs" dxfId="166" priority="27" stopIfTrue="1" operator="lessThan">
      <formula>$B$2</formula>
    </cfRule>
  </conditionalFormatting>
  <conditionalFormatting sqref="F17">
    <cfRule type="cellIs" dxfId="165" priority="26" stopIfTrue="1" operator="lessThan">
      <formula>$B$2</formula>
    </cfRule>
  </conditionalFormatting>
  <conditionalFormatting sqref="B4:B11 E4:E11 B16:B23 E16:E23 B13:B14 E13:E14">
    <cfRule type="cellIs" dxfId="164" priority="25" stopIfTrue="1" operator="equal">
      <formula>"已过期"</formula>
    </cfRule>
  </conditionalFormatting>
  <conditionalFormatting sqref="A24:F24">
    <cfRule type="cellIs" dxfId="163" priority="21" stopIfTrue="1" operator="equal">
      <formula>"已过期"</formula>
    </cfRule>
  </conditionalFormatting>
  <conditionalFormatting sqref="F28">
    <cfRule type="expression" dxfId="162" priority="19">
      <formula>AND($E28-TODAY()&lt;30,TODAY()&lt;$E28)</formula>
    </cfRule>
  </conditionalFormatting>
  <conditionalFormatting sqref="F28">
    <cfRule type="cellIs" dxfId="161" priority="20" stopIfTrue="1" operator="lessThan">
      <formula>$B$2</formula>
    </cfRule>
  </conditionalFormatting>
  <conditionalFormatting sqref="F29">
    <cfRule type="expression" dxfId="160" priority="15" stopIfTrue="1">
      <formula>AND($E29-TODAY()&lt;30,TODAY()&lt;$E29)</formula>
    </cfRule>
  </conditionalFormatting>
  <conditionalFormatting sqref="F29">
    <cfRule type="cellIs" dxfId="159" priority="16" stopIfTrue="1" operator="lessThan">
      <formula>$B$2</formula>
    </cfRule>
  </conditionalFormatting>
  <conditionalFormatting sqref="B15">
    <cfRule type="cellIs" dxfId="158" priority="13" stopIfTrue="1" operator="equal">
      <formula>"已过期"</formula>
    </cfRule>
  </conditionalFormatting>
  <conditionalFormatting sqref="A15">
    <cfRule type="cellIs" dxfId="157" priority="12" stopIfTrue="1" operator="equal">
      <formula>"已过期"</formula>
    </cfRule>
  </conditionalFormatting>
  <conditionalFormatting sqref="C15">
    <cfRule type="expression" dxfId="156" priority="11">
      <formula>AND($C15-TODAY()&lt;30,TODAY()&lt;$C15)</formula>
    </cfRule>
  </conditionalFormatting>
  <conditionalFormatting sqref="E15">
    <cfRule type="cellIs" dxfId="155" priority="10" stopIfTrue="1" operator="equal">
      <formula>"已过期"</formula>
    </cfRule>
  </conditionalFormatting>
  <conditionalFormatting sqref="D15">
    <cfRule type="cellIs" dxfId="154" priority="9" stopIfTrue="1" operator="equal">
      <formula>"已过期"</formula>
    </cfRule>
  </conditionalFormatting>
  <conditionalFormatting sqref="F13">
    <cfRule type="cellIs" dxfId="153" priority="8" stopIfTrue="1" operator="lessThan">
      <formula>$B$2</formula>
    </cfRule>
  </conditionalFormatting>
  <conditionalFormatting sqref="C12">
    <cfRule type="expression" dxfId="152" priority="6">
      <formula>AND($C12-TODAY()&lt;30,TODAY()&lt;$C12)</formula>
    </cfRule>
  </conditionalFormatting>
  <conditionalFormatting sqref="C12">
    <cfRule type="cellIs" dxfId="151" priority="7" stopIfTrue="1" operator="lessThan">
      <formula>$B$2</formula>
    </cfRule>
  </conditionalFormatting>
  <conditionalFormatting sqref="C12">
    <cfRule type="expression" dxfId="150" priority="4">
      <formula>AND($C12-TODAY()&lt;30,TODAY()&lt;$C12)</formula>
    </cfRule>
  </conditionalFormatting>
  <conditionalFormatting sqref="C12">
    <cfRule type="cellIs" dxfId="149" priority="5" stopIfTrue="1" operator="lessThan">
      <formula>$B$2</formula>
    </cfRule>
  </conditionalFormatting>
  <conditionalFormatting sqref="B12">
    <cfRule type="cellIs" dxfId="148" priority="3" stopIfTrue="1" operator="equal">
      <formula>"已过期"</formula>
    </cfRule>
  </conditionalFormatting>
  <conditionalFormatting sqref="E12">
    <cfRule type="cellIs" dxfId="147" priority="2" stopIfTrue="1" operator="equal">
      <formula>"已过期"</formula>
    </cfRule>
  </conditionalFormatting>
  <conditionalFormatting sqref="F12">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为估价委托人在向中国建设银行股份有限公司北京城建支行办理贷款手续过程中，确定房地产抵押贷款额度提供参考依据而评估房地产抵押价值。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龙湖兴润置业有限公司拟使用北京市大兴区永兴路7号院1号楼-3层至4层101号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0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15日，估价对象规划用途为商业、地下商业、地下车库土地取得方式为出让，出让国有建设用地使用权剩余土地使用年限为XX年(多用途剩余年限尾数不同时，可只体现小数点后一位)，假定未设立法定优先受偿款下的房地产市场价值。</v>
      </c>
    </row>
    <row r="54" spans="1:4">
      <c r="A54" s="3009"/>
      <c r="B54" s="2024" t="s">
        <v>864</v>
      </c>
      <c r="C54" s="2021" t="s">
        <v>1281</v>
      </c>
    </row>
    <row r="55" spans="1:4">
      <c r="A55" s="3009"/>
      <c r="B55" s="2024" t="s">
        <v>865</v>
      </c>
      <c r="C55" s="2021" t="s">
        <v>1282</v>
      </c>
    </row>
    <row r="56" spans="1:4">
      <c r="A56" s="3009"/>
      <c r="B56" s="2024" t="s">
        <v>866</v>
      </c>
      <c r="C56" s="2021" t="s">
        <v>1286</v>
      </c>
    </row>
    <row r="57" spans="1:4">
      <c r="A57" s="300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10" t="str">
        <f>IF(B10="北京市","北京市",C10)&amp;F10&amp;IF(结果表!G1="在建","出让国有建设用地使用权及在建建筑物",IF(结果表!G1="土地","出让国有建设用地使用权",))&amp;B9&amp;"预评估"</f>
        <v>北京市大兴区永兴路7号院1号楼-3层至4层101号房地产抵押价值预评估</v>
      </c>
      <c r="C1" s="3011"/>
      <c r="D1" s="3011"/>
      <c r="E1" s="3011"/>
      <c r="F1" s="3011"/>
      <c r="G1" s="3011"/>
      <c r="H1" s="3011"/>
      <c r="I1" s="3012"/>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北京市大兴区永兴路7号院1号楼-3层至4层101号房地产抵押价值</v>
      </c>
    </row>
    <row r="2" spans="1:19" ht="18" customHeight="1">
      <c r="A2" s="2028" t="s">
        <v>1777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北京市大兴区永兴路7号院1号楼-3层至4层101号房地产</v>
      </c>
    </row>
    <row r="3" spans="1:19" ht="18" customHeight="1">
      <c r="A3" s="2037" t="s">
        <v>1778</v>
      </c>
      <c r="B3" s="2038">
        <v>43235</v>
      </c>
      <c r="C3" s="2039" t="s">
        <v>1779</v>
      </c>
      <c r="D3" s="2038">
        <f>B3</f>
        <v>43235</v>
      </c>
      <c r="E3" s="2028"/>
      <c r="F3" s="2028"/>
      <c r="G3" s="2028"/>
      <c r="H3" s="2028"/>
      <c r="I3" s="2028"/>
      <c r="J3" s="2028"/>
      <c r="K3" s="2029"/>
      <c r="L3" s="2030"/>
      <c r="M3" s="2030"/>
      <c r="N3" s="2031"/>
      <c r="O3" s="2032"/>
      <c r="P3" s="2031"/>
      <c r="Q3" s="2031"/>
      <c r="R3" s="2031"/>
      <c r="S3" s="2033"/>
    </row>
    <row r="4" spans="1:19" ht="18" customHeight="1" thickBot="1">
      <c r="A4" s="2040" t="s">
        <v>1780</v>
      </c>
      <c r="B4" s="2041" t="s">
        <v>3031</v>
      </c>
      <c r="C4" s="1040">
        <f ca="1">SUMIF(注册房地产估价师,B4,估价师及机构信息!B3:B24)</f>
        <v>1120140022</v>
      </c>
      <c r="D4" s="2041" t="s">
        <v>3032</v>
      </c>
      <c r="E4" s="1041">
        <f ca="1">SUMIF(注册房地产估价师,D4,估价师及机构信息!B3:B24)</f>
        <v>1419970001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刘梅（注册号：1120140022)、吴薇（注册号：1419970001)</v>
      </c>
      <c r="L4" s="2030"/>
      <c r="M4" s="2030"/>
      <c r="N4" s="2031"/>
      <c r="O4" s="2032"/>
      <c r="P4" s="2031"/>
      <c r="Q4" s="2031"/>
      <c r="R4" s="2031"/>
      <c r="S4" s="2033"/>
    </row>
    <row r="5" spans="1:19" ht="18" customHeight="1" thickTop="1">
      <c r="A5" s="2046" t="s">
        <v>1781</v>
      </c>
      <c r="B5" s="2944" t="s">
        <v>3034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45" t="s">
        <v>3033</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46" t="s">
        <v>3035</v>
      </c>
      <c r="C7" s="2050"/>
      <c r="D7" s="2051"/>
      <c r="E7" s="2036"/>
      <c r="F7" s="2044"/>
      <c r="G7" s="2044"/>
      <c r="H7" s="2044"/>
      <c r="I7" s="2044"/>
      <c r="J7" s="2044"/>
      <c r="K7" s="2053"/>
      <c r="L7" s="2030"/>
      <c r="M7" s="2030"/>
      <c r="N7" s="2031"/>
      <c r="O7" s="2032"/>
      <c r="P7" s="2031"/>
      <c r="Q7" s="2031"/>
      <c r="R7" s="2031"/>
    </row>
    <row r="8" spans="1:19" ht="18" customHeight="1">
      <c r="A8" s="2049" t="s">
        <v>1784</v>
      </c>
      <c r="B8" s="2054" t="s">
        <v>3036</v>
      </c>
      <c r="C8" s="2055"/>
      <c r="D8" s="3013" t="s">
        <v>1785</v>
      </c>
      <c r="E8" s="2056" t="s">
        <v>3037</v>
      </c>
      <c r="F8" s="2057"/>
      <c r="G8" s="2028"/>
      <c r="H8" s="2028"/>
      <c r="I8" s="2028"/>
      <c r="J8" s="2044"/>
      <c r="K8" s="2045"/>
      <c r="L8" s="2030"/>
      <c r="M8" s="2030"/>
      <c r="N8" s="2031"/>
      <c r="O8" s="2032"/>
      <c r="P8" s="2031"/>
      <c r="Q8" s="2031"/>
      <c r="R8" s="2031"/>
    </row>
    <row r="9" spans="1:19" ht="18" customHeight="1" thickBot="1">
      <c r="A9" s="2042" t="s">
        <v>1786</v>
      </c>
      <c r="B9" s="2058" t="s">
        <v>3037</v>
      </c>
      <c r="C9" s="2059"/>
      <c r="D9" s="3014"/>
      <c r="E9" s="2058" t="s">
        <v>70</v>
      </c>
      <c r="F9" s="2060"/>
      <c r="G9" s="2061"/>
      <c r="H9" s="2061"/>
      <c r="I9" s="2061"/>
      <c r="J9" s="2044"/>
      <c r="K9" s="2053"/>
      <c r="L9" s="2030"/>
      <c r="M9" s="2030"/>
      <c r="N9" s="2031"/>
      <c r="O9" s="2032"/>
      <c r="P9" s="2031"/>
      <c r="Q9" s="2031"/>
      <c r="R9" s="2031"/>
    </row>
    <row r="10" spans="1:19" ht="18" customHeight="1" thickTop="1">
      <c r="A10" s="2062" t="s">
        <v>1787</v>
      </c>
      <c r="B10" s="2063" t="s">
        <v>3038</v>
      </c>
      <c r="C10" s="2064"/>
      <c r="D10" s="2048"/>
      <c r="E10" s="2065" t="s">
        <v>1788</v>
      </c>
      <c r="F10" s="2947" t="s">
        <v>3039</v>
      </c>
      <c r="G10" s="2066"/>
      <c r="H10" s="2067"/>
      <c r="I10" s="2048"/>
      <c r="J10" s="2044"/>
      <c r="K10" s="2053"/>
      <c r="L10" s="2030"/>
      <c r="M10" s="2030"/>
      <c r="N10" s="2031"/>
      <c r="O10" s="2032"/>
      <c r="P10" s="2031"/>
      <c r="Q10" s="2031"/>
      <c r="R10" s="2031"/>
    </row>
    <row r="11" spans="1:19" ht="18" customHeight="1">
      <c r="A11" s="2068" t="s">
        <v>1789</v>
      </c>
      <c r="B11" s="2069" t="s">
        <v>3040</v>
      </c>
      <c r="C11" s="2070" t="str">
        <f>B5</f>
        <v>北京龙湖兴润置业有限公司</v>
      </c>
      <c r="D11" s="2071"/>
      <c r="E11" s="2044"/>
      <c r="F11" s="2044"/>
      <c r="G11" s="2044"/>
      <c r="H11" s="2044"/>
      <c r="I11" s="2044"/>
      <c r="J11" s="2044"/>
      <c r="K11" s="2053"/>
      <c r="L11" s="2030"/>
      <c r="M11" s="2030"/>
      <c r="N11" s="2031"/>
      <c r="O11" s="2032"/>
      <c r="P11" s="2031"/>
      <c r="Q11" s="2031"/>
      <c r="R11" s="2031"/>
    </row>
    <row r="12" spans="1:19" ht="18" customHeight="1">
      <c r="A12" s="2072" t="s">
        <v>1790</v>
      </c>
      <c r="B12" s="2069" t="s">
        <v>3041</v>
      </c>
      <c r="C12" s="2073" t="s">
        <v>1791</v>
      </c>
      <c r="D12" s="2074" t="s">
        <v>1792</v>
      </c>
      <c r="E12" s="2074" t="s">
        <v>1793</v>
      </c>
      <c r="F12" s="2074" t="s">
        <v>1794</v>
      </c>
      <c r="G12" s="2074" t="s">
        <v>1795</v>
      </c>
      <c r="H12" s="2074" t="s">
        <v>1796</v>
      </c>
      <c r="I12" s="2074" t="s">
        <v>1797</v>
      </c>
      <c r="J12" s="2044"/>
      <c r="K12" s="2053"/>
      <c r="L12" s="2030"/>
      <c r="M12" s="2030"/>
      <c r="N12" s="2031"/>
      <c r="O12" s="2032"/>
      <c r="P12" s="2031"/>
      <c r="Q12" s="2031"/>
      <c r="R12" s="2031"/>
    </row>
    <row r="13" spans="1:19" ht="18" customHeight="1">
      <c r="A13" s="2075"/>
      <c r="B13" s="2076"/>
      <c r="C13" s="2077" t="s">
        <v>1798</v>
      </c>
      <c r="D13" s="2078"/>
      <c r="E13" s="2078">
        <v>55161</v>
      </c>
      <c r="F13" s="2078"/>
      <c r="G13" s="2078">
        <v>58814</v>
      </c>
      <c r="H13" s="2078"/>
      <c r="I13" s="1050"/>
      <c r="J13" s="2044"/>
      <c r="K13" s="2053"/>
      <c r="L13" s="2030"/>
      <c r="M13" s="2030"/>
      <c r="N13" s="2031"/>
      <c r="O13" s="2032"/>
      <c r="P13" s="2031"/>
      <c r="Q13" s="2031"/>
      <c r="R13" s="2031"/>
    </row>
    <row r="14" spans="1:19" ht="18" customHeight="1">
      <c r="A14" s="2075"/>
      <c r="B14" s="2076"/>
      <c r="C14" s="2077" t="s">
        <v>1799</v>
      </c>
      <c r="D14" s="1053"/>
      <c r="E14" s="1053">
        <v>40</v>
      </c>
      <c r="F14" s="1053"/>
      <c r="G14" s="1053">
        <v>50</v>
      </c>
      <c r="H14" s="1053"/>
      <c r="I14" s="1053"/>
      <c r="J14" s="2044"/>
      <c r="K14" s="2079"/>
      <c r="L14" s="2030"/>
      <c r="M14" s="2030"/>
      <c r="N14" s="2031"/>
      <c r="O14" s="2032"/>
      <c r="P14" s="2031"/>
      <c r="Q14" s="2031"/>
      <c r="R14" s="2031"/>
    </row>
    <row r="15" spans="1:19" ht="18" customHeight="1">
      <c r="A15" s="2062"/>
      <c r="B15" s="2080"/>
      <c r="C15" s="2077" t="s">
        <v>1800</v>
      </c>
      <c r="D15" s="1052" t="str">
        <f>IF(B12="出让",IF(D13="","",ROUNDDOWN(MIN((D13-$D$3)/365,D14),2)),D14)</f>
        <v/>
      </c>
      <c r="E15" s="1052">
        <f>IF(B12="出让",IF(E13="","",ROUNDDOWN(MIN((E13-$D$3)/365,E14),2)),E14)</f>
        <v>32.67</v>
      </c>
      <c r="F15" s="1052" t="str">
        <f>IF(B12="出让",IF(F13="","",ROUNDDOWN(MIN((F13-$D$3)/365,F14),2)),F14)</f>
        <v/>
      </c>
      <c r="G15" s="1052">
        <f>IF(B12="出让",IF(G13="","",ROUNDDOWN(MIN((G13-$D$3)/365,G14),2)),G14)</f>
        <v>42.68</v>
      </c>
      <c r="H15" s="1052" t="str">
        <f>IF(B12="出让",IF(H13="","",ROUNDDOWN(MIN((H13-$D$3)/365,H14),2)),H14)</f>
        <v/>
      </c>
      <c r="I15" s="1052" t="str">
        <f>IF(B12="出让",IF(I13="","",ROUNDDOWN(MIN((I13-$D$3)/365,I14),2)),I14)</f>
        <v/>
      </c>
      <c r="J15" s="2044"/>
      <c r="K15" s="2081"/>
      <c r="L15" s="2082"/>
      <c r="M15" s="2082"/>
      <c r="N15" s="2083"/>
      <c r="O15" s="2082"/>
      <c r="P15" s="2083"/>
      <c r="Q15" s="2031"/>
      <c r="R15" s="2031"/>
    </row>
    <row r="16" spans="1:19" ht="30.75" customHeight="1">
      <c r="A16" s="2065" t="s">
        <v>1801</v>
      </c>
      <c r="B16" s="3020" t="s">
        <v>3042</v>
      </c>
      <c r="C16" s="3021"/>
      <c r="D16" s="3022"/>
      <c r="E16" s="2084" t="s">
        <v>1802</v>
      </c>
      <c r="F16" s="3023" t="s">
        <v>3043</v>
      </c>
      <c r="G16" s="3024"/>
      <c r="H16" s="3024"/>
      <c r="I16" s="3025"/>
      <c r="J16" s="2031"/>
      <c r="K16" s="2081"/>
      <c r="L16" s="2082"/>
      <c r="M16" s="2082"/>
      <c r="N16" s="2083"/>
      <c r="O16" s="2082"/>
      <c r="P16" s="2083"/>
      <c r="Q16" s="2031"/>
      <c r="R16" s="2031"/>
    </row>
    <row r="17" spans="1:22" ht="18" customHeight="1">
      <c r="A17" s="2085" t="s">
        <v>1803</v>
      </c>
      <c r="B17" s="2037" t="s">
        <v>1804</v>
      </c>
      <c r="C17" s="1057">
        <f>'数据-汇总表'!E3</f>
        <v>210956.06</v>
      </c>
      <c r="D17" s="2086" t="s">
        <v>1805</v>
      </c>
      <c r="E17" s="3026" t="s">
        <v>3044</v>
      </c>
      <c r="F17" s="3027"/>
      <c r="G17" s="3027"/>
      <c r="H17" s="3027"/>
      <c r="I17" s="3028"/>
      <c r="J17" s="2031"/>
      <c r="K17" s="2087"/>
      <c r="L17" s="2082"/>
      <c r="M17" s="2082"/>
      <c r="N17" s="2083"/>
      <c r="O17" s="2082"/>
      <c r="P17" s="2083"/>
      <c r="Q17" s="2031"/>
      <c r="R17" s="2031"/>
      <c r="S17" s="2031"/>
      <c r="T17" s="2031"/>
      <c r="U17" s="2031"/>
      <c r="V17" s="2031"/>
    </row>
    <row r="18" spans="1:22" ht="36" customHeight="1" thickBot="1">
      <c r="A18" s="2088" t="s">
        <v>70</v>
      </c>
      <c r="B18" s="2040" t="s">
        <v>1806</v>
      </c>
      <c r="C18" s="1447">
        <f>'数据-汇总表'!D3</f>
        <v>55191.78</v>
      </c>
      <c r="D18" s="2089" t="s">
        <v>1805</v>
      </c>
      <c r="E18" s="3029" t="s">
        <v>3057</v>
      </c>
      <c r="F18" s="3030"/>
      <c r="G18" s="3030"/>
      <c r="H18" s="3030"/>
      <c r="I18" s="3031"/>
      <c r="J18" s="2031"/>
      <c r="K18" s="2087"/>
      <c r="L18" s="2082"/>
      <c r="M18" s="2082"/>
      <c r="N18" s="2083"/>
      <c r="O18" s="2082"/>
      <c r="P18" s="2083"/>
      <c r="Q18" s="2031"/>
      <c r="R18" s="2031"/>
      <c r="S18" s="2031"/>
      <c r="T18" s="2031"/>
      <c r="U18" s="2031"/>
      <c r="V18" s="2031"/>
    </row>
    <row r="19" spans="1:22" ht="37.5" customHeight="1" thickTop="1" thickBot="1">
      <c r="A19" s="373" t="s">
        <v>1807</v>
      </c>
      <c r="B19" s="352" t="s">
        <v>1808</v>
      </c>
      <c r="C19" s="2090" t="s">
        <v>3045</v>
      </c>
      <c r="D19" s="2091" t="s">
        <v>1809</v>
      </c>
      <c r="E19" s="2092" t="s">
        <v>3045</v>
      </c>
      <c r="F19" s="2093" t="str">
        <f>IF(AND(C19="是",E19="否"),"是否提供他项权证或相关说明","")</f>
        <v/>
      </c>
      <c r="G19" s="2094"/>
      <c r="H19" s="2044"/>
      <c r="I19" s="2044"/>
      <c r="J19" s="2044"/>
      <c r="K19" s="2053"/>
      <c r="L19" s="2030"/>
      <c r="M19" s="2030"/>
      <c r="N19" s="2083"/>
      <c r="O19" s="2082"/>
      <c r="P19" s="2083"/>
      <c r="Q19" s="2031"/>
      <c r="R19" s="2031"/>
      <c r="S19" s="2031"/>
      <c r="T19" s="2031"/>
      <c r="U19" s="2031"/>
      <c r="V19" s="2031"/>
    </row>
    <row r="20" spans="1:22" ht="18" customHeight="1">
      <c r="A20" s="2095" t="s">
        <v>1810</v>
      </c>
      <c r="B20" s="3016" t="s">
        <v>1811</v>
      </c>
      <c r="C20" s="3017"/>
      <c r="D20" s="3018" t="s">
        <v>1812</v>
      </c>
      <c r="E20" s="3019"/>
      <c r="F20" s="2096" t="s">
        <v>1813</v>
      </c>
      <c r="G20" s="2044"/>
      <c r="H20" s="2044"/>
      <c r="I20" s="2044"/>
      <c r="J20" s="2044"/>
      <c r="K20" s="3015" t="s">
        <v>1814</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0"/>
      <c r="N20" s="2083"/>
      <c r="O20" s="2082"/>
      <c r="P20" s="2083"/>
      <c r="Q20" s="2031"/>
      <c r="R20" s="2031"/>
      <c r="S20" s="2031"/>
      <c r="T20" s="2031"/>
      <c r="U20" s="2031"/>
      <c r="V20" s="2031"/>
    </row>
    <row r="21" spans="1:22" ht="24.75" customHeight="1">
      <c r="A21" s="2095"/>
      <c r="B21" s="2097" t="s">
        <v>1815</v>
      </c>
      <c r="C21" s="2098" t="s">
        <v>1816</v>
      </c>
      <c r="D21" s="2099" t="s">
        <v>1817</v>
      </c>
      <c r="E21" s="2100" t="s">
        <v>1816</v>
      </c>
      <c r="F21" s="2101"/>
      <c r="G21" s="2044"/>
      <c r="H21" s="2044"/>
      <c r="I21" s="2044"/>
      <c r="J21" s="2044"/>
      <c r="K21" s="30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3"/>
      <c r="O21" s="2082"/>
      <c r="P21" s="2083"/>
      <c r="Q21" s="2031"/>
      <c r="R21" s="2031"/>
      <c r="S21" s="2031"/>
      <c r="T21" s="2031"/>
      <c r="U21" s="2031"/>
      <c r="V21" s="2031"/>
    </row>
    <row r="22" spans="1:22" ht="24.75" customHeight="1" thickBot="1">
      <c r="A22" s="2095"/>
      <c r="B22" s="2102" t="s">
        <v>1818</v>
      </c>
      <c r="C22" s="2098" t="s">
        <v>1819</v>
      </c>
      <c r="D22" s="2028"/>
      <c r="E22" s="2028"/>
      <c r="F22" s="2103"/>
      <c r="G22" s="2044"/>
      <c r="H22" s="2044"/>
      <c r="I22" s="2044"/>
      <c r="J22" s="2044"/>
      <c r="K22" s="30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1820</v>
      </c>
      <c r="B23" s="183" t="s">
        <v>1821</v>
      </c>
      <c r="C23" s="2105"/>
      <c r="D23" s="2106" t="s">
        <v>1821</v>
      </c>
      <c r="E23" s="2107"/>
      <c r="F23" s="2103"/>
      <c r="G23" s="2044"/>
      <c r="H23" s="2044"/>
      <c r="I23" s="2044"/>
      <c r="J23" s="2044"/>
      <c r="K23" s="2108"/>
      <c r="L23" s="748"/>
      <c r="M23" s="2030"/>
      <c r="N23" s="2083"/>
      <c r="O23" s="2082"/>
      <c r="P23" s="2083"/>
      <c r="Q23" s="2031"/>
      <c r="R23" s="2031"/>
      <c r="S23" s="2031"/>
      <c r="T23" s="2031"/>
      <c r="U23" s="2031"/>
      <c r="V23" s="2031"/>
    </row>
    <row r="24" spans="1:22" ht="18" customHeight="1">
      <c r="A24" s="2109"/>
      <c r="B24" s="183" t="s">
        <v>1822</v>
      </c>
      <c r="C24" s="2110"/>
      <c r="D24" s="2104" t="s">
        <v>1822</v>
      </c>
      <c r="E24" s="2111"/>
      <c r="F24" s="2103"/>
      <c r="G24" s="2044"/>
      <c r="H24" s="2044"/>
      <c r="I24" s="2044"/>
      <c r="J24" s="2044"/>
      <c r="K24" s="2108"/>
      <c r="L24" s="748"/>
      <c r="M24" s="2030"/>
      <c r="N24" s="2083"/>
      <c r="O24" s="2082"/>
      <c r="P24" s="2083"/>
      <c r="Q24" s="2031"/>
      <c r="R24" s="2031"/>
      <c r="S24" s="2031"/>
      <c r="T24" s="2031"/>
      <c r="U24" s="2031"/>
      <c r="V24" s="2031"/>
    </row>
    <row r="25" spans="1:22" ht="18" customHeight="1">
      <c r="A25" s="2109"/>
      <c r="B25" s="183" t="s">
        <v>1823</v>
      </c>
      <c r="C25" s="2110"/>
      <c r="D25" s="2104" t="s">
        <v>1823</v>
      </c>
      <c r="E25" s="2111"/>
      <c r="F25" s="2103"/>
      <c r="G25" s="2044"/>
      <c r="H25" s="2044"/>
      <c r="I25" s="2044"/>
      <c r="J25" s="2044"/>
      <c r="K25" s="2053"/>
      <c r="L25" s="2030"/>
      <c r="M25" s="2030"/>
      <c r="N25" s="2083"/>
      <c r="O25" s="2082"/>
      <c r="P25" s="2083"/>
      <c r="Q25" s="2031"/>
      <c r="R25" s="2031"/>
      <c r="S25" s="2031"/>
      <c r="T25" s="2031"/>
      <c r="U25" s="2031"/>
      <c r="V25" s="2031"/>
    </row>
    <row r="26" spans="1:22" ht="18" customHeight="1" thickBot="1">
      <c r="A26" s="2112"/>
      <c r="B26" s="2113" t="s">
        <v>1824</v>
      </c>
      <c r="C26" s="2114"/>
      <c r="D26" s="2115" t="s">
        <v>1825</v>
      </c>
      <c r="E26" s="2116"/>
      <c r="F26" s="2117"/>
      <c r="G26" s="2061"/>
      <c r="H26" s="2061"/>
      <c r="I26" s="2061"/>
      <c r="J26" s="2044"/>
      <c r="K26" s="2053"/>
      <c r="L26" s="2030"/>
      <c r="M26" s="2030"/>
      <c r="N26" s="2083"/>
      <c r="O26" s="2082"/>
      <c r="P26" s="2083"/>
      <c r="Q26" s="2031"/>
      <c r="R26" s="2031"/>
      <c r="S26" s="2031"/>
      <c r="T26" s="2031"/>
      <c r="U26" s="2031"/>
      <c r="V26" s="2031"/>
    </row>
    <row r="27" spans="1:22" ht="18" customHeight="1" thickTop="1">
      <c r="A27" s="3033" t="s">
        <v>1826</v>
      </c>
      <c r="B27" s="2062" t="s">
        <v>1827</v>
      </c>
      <c r="C27" s="2118" t="s">
        <v>3046</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33"/>
      <c r="B28" s="2037" t="s">
        <v>1828</v>
      </c>
      <c r="C28" s="2120" t="s">
        <v>3047</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33"/>
      <c r="B29" s="2037" t="s">
        <v>1829</v>
      </c>
      <c r="C29" s="2123" t="s">
        <v>3048</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34"/>
      <c r="B30" s="2037" t="s">
        <v>1830</v>
      </c>
      <c r="C30" s="3035"/>
      <c r="D30" s="3036"/>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37" t="s">
        <v>1831</v>
      </c>
      <c r="B31" s="2125" t="s">
        <v>3049</v>
      </c>
      <c r="C31" s="2126" t="str">
        <f>IF(B31="现房","成新及维护状况正常否",IF(B31="在建","工程状态是否正常",IF(B31="土地","是否闲置","-")))</f>
        <v>成新及维护状况正常否</v>
      </c>
      <c r="D31" s="2127"/>
      <c r="E31" s="2128"/>
      <c r="F31" s="2044"/>
      <c r="G31" s="2044"/>
      <c r="H31" s="2044"/>
      <c r="I31" s="2044"/>
      <c r="J31" s="2044"/>
      <c r="K31" s="2052"/>
      <c r="L31" s="2030"/>
      <c r="M31" s="2030"/>
      <c r="N31" s="2031"/>
      <c r="O31" s="2032"/>
      <c r="P31" s="2031"/>
      <c r="Q31" s="2031"/>
      <c r="R31" s="2031"/>
      <c r="S31" s="2031"/>
      <c r="T31" s="2031"/>
      <c r="U31" s="2031"/>
      <c r="V31" s="2031"/>
    </row>
    <row r="32" spans="1:22" ht="18" customHeight="1">
      <c r="A32" s="3038"/>
      <c r="B32" s="2125" t="s">
        <v>3049</v>
      </c>
      <c r="C32" s="2126" t="str">
        <f>IF(B32="现房","成新及维护状况是否正常",IF(B32="在建","工程状态是否正常",IF(B32="土地","是否闲置","-")))</f>
        <v>成新及维护状况是否正常</v>
      </c>
      <c r="D32" s="2127"/>
      <c r="E32" s="2128"/>
      <c r="F32" s="2044"/>
      <c r="G32" s="2044"/>
      <c r="H32" s="2044"/>
      <c r="I32" s="2044"/>
      <c r="J32" s="2044"/>
      <c r="K32" s="2053"/>
      <c r="L32" s="2030"/>
      <c r="M32" s="2030"/>
      <c r="N32" s="2031"/>
      <c r="O32" s="2032"/>
      <c r="P32" s="2031"/>
      <c r="Q32" s="2031"/>
      <c r="R32" s="2031"/>
      <c r="S32" s="2031"/>
      <c r="T32" s="2031"/>
      <c r="U32" s="2031"/>
      <c r="V32" s="2031"/>
    </row>
    <row r="33" spans="1:22" ht="18" customHeight="1">
      <c r="A33" s="3038"/>
      <c r="B33" s="2129"/>
      <c r="C33" s="2068" t="str">
        <f>IF(B33="现房","成新及维护状况是否正常",IF(B33="在建","工程状态是否正常",IF(B33="土地","是否闲置","-")))</f>
        <v>-</v>
      </c>
      <c r="D33" s="2130"/>
      <c r="E33" s="2131"/>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1832</v>
      </c>
      <c r="B34" s="2132" t="s">
        <v>3050</v>
      </c>
      <c r="C34" s="2132" t="s">
        <v>3051</v>
      </c>
      <c r="D34" s="2132" t="s">
        <v>3052</v>
      </c>
      <c r="E34" s="2132" t="s">
        <v>3053</v>
      </c>
      <c r="F34" s="2132" t="s">
        <v>3054</v>
      </c>
      <c r="G34" s="2132" t="s">
        <v>3055</v>
      </c>
      <c r="H34" s="2132"/>
      <c r="I34" s="2044"/>
      <c r="J34" s="2044"/>
      <c r="K34" s="1797">
        <f>COUNTIF(B34:H34,"——")</f>
        <v>0</v>
      </c>
      <c r="L34" s="2073" t="s">
        <v>1833</v>
      </c>
      <c r="M34" s="2073" t="s">
        <v>1834</v>
      </c>
      <c r="N34" s="2073" t="s">
        <v>1835</v>
      </c>
      <c r="O34" s="2073" t="s">
        <v>1836</v>
      </c>
      <c r="P34" s="2073" t="s">
        <v>1837</v>
      </c>
      <c r="Q34" s="2073" t="s">
        <v>1838</v>
      </c>
      <c r="R34" s="2073" t="s">
        <v>1839</v>
      </c>
      <c r="S34" s="3032" t="s">
        <v>1840</v>
      </c>
      <c r="T34" s="2133" t="str">
        <f>NUMBERSTRING(7-K34,1)&amp;"通"</f>
        <v>七通</v>
      </c>
      <c r="U34" s="2031"/>
      <c r="V34" s="2031"/>
    </row>
    <row r="35" spans="1:22" ht="18" customHeight="1">
      <c r="A35" s="2134"/>
      <c r="B35" s="3039" t="s">
        <v>1841</v>
      </c>
      <c r="C35" s="3039"/>
      <c r="D35" s="3039"/>
      <c r="E35" s="3039"/>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2"/>
      <c r="T35" s="48" t="str">
        <f>IF(T34="一通",L35,IF(T34="二通",M35,IF(T34="三通",N35,IF(T34="四通",O35,IF(T34="五通",P35,IF(T34="六通",Q35,R35))))))</f>
        <v>通路、通电、通讯、通上水、通下水、燃气、</v>
      </c>
      <c r="U35" s="2031"/>
      <c r="V35" s="2031"/>
    </row>
    <row r="36" spans="1:22" ht="18" customHeight="1">
      <c r="A36" s="2136"/>
      <c r="B36" s="2135" t="s">
        <v>1842</v>
      </c>
      <c r="C36" s="2135" t="s">
        <v>1843</v>
      </c>
      <c r="D36" s="2135" t="s">
        <v>1844</v>
      </c>
      <c r="E36" s="2135" t="s">
        <v>1845</v>
      </c>
      <c r="F36" s="2137"/>
      <c r="G36" s="2044"/>
      <c r="H36" s="2044"/>
      <c r="I36" s="2044"/>
      <c r="J36" s="2044"/>
      <c r="K36" s="2053"/>
      <c r="L36" s="2030"/>
      <c r="M36" s="2030"/>
      <c r="N36" s="2031"/>
      <c r="O36" s="2032"/>
      <c r="P36" s="2031"/>
      <c r="Q36" s="2031"/>
      <c r="R36" s="2031"/>
      <c r="S36" s="2031"/>
      <c r="T36" s="2031"/>
      <c r="U36" s="2031"/>
      <c r="V36" s="2031"/>
    </row>
    <row r="37" spans="1:22" ht="18" customHeight="1">
      <c r="A37" s="2138" t="s">
        <v>1846</v>
      </c>
      <c r="B37" s="2139" t="s">
        <v>528</v>
      </c>
      <c r="C37" s="2139"/>
      <c r="D37" s="2139"/>
      <c r="E37" s="2139"/>
      <c r="F37" s="2137"/>
      <c r="G37" s="2044"/>
      <c r="H37" s="2044"/>
      <c r="I37" s="2044"/>
      <c r="J37" s="2044"/>
      <c r="K37" s="2053"/>
      <c r="L37" s="2030"/>
      <c r="M37" s="2030"/>
      <c r="N37" s="2031"/>
      <c r="O37" s="2032"/>
      <c r="P37" s="2031"/>
      <c r="Q37" s="2031"/>
      <c r="R37" s="2031"/>
      <c r="S37" s="2031"/>
      <c r="T37" s="2031"/>
      <c r="U37" s="2031"/>
      <c r="V37" s="2031"/>
    </row>
    <row r="38" spans="1:22" ht="18" customHeight="1" thickBot="1">
      <c r="A38" s="2140" t="s">
        <v>1847</v>
      </c>
      <c r="B38" s="2141" t="s">
        <v>3056</v>
      </c>
      <c r="C38" s="2141"/>
      <c r="D38" s="2141"/>
      <c r="E38" s="2141"/>
      <c r="F38" s="2142"/>
      <c r="G38" s="2061"/>
      <c r="H38" s="2061"/>
      <c r="I38" s="2061"/>
      <c r="J38" s="2044"/>
      <c r="K38" s="2053"/>
      <c r="L38" s="2030"/>
      <c r="M38" s="2030"/>
      <c r="N38" s="2031"/>
      <c r="O38" s="2032"/>
      <c r="P38" s="2031"/>
      <c r="Q38" s="2031"/>
      <c r="R38" s="2031"/>
      <c r="S38" s="2031"/>
      <c r="T38" s="2031"/>
      <c r="U38" s="2031"/>
      <c r="V38" s="2031"/>
    </row>
    <row r="39" spans="1:22" s="2147" customFormat="1" ht="18" customHeight="1" thickTop="1" thickBot="1">
      <c r="A39" s="2143" t="s">
        <v>1848</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6"/>
      <c r="L40" s="2082"/>
      <c r="M40" s="2082"/>
      <c r="N40" s="2083"/>
      <c r="O40" s="2082"/>
      <c r="P40" s="2031"/>
      <c r="Q40" s="2031"/>
      <c r="R40" s="2031"/>
      <c r="S40" s="2031"/>
      <c r="T40" s="2031"/>
      <c r="U40" s="2031"/>
      <c r="V40" s="2031"/>
    </row>
    <row r="41" spans="1:22" ht="18" customHeight="1">
      <c r="A41" s="8" t="s">
        <v>1849</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1850</v>
      </c>
      <c r="B42" s="1797" t="s">
        <v>1851</v>
      </c>
      <c r="C42" s="1797" t="s">
        <v>1852</v>
      </c>
      <c r="D42" s="1797" t="s">
        <v>1853</v>
      </c>
      <c r="E42" s="1797" t="s">
        <v>1854</v>
      </c>
      <c r="F42" s="1797" t="s">
        <v>1855</v>
      </c>
      <c r="G42" s="1797" t="s">
        <v>1856</v>
      </c>
      <c r="H42" s="1797" t="s">
        <v>1857</v>
      </c>
      <c r="I42" s="1797" t="s">
        <v>1858</v>
      </c>
      <c r="J42" s="2151" t="s">
        <v>1859</v>
      </c>
      <c r="K42" s="2074" t="s">
        <v>1860</v>
      </c>
      <c r="L42" s="2074" t="s">
        <v>1861</v>
      </c>
      <c r="M42" s="2074" t="s">
        <v>1862</v>
      </c>
      <c r="N42" s="1797" t="s">
        <v>1863</v>
      </c>
      <c r="O42" s="1797" t="s">
        <v>1864</v>
      </c>
      <c r="P42" s="1797" t="s">
        <v>1865</v>
      </c>
      <c r="Q42" s="2073" t="s">
        <v>1866</v>
      </c>
      <c r="R42" s="2073" t="s">
        <v>1867</v>
      </c>
      <c r="S42" s="2031"/>
      <c r="T42" s="2031"/>
      <c r="U42" s="2031"/>
      <c r="V42" s="2031"/>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3" width="9.5" style="2158" customWidth="1"/>
    <col min="14"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1868</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1869</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1870</v>
      </c>
      <c r="B2" s="11" t="s">
        <v>1871</v>
      </c>
      <c r="C2" s="11" t="s">
        <v>1872</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1873</v>
      </c>
      <c r="AZ2" s="1273" t="s">
        <v>1874</v>
      </c>
      <c r="BA2" s="11" t="s">
        <v>1875</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55191.78</v>
      </c>
      <c r="B3" s="14">
        <f>IF(C3="否",G5-AT5,G5)</f>
        <v>210956.06</v>
      </c>
      <c r="C3" s="2167" t="s">
        <v>1876</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1877</v>
      </c>
      <c r="B5" s="1805"/>
      <c r="C5" s="1805"/>
      <c r="D5" s="1808"/>
      <c r="E5" s="16" t="s">
        <v>1</v>
      </c>
      <c r="F5" s="16">
        <f>SUM(F13:F587)</f>
        <v>0</v>
      </c>
      <c r="G5" s="16">
        <f>SUM(G13:G587)</f>
        <v>210956.06</v>
      </c>
      <c r="H5" s="16">
        <f t="shared" ref="H5:AT5" si="0">SUM(H13:H656)</f>
        <v>193344.75</v>
      </c>
      <c r="I5" s="16">
        <f t="shared" si="0"/>
        <v>125418.93</v>
      </c>
      <c r="J5" s="16">
        <f t="shared" si="0"/>
        <v>0</v>
      </c>
      <c r="K5" s="16">
        <f t="shared" si="0"/>
        <v>19300.580000000002</v>
      </c>
      <c r="L5" s="16">
        <f t="shared" si="0"/>
        <v>0</v>
      </c>
      <c r="M5" s="16">
        <f t="shared" si="0"/>
        <v>48625.24</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17611.310000000001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17611.310000000001</v>
      </c>
      <c r="AO5" s="16">
        <f t="shared" si="0"/>
        <v>0</v>
      </c>
      <c r="AP5" s="16">
        <f t="shared" si="0"/>
        <v>0</v>
      </c>
      <c r="AQ5" s="16">
        <f t="shared" si="0"/>
        <v>0</v>
      </c>
      <c r="AR5" s="16">
        <f t="shared" si="0"/>
        <v>0</v>
      </c>
      <c r="AS5" s="16">
        <f t="shared" si="0"/>
        <v>0</v>
      </c>
      <c r="AT5" s="16">
        <f t="shared" si="0"/>
        <v>0</v>
      </c>
      <c r="AU5" s="1804"/>
      <c r="AV5" s="15" t="s">
        <v>1877</v>
      </c>
      <c r="AW5" s="1805"/>
      <c r="AX5" s="1805"/>
      <c r="AY5" s="17" t="s">
        <v>3</v>
      </c>
      <c r="AZ5" s="18">
        <f t="shared" ref="AZ5:BT5" si="1">SUM(AZ13:AZ656)</f>
        <v>210956.06</v>
      </c>
      <c r="BA5" s="18">
        <f t="shared" si="1"/>
        <v>193344.75</v>
      </c>
      <c r="BB5" s="18">
        <f t="shared" si="1"/>
        <v>125418.93</v>
      </c>
      <c r="BC5" s="18">
        <f t="shared" si="1"/>
        <v>19300.580000000002</v>
      </c>
      <c r="BD5" s="18">
        <f t="shared" si="1"/>
        <v>48625.24</v>
      </c>
      <c r="BE5" s="18">
        <f t="shared" si="1"/>
        <v>0</v>
      </c>
      <c r="BF5" s="18">
        <f t="shared" si="1"/>
        <v>0</v>
      </c>
      <c r="BG5" s="18">
        <f t="shared" si="1"/>
        <v>0</v>
      </c>
      <c r="BH5" s="18">
        <f t="shared" si="1"/>
        <v>0</v>
      </c>
      <c r="BI5" s="18">
        <f t="shared" si="1"/>
        <v>0</v>
      </c>
      <c r="BJ5" s="18">
        <f t="shared" si="1"/>
        <v>0</v>
      </c>
      <c r="BK5" s="18">
        <f t="shared" si="1"/>
        <v>0</v>
      </c>
      <c r="BL5" s="18">
        <f t="shared" si="1"/>
        <v>17611.310000000001</v>
      </c>
      <c r="BM5" s="18">
        <f t="shared" si="1"/>
        <v>0</v>
      </c>
      <c r="BN5" s="18">
        <f t="shared" si="1"/>
        <v>0</v>
      </c>
      <c r="BO5" s="18">
        <f t="shared" si="1"/>
        <v>0</v>
      </c>
      <c r="BP5" s="18">
        <f t="shared" si="1"/>
        <v>0</v>
      </c>
      <c r="BQ5" s="18">
        <f t="shared" si="1"/>
        <v>0</v>
      </c>
      <c r="BR5" s="18">
        <f t="shared" si="1"/>
        <v>17611.310000000001</v>
      </c>
      <c r="BS5" s="18">
        <f t="shared" si="1"/>
        <v>0</v>
      </c>
      <c r="BT5" s="19">
        <f t="shared" si="1"/>
        <v>0</v>
      </c>
    </row>
    <row r="6" spans="1:72" s="2176" customFormat="1" ht="12.75">
      <c r="A6" s="15" t="s">
        <v>1878</v>
      </c>
      <c r="B6" s="2173"/>
      <c r="C6" s="2173"/>
      <c r="D6" s="2174"/>
      <c r="E6" s="16">
        <f>H6+AC6+AT6</f>
        <v>55191.78</v>
      </c>
      <c r="F6" s="16" t="s">
        <v>1</v>
      </c>
      <c r="G6" s="16" t="s">
        <v>2</v>
      </c>
      <c r="H6" s="20">
        <f>SUMIF(I$12:AB$12,"总值",I6:AB6)</f>
        <v>50584.19</v>
      </c>
      <c r="I6" s="16">
        <f t="shared" ref="I6:AB6" si="2">ROUND($A$3*I5/$B$3,2)</f>
        <v>32812.97</v>
      </c>
      <c r="J6" s="16">
        <f t="shared" si="2"/>
        <v>0</v>
      </c>
      <c r="K6" s="16">
        <f t="shared" si="2"/>
        <v>5049.55</v>
      </c>
      <c r="L6" s="16">
        <f t="shared" si="2"/>
        <v>0</v>
      </c>
      <c r="M6" s="16">
        <f t="shared" si="2"/>
        <v>12721.67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4607.59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4607.59</v>
      </c>
      <c r="AO6" s="16">
        <f t="shared" si="3"/>
        <v>0</v>
      </c>
      <c r="AP6" s="16">
        <f t="shared" si="3"/>
        <v>0</v>
      </c>
      <c r="AQ6" s="16">
        <f t="shared" si="3"/>
        <v>0</v>
      </c>
      <c r="AR6" s="16">
        <f t="shared" si="3"/>
        <v>0</v>
      </c>
      <c r="AS6" s="16">
        <f t="shared" si="3"/>
        <v>0</v>
      </c>
      <c r="AT6" s="20">
        <f>IF(C3="是",ROUND($A$3*AT5/$B$3,2),0)</f>
        <v>0</v>
      </c>
      <c r="AU6" s="2175"/>
      <c r="AV6" s="15" t="s">
        <v>1878</v>
      </c>
      <c r="AW6" s="2173"/>
      <c r="AX6" s="2173"/>
      <c r="AY6" s="21">
        <f>IF(AY3&gt;0,AY3,ROUND($A$3*AZ5/$B$3,2))</f>
        <v>55191.78</v>
      </c>
      <c r="AZ6" s="16" t="s">
        <v>3</v>
      </c>
      <c r="BA6" s="16">
        <f>ROUND($AY$6*BA5/$AZ$5,2)</f>
        <v>50584.19</v>
      </c>
      <c r="BB6" s="16">
        <f>ROUND($AY$6*BB5/$AZ$5,2)</f>
        <v>32812.97</v>
      </c>
      <c r="BC6" s="16">
        <f t="shared" ref="BC6:BH6" si="4">ROUND($AY$6*BC5/$AZ$5,2)</f>
        <v>5049.55</v>
      </c>
      <c r="BD6" s="16">
        <f t="shared" si="4"/>
        <v>12721.67</v>
      </c>
      <c r="BE6" s="16">
        <f t="shared" si="4"/>
        <v>0</v>
      </c>
      <c r="BF6" s="16">
        <f t="shared" si="4"/>
        <v>0</v>
      </c>
      <c r="BG6" s="16">
        <f t="shared" si="4"/>
        <v>0</v>
      </c>
      <c r="BH6" s="16">
        <f t="shared" si="4"/>
        <v>0</v>
      </c>
      <c r="BI6" s="16">
        <f t="shared" ref="BI6:BT6" si="5">ROUND($AY$6*BI5/$AZ$5,2)</f>
        <v>0</v>
      </c>
      <c r="BJ6" s="16">
        <f t="shared" si="5"/>
        <v>0</v>
      </c>
      <c r="BK6" s="16">
        <f t="shared" si="5"/>
        <v>0</v>
      </c>
      <c r="BL6" s="16">
        <f t="shared" si="5"/>
        <v>4607.59</v>
      </c>
      <c r="BM6" s="16">
        <f t="shared" si="5"/>
        <v>0</v>
      </c>
      <c r="BN6" s="16">
        <f t="shared" si="5"/>
        <v>0</v>
      </c>
      <c r="BO6" s="16">
        <f t="shared" si="5"/>
        <v>0</v>
      </c>
      <c r="BP6" s="16">
        <f t="shared" si="5"/>
        <v>0</v>
      </c>
      <c r="BQ6" s="16">
        <f t="shared" si="5"/>
        <v>0</v>
      </c>
      <c r="BR6" s="16">
        <f t="shared" si="5"/>
        <v>4607.59</v>
      </c>
      <c r="BS6" s="16">
        <f t="shared" si="5"/>
        <v>0</v>
      </c>
      <c r="BT6" s="22">
        <f t="shared" si="5"/>
        <v>0</v>
      </c>
    </row>
    <row r="7" spans="1:72" s="2166" customFormat="1" ht="24.75">
      <c r="A7" s="2108" t="s">
        <v>1879</v>
      </c>
      <c r="B7" s="2108" t="s">
        <v>1880</v>
      </c>
      <c r="C7" s="2108" t="s">
        <v>1881</v>
      </c>
      <c r="D7" s="2108" t="s">
        <v>1882</v>
      </c>
      <c r="E7" s="2108" t="s">
        <v>1883</v>
      </c>
      <c r="F7" s="2108" t="s">
        <v>1884</v>
      </c>
      <c r="G7" s="2177" t="s">
        <v>1885</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1886</v>
      </c>
      <c r="AV7" s="23" t="s">
        <v>1887</v>
      </c>
      <c r="AW7" s="2165" t="s">
        <v>1888</v>
      </c>
      <c r="AX7" s="23" t="s">
        <v>1881</v>
      </c>
      <c r="AY7" s="1805" t="s">
        <v>1889</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1890</v>
      </c>
      <c r="H8" s="2183" t="s">
        <v>1891</v>
      </c>
      <c r="I8" s="2184"/>
      <c r="J8" s="1820"/>
      <c r="K8" s="1820"/>
      <c r="L8" s="1820"/>
      <c r="M8" s="1820"/>
      <c r="N8" s="1820"/>
      <c r="O8" s="1820"/>
      <c r="P8" s="1820"/>
      <c r="Q8" s="1820"/>
      <c r="R8" s="1820"/>
      <c r="S8" s="1820"/>
      <c r="T8" s="1820"/>
      <c r="U8" s="1820"/>
      <c r="V8" s="2185"/>
      <c r="W8" s="1820"/>
      <c r="X8" s="1820"/>
      <c r="Y8" s="1820"/>
      <c r="Z8" s="1820"/>
      <c r="AA8" s="2185"/>
      <c r="AB8" s="2186"/>
      <c r="AC8" s="984" t="s">
        <v>1892</v>
      </c>
      <c r="AD8" s="2187"/>
      <c r="AE8" s="2179"/>
      <c r="AF8" s="1820"/>
      <c r="AG8" s="1820"/>
      <c r="AH8" s="1820"/>
      <c r="AI8" s="1820"/>
      <c r="AJ8" s="1820"/>
      <c r="AK8" s="1820"/>
      <c r="AL8" s="1820"/>
      <c r="AM8" s="1820"/>
      <c r="AN8" s="1820"/>
      <c r="AO8" s="1820"/>
      <c r="AP8" s="1820"/>
      <c r="AQ8" s="1820"/>
      <c r="AR8" s="1820"/>
      <c r="AS8" s="1820"/>
      <c r="AT8" s="1295" t="s">
        <v>1893</v>
      </c>
      <c r="AU8" s="2181" t="s">
        <v>1894</v>
      </c>
      <c r="AV8" s="1295"/>
      <c r="AW8" s="2164"/>
      <c r="AX8" s="1295"/>
      <c r="AY8" s="2165" t="s">
        <v>1895</v>
      </c>
      <c r="AZ8" s="1819" t="s">
        <v>1896</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5"/>
      <c r="H9" s="2189" t="s">
        <v>1897</v>
      </c>
      <c r="I9" s="2190" t="s">
        <v>3059</v>
      </c>
      <c r="J9" s="984"/>
      <c r="K9" s="2190" t="s">
        <v>3060</v>
      </c>
      <c r="L9" s="984"/>
      <c r="M9" s="2190" t="s">
        <v>3060</v>
      </c>
      <c r="N9" s="984"/>
      <c r="O9" s="2190"/>
      <c r="P9" s="984"/>
      <c r="Q9" s="2190"/>
      <c r="R9" s="984"/>
      <c r="S9" s="2190"/>
      <c r="T9" s="984"/>
      <c r="U9" s="2190"/>
      <c r="V9" s="984"/>
      <c r="W9" s="2190"/>
      <c r="X9" s="2191"/>
      <c r="Y9" s="2190"/>
      <c r="Z9" s="984"/>
      <c r="AA9" s="2190"/>
      <c r="AB9" s="984"/>
      <c r="AC9" s="2182" t="s">
        <v>1897</v>
      </c>
      <c r="AD9" s="15" t="s">
        <v>1898</v>
      </c>
      <c r="AE9" s="1301"/>
      <c r="AF9" s="15" t="s">
        <v>1899</v>
      </c>
      <c r="AG9" s="1301"/>
      <c r="AH9" s="15" t="s">
        <v>1898</v>
      </c>
      <c r="AI9" s="1301"/>
      <c r="AJ9" s="15" t="s">
        <v>1899</v>
      </c>
      <c r="AK9" s="1301"/>
      <c r="AL9" s="15" t="s">
        <v>1898</v>
      </c>
      <c r="AM9" s="1301"/>
      <c r="AN9" s="15" t="s">
        <v>1899</v>
      </c>
      <c r="AO9" s="1301"/>
      <c r="AP9" s="15" t="s">
        <v>1898</v>
      </c>
      <c r="AQ9" s="1301"/>
      <c r="AR9" s="15" t="s">
        <v>1899</v>
      </c>
      <c r="AS9" s="2192"/>
      <c r="AT9" s="2181"/>
      <c r="AU9" s="2181" t="s">
        <v>1900</v>
      </c>
      <c r="AV9" s="1295"/>
      <c r="AW9" s="2164"/>
      <c r="AX9" s="1295"/>
      <c r="AY9" s="28"/>
      <c r="AZ9" s="28" t="s">
        <v>1890</v>
      </c>
      <c r="BA9" s="2193" t="s">
        <v>1901</v>
      </c>
      <c r="BB9" s="2194"/>
      <c r="BC9" s="1341"/>
      <c r="BD9" s="1341"/>
      <c r="BE9" s="1341"/>
      <c r="BF9" s="1341"/>
      <c r="BG9" s="1341"/>
      <c r="BH9" s="1341"/>
      <c r="BI9" s="1341"/>
      <c r="BJ9" s="1341"/>
      <c r="BK9" s="2195"/>
      <c r="BL9" s="15" t="s">
        <v>1902</v>
      </c>
      <c r="BM9" s="1820"/>
      <c r="BN9" s="2184"/>
      <c r="BO9" s="1820"/>
      <c r="BP9" s="1820"/>
      <c r="BQ9" s="1820"/>
      <c r="BR9" s="1820"/>
      <c r="BS9" s="1820"/>
      <c r="BT9" s="26"/>
    </row>
    <row r="10" spans="1:72" s="2188" customFormat="1" ht="12.75">
      <c r="A10" s="2181"/>
      <c r="B10" s="2181"/>
      <c r="C10" s="2181"/>
      <c r="D10" s="2181"/>
      <c r="E10" s="2181"/>
      <c r="F10" s="2181"/>
      <c r="G10" s="1295"/>
      <c r="H10" s="28"/>
      <c r="I10" s="2190" t="s">
        <v>1377</v>
      </c>
      <c r="J10" s="984"/>
      <c r="K10" s="2196" t="s">
        <v>1377</v>
      </c>
      <c r="L10" s="984"/>
      <c r="M10" s="2196" t="s">
        <v>3063</v>
      </c>
      <c r="N10" s="984"/>
      <c r="O10" s="2196"/>
      <c r="P10" s="984"/>
      <c r="Q10" s="2196"/>
      <c r="R10" s="984"/>
      <c r="S10" s="2196"/>
      <c r="T10" s="984"/>
      <c r="U10" s="2196"/>
      <c r="V10" s="984"/>
      <c r="W10" s="2196"/>
      <c r="X10" s="984"/>
      <c r="Y10" s="2196"/>
      <c r="Z10" s="984"/>
      <c r="AA10" s="2196"/>
      <c r="AB10" s="984"/>
      <c r="AC10" s="1295"/>
      <c r="AD10" s="15" t="s">
        <v>1903</v>
      </c>
      <c r="AE10" s="2197"/>
      <c r="AF10" s="15" t="s">
        <v>1903</v>
      </c>
      <c r="AG10" s="2197"/>
      <c r="AH10" s="15" t="s">
        <v>1904</v>
      </c>
      <c r="AI10" s="2197"/>
      <c r="AJ10" s="15" t="s">
        <v>1904</v>
      </c>
      <c r="AK10" s="2197"/>
      <c r="AL10" s="15" t="s">
        <v>1905</v>
      </c>
      <c r="AM10" s="1301"/>
      <c r="AN10" s="15" t="s">
        <v>1905</v>
      </c>
      <c r="AO10" s="1301"/>
      <c r="AP10" s="15" t="s">
        <v>1906</v>
      </c>
      <c r="AQ10" s="1301"/>
      <c r="AR10" s="15" t="s">
        <v>1906</v>
      </c>
      <c r="AS10" s="1301"/>
      <c r="AT10" s="2181"/>
      <c r="AU10" s="2181"/>
      <c r="AV10" s="1295"/>
      <c r="AW10" s="2164"/>
      <c r="AX10" s="1295"/>
      <c r="AY10" s="28"/>
      <c r="AZ10" s="28"/>
      <c r="BA10" s="2198" t="s">
        <v>1897</v>
      </c>
      <c r="BB10" s="2199" t="str">
        <f>I9</f>
        <v>地上</v>
      </c>
      <c r="BC10" s="29" t="str">
        <f>K9</f>
        <v>地下</v>
      </c>
      <c r="BD10" s="29" t="str">
        <f>M9</f>
        <v>地下</v>
      </c>
      <c r="BE10" s="29">
        <f>O9</f>
        <v>0</v>
      </c>
      <c r="BF10" s="29">
        <f>Q9</f>
        <v>0</v>
      </c>
      <c r="BG10" s="29">
        <f>S9</f>
        <v>0</v>
      </c>
      <c r="BH10" s="29">
        <f>U9</f>
        <v>0</v>
      </c>
      <c r="BI10" s="29">
        <f>W9</f>
        <v>0</v>
      </c>
      <c r="BJ10" s="29">
        <f>Y9</f>
        <v>0</v>
      </c>
      <c r="BK10" s="29">
        <f>AA9</f>
        <v>0</v>
      </c>
      <c r="BL10" s="25" t="s">
        <v>1897</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5"/>
      <c r="H11" s="2198"/>
      <c r="I11" s="2201" t="s">
        <v>3062</v>
      </c>
      <c r="J11" s="2202"/>
      <c r="K11" s="2201" t="s">
        <v>3062</v>
      </c>
      <c r="L11" s="2202"/>
      <c r="M11" s="2201" t="s">
        <v>3061</v>
      </c>
      <c r="N11" s="2202"/>
      <c r="O11" s="2201"/>
      <c r="P11" s="2202"/>
      <c r="Q11" s="2201"/>
      <c r="R11" s="2202"/>
      <c r="S11" s="2201"/>
      <c r="T11" s="2202"/>
      <c r="U11" s="2201"/>
      <c r="V11" s="2202"/>
      <c r="W11" s="2201"/>
      <c r="X11" s="2202"/>
      <c r="Y11" s="2201"/>
      <c r="Z11" s="2202"/>
      <c r="AA11" s="2201"/>
      <c r="AB11" s="2202"/>
      <c r="AC11" s="1295"/>
      <c r="AD11" s="2203" t="s">
        <v>1907</v>
      </c>
      <c r="AE11" s="1821"/>
      <c r="AF11" s="2203" t="s">
        <v>1907</v>
      </c>
      <c r="AG11" s="1821"/>
      <c r="AH11" s="2203" t="s">
        <v>1908</v>
      </c>
      <c r="AI11" s="2204"/>
      <c r="AJ11" s="2203" t="s">
        <v>1908</v>
      </c>
      <c r="AK11" s="1821"/>
      <c r="AL11" s="1819"/>
      <c r="AM11" s="1821"/>
      <c r="AN11" s="1819"/>
      <c r="AO11" s="1821"/>
      <c r="AP11" s="1819"/>
      <c r="AQ11" s="1821"/>
      <c r="AR11" s="1819"/>
      <c r="AS11" s="1821"/>
      <c r="AT11" s="2164"/>
      <c r="AU11" s="2181"/>
      <c r="AV11" s="1295"/>
      <c r="AW11" s="2164"/>
      <c r="AX11" s="1295"/>
      <c r="AY11" s="28"/>
      <c r="AZ11" s="28"/>
      <c r="BA11" s="28"/>
      <c r="BB11" s="2186" t="str">
        <f>I10</f>
        <v>商业</v>
      </c>
      <c r="BC11" s="2186" t="str">
        <f>K10</f>
        <v>商业</v>
      </c>
      <c r="BD11" s="2186" t="str">
        <f>M10</f>
        <v>车库—商业</v>
      </c>
      <c r="BE11" s="2186">
        <f>O10</f>
        <v>0</v>
      </c>
      <c r="BF11" s="2186">
        <f>Q10</f>
        <v>0</v>
      </c>
      <c r="BG11" s="2186">
        <f>S10</f>
        <v>0</v>
      </c>
      <c r="BH11" s="2186">
        <f>U10</f>
        <v>0</v>
      </c>
      <c r="BI11" s="2186">
        <f>W10</f>
        <v>0</v>
      </c>
      <c r="BJ11" s="2186">
        <f>Y10</f>
        <v>0</v>
      </c>
      <c r="BK11" s="2186">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4" t="s">
        <v>1910</v>
      </c>
      <c r="W12" s="11" t="s">
        <v>1909</v>
      </c>
      <c r="X12" s="11" t="s">
        <v>1910</v>
      </c>
      <c r="Y12" s="11" t="s">
        <v>1909</v>
      </c>
      <c r="Z12" s="11" t="s">
        <v>1910</v>
      </c>
      <c r="AA12" s="11" t="s">
        <v>1909</v>
      </c>
      <c r="AB12" s="11" t="s">
        <v>1910</v>
      </c>
      <c r="AC12" s="2208"/>
      <c r="AD12" s="1808"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6" t="s">
        <v>1910</v>
      </c>
      <c r="AT12" s="2209"/>
      <c r="AU12" s="2206"/>
      <c r="AV12" s="31"/>
      <c r="AW12" s="2165"/>
      <c r="AX12" s="31"/>
      <c r="AY12" s="2210"/>
      <c r="AZ12" s="28"/>
      <c r="BA12" s="2198"/>
      <c r="BB12" s="24" t="str">
        <f>I11</f>
        <v>独立商业</v>
      </c>
      <c r="BC12" s="2211" t="str">
        <f>K11</f>
        <v>独立商业</v>
      </c>
      <c r="BD12" s="2211" t="str">
        <f>M11</f>
        <v>车库</v>
      </c>
      <c r="BE12" s="2186">
        <f>O11</f>
        <v>0</v>
      </c>
      <c r="BF12" s="2186">
        <f>Q11</f>
        <v>0</v>
      </c>
      <c r="BG12" s="2186">
        <f>S11</f>
        <v>0</v>
      </c>
      <c r="BH12" s="2186">
        <f>U11</f>
        <v>0</v>
      </c>
      <c r="BI12" s="2186">
        <f>W11</f>
        <v>0</v>
      </c>
      <c r="BJ12" s="2186">
        <f>Y11</f>
        <v>0</v>
      </c>
      <c r="BK12" s="2186">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2.75">
      <c r="A13" s="1275"/>
      <c r="B13" s="1275"/>
      <c r="C13" s="1275" t="s">
        <v>3058</v>
      </c>
      <c r="D13" s="2212" t="s">
        <v>3045</v>
      </c>
      <c r="E13" s="16">
        <f>IF($C$3="是",ROUND($A$3*G13/$B$3,2),ROUND($A$3*(G13-AT13)/$B$3,2))</f>
        <v>55191.78</v>
      </c>
      <c r="F13" s="32"/>
      <c r="G13" s="33">
        <f>H13+AC13+AT13</f>
        <v>210956.06</v>
      </c>
      <c r="H13" s="20">
        <f>SUMIF(I$12:AB$12,"总值",I13:AB13)</f>
        <v>193344.75</v>
      </c>
      <c r="I13" s="2213">
        <v>125418.93</v>
      </c>
      <c r="J13" s="2213"/>
      <c r="K13" s="2213">
        <v>19300.580000000002</v>
      </c>
      <c r="L13" s="2213"/>
      <c r="M13" s="2213">
        <v>48625.24</v>
      </c>
      <c r="N13" s="2213"/>
      <c r="O13" s="2213"/>
      <c r="P13" s="2213"/>
      <c r="Q13" s="2213"/>
      <c r="R13" s="2213"/>
      <c r="S13" s="2213"/>
      <c r="T13" s="2213"/>
      <c r="U13" s="2213"/>
      <c r="V13" s="2213"/>
      <c r="W13" s="2213"/>
      <c r="X13" s="2213"/>
      <c r="Y13" s="2213"/>
      <c r="Z13" s="2213"/>
      <c r="AA13" s="2213"/>
      <c r="AB13" s="2213"/>
      <c r="AC13" s="16">
        <f>SUMIF(AD$12:AS$12,"总值",AD13:AS13)</f>
        <v>17611.310000000001</v>
      </c>
      <c r="AD13" s="2214"/>
      <c r="AE13" s="2214"/>
      <c r="AF13" s="2214"/>
      <c r="AG13" s="2214"/>
      <c r="AH13" s="2214"/>
      <c r="AI13" s="2214"/>
      <c r="AJ13" s="2214"/>
      <c r="AK13" s="2214"/>
      <c r="AL13" s="2214"/>
      <c r="AM13" s="2214"/>
      <c r="AN13" s="2214">
        <v>17611.310000000001</v>
      </c>
      <c r="AO13" s="2214"/>
      <c r="AP13" s="2214"/>
      <c r="AQ13" s="2214"/>
      <c r="AR13" s="2214"/>
      <c r="AS13" s="2214"/>
      <c r="AT13" s="2215"/>
      <c r="AU13" s="2216"/>
      <c r="AV13" s="11">
        <f t="shared" ref="AV13:AX17" si="6">A13</f>
        <v>0</v>
      </c>
      <c r="AW13" s="11">
        <f t="shared" si="6"/>
        <v>0</v>
      </c>
      <c r="AX13" s="11" t="str">
        <f t="shared" si="6"/>
        <v>1号楼</v>
      </c>
      <c r="AY13" s="1808">
        <f>ROUND($AY$6*AZ13/$AZ$5,2)</f>
        <v>55191.78</v>
      </c>
      <c r="AZ13" s="16">
        <f>BA13+BL13</f>
        <v>210956.06</v>
      </c>
      <c r="BA13" s="16">
        <f>SUM(BB13:BK13)</f>
        <v>193344.75</v>
      </c>
      <c r="BB13" s="16">
        <f>IF($D13="是",I13-J13,0)</f>
        <v>125418.93</v>
      </c>
      <c r="BC13" s="16">
        <f>IF($D13="是",K13-L13,0)</f>
        <v>19300.580000000002</v>
      </c>
      <c r="BD13" s="16">
        <f>IF($D13="是",M13-N13,0)</f>
        <v>48625.24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17611.310000000001</v>
      </c>
      <c r="BM13" s="16">
        <f>IF($D13="是",AD13-AE13,0)</f>
        <v>0</v>
      </c>
      <c r="BN13" s="16">
        <f>IF($D13="是",AF13-AG13,0)</f>
        <v>0</v>
      </c>
      <c r="BO13" s="16">
        <f>IF($D13="是",AH13-AI13,0)</f>
        <v>0</v>
      </c>
      <c r="BP13" s="16">
        <f>IF($D13="是",AJ13-AK13,0)</f>
        <v>0</v>
      </c>
      <c r="BQ13" s="16">
        <f>IF($D13="是",AL13-AM13,0)</f>
        <v>0</v>
      </c>
      <c r="BR13" s="16">
        <f>IF($D13="是",AN13-AO13,0)</f>
        <v>17611.310000000001</v>
      </c>
      <c r="BS13" s="16">
        <f>IF($D13="是",AP13-AQ13,0)</f>
        <v>0</v>
      </c>
      <c r="BT13" s="22">
        <f>IF($D13="是",AR13-AS13,0)</f>
        <v>0</v>
      </c>
    </row>
    <row r="14" spans="1:72" s="2166" customFormat="1" ht="12.75">
      <c r="A14" s="1275"/>
      <c r="B14" s="1275"/>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1936</v>
      </c>
      <c r="B1" s="1395"/>
      <c r="C1" s="1395"/>
      <c r="D1" s="1395"/>
      <c r="E1" s="1395"/>
      <c r="F1" s="1395"/>
      <c r="G1" s="1395"/>
      <c r="H1" s="1395"/>
      <c r="I1" s="1395"/>
      <c r="J1" s="1395"/>
      <c r="K1" s="1395"/>
      <c r="L1" s="1395"/>
      <c r="M1" s="1395"/>
      <c r="N1" s="1395"/>
      <c r="O1" s="1395"/>
      <c r="P1" s="1395"/>
    </row>
    <row r="2" spans="1:16" ht="15">
      <c r="A2" s="3051" t="s">
        <v>1937</v>
      </c>
      <c r="B2" s="3051"/>
      <c r="C2" s="3051"/>
      <c r="D2" s="970" t="s">
        <v>1913</v>
      </c>
      <c r="E2" s="2226" t="s">
        <v>1914</v>
      </c>
      <c r="F2" s="1395"/>
      <c r="G2" s="2227"/>
      <c r="H2" s="2228"/>
      <c r="I2" s="2229" t="s">
        <v>1938</v>
      </c>
      <c r="J2" s="1395"/>
      <c r="K2" s="1395"/>
      <c r="L2" s="1395"/>
      <c r="M2" s="1395"/>
      <c r="N2" s="1430"/>
      <c r="O2" s="1395"/>
      <c r="P2" s="1395"/>
    </row>
    <row r="3" spans="1:16" ht="15.75" thickBot="1">
      <c r="A3" s="3052" t="s">
        <v>1911</v>
      </c>
      <c r="B3" s="3052"/>
      <c r="C3" s="3052"/>
      <c r="D3" s="46">
        <f>'数据-基础表'!AY6</f>
        <v>55191.78</v>
      </c>
      <c r="E3" s="46">
        <f>'数据-基础表'!AZ5</f>
        <v>210956.06</v>
      </c>
      <c r="F3" s="1395"/>
      <c r="G3" s="1402"/>
      <c r="H3" s="1250" t="s">
        <v>1912</v>
      </c>
      <c r="I3" s="55">
        <f>ROUND('数据-基础表'!B3/'数据-基础表'!A3,2)</f>
        <v>3.82</v>
      </c>
      <c r="J3" s="1395"/>
      <c r="K3" s="1395"/>
      <c r="L3" s="1395"/>
      <c r="M3" s="1395"/>
      <c r="N3" s="1430"/>
      <c r="O3" s="1395"/>
      <c r="P3" s="1395"/>
    </row>
    <row r="4" spans="1:16" ht="15">
      <c r="A4" s="3053"/>
      <c r="B4" s="3054"/>
      <c r="C4" s="3055"/>
      <c r="D4" s="2230" t="s">
        <v>1913</v>
      </c>
      <c r="E4" s="2231" t="s">
        <v>1914</v>
      </c>
      <c r="F4" s="1395"/>
      <c r="G4" s="2232" t="s">
        <v>1939</v>
      </c>
      <c r="H4" s="1250" t="s">
        <v>1919</v>
      </c>
      <c r="I4" s="55">
        <f>ROUND(SUMIF('数据-基础表'!I9:AS9,"地上",'数据-基础表'!I5:AS5)/'数据-基础表'!A3,2)</f>
        <v>2.27</v>
      </c>
      <c r="J4" s="1395"/>
      <c r="K4" s="1395"/>
      <c r="L4" s="1395"/>
      <c r="M4" s="1395"/>
      <c r="N4" s="1430"/>
      <c r="O4" s="1395"/>
      <c r="P4" s="1395"/>
    </row>
    <row r="5" spans="1:16">
      <c r="A5" s="47" t="s">
        <v>1915</v>
      </c>
      <c r="B5" s="3056" t="s">
        <v>1916</v>
      </c>
      <c r="C5" s="3056"/>
      <c r="D5" s="48">
        <f>ROUND($D$3*E5/$E$3,2)</f>
        <v>0</v>
      </c>
      <c r="E5" s="49">
        <f>SUMIF('数据-基础表'!$11:$11,"住宅",'数据-基础表'!$5:$5)</f>
        <v>0</v>
      </c>
      <c r="F5" s="1395"/>
      <c r="G5" s="1402"/>
      <c r="H5" s="1250" t="s">
        <v>1912</v>
      </c>
      <c r="I5" s="55">
        <f>ROUND(E31/D31,2)</f>
        <v>3.82</v>
      </c>
      <c r="J5" s="1395"/>
      <c r="K5" s="1395"/>
      <c r="L5" s="1395"/>
      <c r="M5" s="1395"/>
      <c r="N5" s="1395"/>
      <c r="O5" s="1395"/>
      <c r="P5" s="1395"/>
    </row>
    <row r="6" spans="1:16" ht="15" thickBot="1">
      <c r="A6" s="2233"/>
      <c r="B6" s="3056" t="s">
        <v>1917</v>
      </c>
      <c r="C6" s="3056"/>
      <c r="D6" s="48">
        <f>ROUND($D$3*E6/$E$3,2)</f>
        <v>55191.78</v>
      </c>
      <c r="E6" s="49">
        <f>E3-E5</f>
        <v>210956.06</v>
      </c>
      <c r="F6" s="1395"/>
      <c r="G6" s="2234" t="s">
        <v>1918</v>
      </c>
      <c r="H6" s="1402" t="s">
        <v>1919</v>
      </c>
      <c r="I6" s="942">
        <f>ROUND(F31/D31,2)</f>
        <v>2.27</v>
      </c>
      <c r="J6" s="1395"/>
      <c r="K6" s="1395"/>
      <c r="L6" s="1395"/>
      <c r="M6" s="1395"/>
      <c r="N6" s="1395"/>
      <c r="O6" s="1395"/>
      <c r="P6" s="1395"/>
    </row>
    <row r="7" spans="1:16" ht="15">
      <c r="A7" s="3048"/>
      <c r="B7" s="3049"/>
      <c r="C7" s="3050"/>
      <c r="D7" s="2230" t="s">
        <v>1913</v>
      </c>
      <c r="E7" s="2235" t="s">
        <v>1920</v>
      </c>
      <c r="F7" s="1395"/>
      <c r="G7" s="2227" t="s">
        <v>1921</v>
      </c>
      <c r="H7" s="64"/>
      <c r="I7" s="420"/>
      <c r="J7" s="1395"/>
      <c r="K7" s="1395"/>
      <c r="L7" s="1395"/>
      <c r="M7" s="1395"/>
      <c r="N7" s="1395"/>
      <c r="O7" s="1395"/>
      <c r="P7" s="1395"/>
    </row>
    <row r="8" spans="1:16">
      <c r="A8" s="47" t="s">
        <v>1922</v>
      </c>
      <c r="B8" s="50" t="s">
        <v>1923</v>
      </c>
      <c r="C8" s="48" t="s">
        <v>1924</v>
      </c>
      <c r="D8" s="48">
        <f t="shared" ref="D8:D15" si="0">ROUND($D$3*E8/$E$3,2)</f>
        <v>32812.97</v>
      </c>
      <c r="E8" s="51">
        <f>SUMIF('数据-基础表'!BB10:BK10,"地上",'数据-基础表'!BB5:BK5)</f>
        <v>125418.93</v>
      </c>
      <c r="F8" s="1395"/>
      <c r="G8" s="2236"/>
      <c r="H8" s="2236"/>
      <c r="I8" s="1395"/>
      <c r="J8" s="1395"/>
      <c r="K8" s="1395"/>
      <c r="L8" s="1395"/>
      <c r="M8" s="1395"/>
      <c r="N8" s="1395"/>
      <c r="O8" s="1395"/>
      <c r="P8" s="1395"/>
    </row>
    <row r="9" spans="1:16">
      <c r="A9" s="2237"/>
      <c r="B9" s="2238"/>
      <c r="C9" s="48" t="s">
        <v>1925</v>
      </c>
      <c r="D9" s="48">
        <f t="shared" si="0"/>
        <v>0</v>
      </c>
      <c r="E9" s="52">
        <v>0</v>
      </c>
      <c r="F9" s="1395"/>
      <c r="G9" s="2236"/>
      <c r="H9" s="2236"/>
      <c r="I9" s="1395"/>
      <c r="J9" s="1395"/>
      <c r="K9" s="1395"/>
      <c r="L9" s="1395"/>
      <c r="M9" s="1395"/>
      <c r="N9" s="1395"/>
      <c r="O9" s="1395"/>
      <c r="P9" s="1395"/>
    </row>
    <row r="10" spans="1:16">
      <c r="A10" s="2237"/>
      <c r="B10" s="2238"/>
      <c r="C10" s="48" t="s">
        <v>1934</v>
      </c>
      <c r="D10" s="48">
        <f t="shared" si="0"/>
        <v>5049.55</v>
      </c>
      <c r="E10" s="51">
        <f>SUMPRODUCT(('数据-基础表'!BB10:BK10="地下")*('数据-基础表'!BB11:BK11="商业")*('数据-基础表'!BB5:BK5))</f>
        <v>19300.580000000002</v>
      </c>
      <c r="F10" s="1395"/>
      <c r="G10" s="2236"/>
      <c r="H10" s="2236"/>
      <c r="I10" s="1395"/>
      <c r="J10" s="1395"/>
      <c r="K10" s="1395"/>
      <c r="L10" s="1395"/>
      <c r="M10" s="1395"/>
      <c r="N10" s="1395"/>
      <c r="O10" s="1395"/>
      <c r="P10" s="1395"/>
    </row>
    <row r="11" spans="1:16">
      <c r="A11" s="2237"/>
      <c r="B11" s="2238"/>
      <c r="C11" s="48" t="s">
        <v>1926</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1927</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1928</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1940</v>
      </c>
      <c r="D14" s="48">
        <f t="shared" si="0"/>
        <v>12721.67</v>
      </c>
      <c r="E14" s="51">
        <f>SUMPRODUCT(('数据-基础表'!BB10:BK10="地下")*('数据-基础表'!BB11:BK11="车库—商业")*('数据-基础表'!BB5:BK5))</f>
        <v>48625.24</v>
      </c>
      <c r="F14" s="1395"/>
      <c r="G14" s="2236"/>
      <c r="H14" s="2236"/>
      <c r="I14" s="1395"/>
      <c r="J14" s="1395"/>
      <c r="K14" s="1395"/>
      <c r="L14" s="1395"/>
      <c r="M14" s="1395"/>
      <c r="N14" s="1395"/>
      <c r="O14" s="1395"/>
      <c r="P14" s="1395"/>
    </row>
    <row r="15" spans="1:16" ht="15" thickBot="1">
      <c r="A15" s="2237"/>
      <c r="B15" s="2238"/>
      <c r="C15" s="48" t="s">
        <v>1935</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1929</v>
      </c>
      <c r="D16" s="50">
        <f>SUM(D8:D15)</f>
        <v>50584.19</v>
      </c>
      <c r="E16" s="53">
        <f>SUM(E8:E15)</f>
        <v>193344.75</v>
      </c>
      <c r="F16" s="1395"/>
      <c r="G16" s="2236"/>
      <c r="H16" s="2239" t="s">
        <v>1941</v>
      </c>
      <c r="I16" s="2240"/>
      <c r="J16" s="1395"/>
      <c r="K16" s="3045" t="s">
        <v>1941</v>
      </c>
      <c r="L16" s="3046"/>
      <c r="M16" s="3046"/>
      <c r="N16" s="3046"/>
      <c r="O16" s="3046"/>
      <c r="P16" s="3047"/>
    </row>
    <row r="17" spans="1:19" ht="15">
      <c r="A17" s="2241" t="s">
        <v>1942</v>
      </c>
      <c r="B17" s="2242" t="s">
        <v>1943</v>
      </c>
      <c r="C17" s="2243" t="s">
        <v>1944</v>
      </c>
      <c r="D17" s="2244" t="s">
        <v>1932</v>
      </c>
      <c r="E17" s="2245" t="s">
        <v>1933</v>
      </c>
      <c r="F17" s="2246"/>
      <c r="G17" s="2247"/>
      <c r="H17" s="2248" t="s">
        <v>1945</v>
      </c>
      <c r="I17" s="2249" t="s">
        <v>1930</v>
      </c>
      <c r="J17" s="1395"/>
      <c r="K17" s="3042" t="s">
        <v>1946</v>
      </c>
      <c r="L17" s="3043"/>
      <c r="M17" s="3044"/>
      <c r="N17" s="3042" t="s">
        <v>1947</v>
      </c>
      <c r="O17" s="3043"/>
      <c r="P17" s="3044"/>
      <c r="R17" s="2227" t="s">
        <v>1948</v>
      </c>
      <c r="S17" s="64"/>
    </row>
    <row r="18" spans="1:19" ht="15">
      <c r="A18" s="2237"/>
      <c r="B18" s="2250"/>
      <c r="C18" s="2251"/>
      <c r="D18" s="2252"/>
      <c r="E18" s="2253" t="s">
        <v>1949</v>
      </c>
      <c r="F18" s="2254" t="s">
        <v>1950</v>
      </c>
      <c r="G18" s="2255" t="s">
        <v>1951</v>
      </c>
      <c r="H18" s="1265" t="s">
        <v>1952</v>
      </c>
      <c r="I18" s="2256" t="s">
        <v>1953</v>
      </c>
      <c r="J18" s="1395"/>
      <c r="K18" s="1265" t="s">
        <v>1954</v>
      </c>
      <c r="L18" s="2257" t="s">
        <v>1955</v>
      </c>
      <c r="M18" s="1049" t="s">
        <v>1956</v>
      </c>
      <c r="N18" s="1265" t="s">
        <v>1954</v>
      </c>
      <c r="O18" s="2257" t="s">
        <v>1955</v>
      </c>
      <c r="P18" s="1049" t="s">
        <v>1956</v>
      </c>
      <c r="R18" s="1250" t="s">
        <v>1957</v>
      </c>
      <c r="S18" s="1250" t="s">
        <v>1958</v>
      </c>
    </row>
    <row r="19" spans="1:19">
      <c r="A19" s="2258"/>
      <c r="B19" s="50" t="s">
        <v>1931</v>
      </c>
      <c r="C19" s="2948" t="s">
        <v>3175</v>
      </c>
      <c r="D19" s="48">
        <f>ROUND($D$3*E19/$E$3,2)</f>
        <v>50584.19</v>
      </c>
      <c r="E19" s="56">
        <f t="shared" ref="E19:E26" si="1">SUM(F19:G19)</f>
        <v>193344.75</v>
      </c>
      <c r="F19" s="57">
        <f>'数据-基础表'!I13</f>
        <v>125418.93</v>
      </c>
      <c r="G19" s="58">
        <f>'数据-基础表'!K13+'数据-基础表'!M13</f>
        <v>67925.820000000007</v>
      </c>
      <c r="H19" s="723">
        <f>ROUND($D$3*I19/$E$3,2)</f>
        <v>4607.59</v>
      </c>
      <c r="I19" s="51">
        <f t="shared" ref="I19:I26" si="2">IF($I$17="自定义",P19,M19)</f>
        <v>17611.310000000001</v>
      </c>
      <c r="J19" s="1395"/>
      <c r="K19" s="1394">
        <f t="shared" ref="K19:K26" si="3">ROUND(E$28*E19/E$27,2)</f>
        <v>17611.310000000001</v>
      </c>
      <c r="L19" s="1250">
        <f t="shared" ref="L19:L26" si="4">ROUND(IF(COUNTIF(C19,"*住宅*")&gt;0,E$29*E19/E$32,0),2)</f>
        <v>0</v>
      </c>
      <c r="M19" s="1406">
        <f>K19+L19</f>
        <v>17611.310000000001</v>
      </c>
      <c r="N19" s="2260"/>
      <c r="O19" s="2261"/>
      <c r="P19" s="1406">
        <f>N19+O19</f>
        <v>0</v>
      </c>
      <c r="R19" s="1250">
        <f t="shared" ref="R19:S26" si="5">D19+H19</f>
        <v>55191.78</v>
      </c>
      <c r="S19" s="1251">
        <f t="shared" si="5"/>
        <v>210956.06</v>
      </c>
    </row>
    <row r="20" spans="1:19">
      <c r="A20" s="2262"/>
      <c r="B20" s="50" t="s">
        <v>1959</v>
      </c>
      <c r="C20" s="2948"/>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1959</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1959</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1959</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1959</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1959</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1959</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1960</v>
      </c>
      <c r="D27" s="1396">
        <f>SUM(D19:D26)</f>
        <v>50584.19</v>
      </c>
      <c r="E27" s="1397">
        <f>IF(SUM(E19:E26)='数据-基础表'!BA5,SUM(E19:E26),IF(F27="地上面积有误","面积有误","地下面积有误"))</f>
        <v>193344.75</v>
      </c>
      <c r="F27" s="1396">
        <f>IF(SUM(F19:F26)=E8,SUM(F19:F26),"地上面积有误")</f>
        <v>125418.93</v>
      </c>
      <c r="G27" s="1398">
        <f>SUM(G19:G26)</f>
        <v>67925.820000000007</v>
      </c>
      <c r="H27" s="1399">
        <f>SUM(H19:H26)</f>
        <v>4607.59</v>
      </c>
      <c r="I27" s="1400">
        <f>SUM(I19:I26)</f>
        <v>17611.310000000001</v>
      </c>
      <c r="J27" s="1395"/>
      <c r="K27" s="1403">
        <f>SUM(K19:K26)</f>
        <v>17611.310000000001</v>
      </c>
      <c r="L27" s="1404">
        <f>SUM(L19:L26)</f>
        <v>0</v>
      </c>
      <c r="M27" s="1407">
        <f>SUM(M19:M26)</f>
        <v>17611.310000000001</v>
      </c>
      <c r="N27" s="1403">
        <f t="shared" ref="N27:O27" si="10">SUM(N19:N26)</f>
        <v>0</v>
      </c>
      <c r="O27" s="1404">
        <f t="shared" si="10"/>
        <v>0</v>
      </c>
      <c r="P27" s="1405">
        <f>SUM(P19:P26)</f>
        <v>0</v>
      </c>
      <c r="R27" s="1252">
        <f>IF(SUM(R19:R26)=$D$3,SUM(R19:R26),SUM(R19:R26)&amp;"误差"&amp;ROUND(SUM(R19:R26)-$D$3,2))</f>
        <v>55191.78</v>
      </c>
      <c r="S27" s="1250">
        <f>IF(SUM(S19:S26)=$E$3,SUM(S19:S26),SUM(S19:S26)&amp;"误差"&amp;ROUND(SUM(S19:S26)-E3,2))</f>
        <v>210956.06</v>
      </c>
    </row>
    <row r="28" spans="1:19">
      <c r="A28" s="2262"/>
      <c r="B28" s="50" t="s">
        <v>1961</v>
      </c>
      <c r="C28" s="1262" t="s">
        <v>1962</v>
      </c>
      <c r="D28" s="48">
        <f>ROUND($D$3*E28/$E$3,2)</f>
        <v>4607.59</v>
      </c>
      <c r="E28" s="56">
        <f>SUM(F28:G28)</f>
        <v>17611.310000000001</v>
      </c>
      <c r="F28" s="64">
        <f>'数据-基础表'!BQ5+'数据-基础表'!BS5</f>
        <v>0</v>
      </c>
      <c r="G28" s="65">
        <f>'数据-基础表'!BR5+'数据-基础表'!BT5</f>
        <v>17611.310000000001</v>
      </c>
      <c r="H28" s="1395"/>
      <c r="I28" s="1395"/>
      <c r="J28" s="1395"/>
      <c r="K28" s="1395"/>
      <c r="L28" s="1395"/>
      <c r="M28" s="1395"/>
      <c r="N28" s="1395"/>
      <c r="O28" s="1395"/>
      <c r="P28" s="1395"/>
    </row>
    <row r="29" spans="1:19">
      <c r="A29" s="2262"/>
      <c r="B29" s="50" t="s">
        <v>1961</v>
      </c>
      <c r="C29" s="2266" t="s">
        <v>1963</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1960</v>
      </c>
      <c r="D30" s="1396">
        <f>SUM(D28:D29)</f>
        <v>4607.59</v>
      </c>
      <c r="E30" s="1396">
        <f>SUM(E28:E29)</f>
        <v>17611.310000000001</v>
      </c>
      <c r="F30" s="1396">
        <f>SUM(F28:F29)</f>
        <v>0</v>
      </c>
      <c r="G30" s="1398">
        <f>SUM(G28:G29)</f>
        <v>17611.310000000001</v>
      </c>
      <c r="H30" s="1395"/>
      <c r="I30" s="1395"/>
      <c r="J30" s="1395"/>
      <c r="K30" s="1395"/>
      <c r="L30" s="1395"/>
      <c r="M30" s="1395"/>
      <c r="N30" s="1395"/>
      <c r="O30" s="1395"/>
      <c r="P30" s="1395"/>
    </row>
    <row r="31" spans="1:19" ht="15.75" thickBot="1">
      <c r="A31" s="2268"/>
      <c r="B31" s="2269"/>
      <c r="C31" s="1010" t="s">
        <v>1964</v>
      </c>
      <c r="D31" s="729">
        <f>D27+D30</f>
        <v>55191.78</v>
      </c>
      <c r="E31" s="729">
        <f>E27+E30</f>
        <v>210956.06</v>
      </c>
      <c r="F31" s="730">
        <f>F27+F30</f>
        <v>125418.93</v>
      </c>
      <c r="G31" s="731">
        <f>G27+G30</f>
        <v>85537.13</v>
      </c>
      <c r="H31" s="1395"/>
      <c r="I31" s="1395"/>
      <c r="J31" s="1395"/>
      <c r="K31" s="1395"/>
      <c r="L31" s="1395"/>
      <c r="M31" s="1395"/>
      <c r="N31" s="1395"/>
      <c r="O31" s="1395"/>
      <c r="P31" s="1395"/>
    </row>
    <row r="32" spans="1:19">
      <c r="A32" s="2232"/>
      <c r="B32" s="2232" t="s">
        <v>1965</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9" sqref="L9"/>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3" width="7.25" style="2274" customWidth="1"/>
    <col min="34" max="34" width="9.6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1966</v>
      </c>
      <c r="B1" s="732"/>
      <c r="C1" s="1583"/>
      <c r="D1" s="2272"/>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5" t="s">
        <v>1967</v>
      </c>
      <c r="B2" s="1269">
        <f>项目基本情况!D3</f>
        <v>43235</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3" customFormat="1" ht="15" thickBot="1">
      <c r="A3" s="2031"/>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3" customFormat="1" ht="15" thickBot="1">
      <c r="A4" s="68" t="s">
        <v>1968</v>
      </c>
      <c r="B4" s="2280"/>
      <c r="C4" s="2281"/>
      <c r="D4" s="2282"/>
      <c r="E4" s="2281" t="s">
        <v>1969</v>
      </c>
      <c r="F4" s="2281"/>
      <c r="G4" s="2281"/>
      <c r="H4" s="2281"/>
      <c r="I4" s="2281"/>
      <c r="J4" s="2283"/>
      <c r="K4" s="2284"/>
      <c r="L4" s="2285"/>
      <c r="M4" s="2281"/>
      <c r="N4" s="2281" t="s">
        <v>1970</v>
      </c>
      <c r="O4" s="2281"/>
      <c r="P4" s="2281"/>
      <c r="Q4" s="2281"/>
      <c r="R4" s="2281"/>
      <c r="S4" s="2283"/>
      <c r="T4" s="2286" t="str">
        <f>'数据-汇总表'!I17</f>
        <v>按面积比例</v>
      </c>
      <c r="U4" s="2280" t="s">
        <v>1971</v>
      </c>
      <c r="V4" s="2281"/>
      <c r="W4" s="2281"/>
      <c r="X4" s="2281"/>
      <c r="Y4" s="2283"/>
      <c r="Z4" s="2243" t="s">
        <v>1972</v>
      </c>
      <c r="AA4" s="2243"/>
      <c r="AB4" s="2243"/>
      <c r="AC4" s="2243"/>
      <c r="AD4" s="2243"/>
      <c r="AE4" s="2241" t="s">
        <v>1973</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4" customFormat="1" ht="42">
      <c r="A5" s="2288" t="s">
        <v>1974</v>
      </c>
      <c r="B5" s="2289" t="s">
        <v>1975</v>
      </c>
      <c r="C5" s="2290" t="s">
        <v>1976</v>
      </c>
      <c r="D5" s="2291" t="s">
        <v>1977</v>
      </c>
      <c r="E5" s="1271" t="s">
        <v>1978</v>
      </c>
      <c r="F5" s="2292" t="s">
        <v>1979</v>
      </c>
      <c r="G5" s="1271" t="s">
        <v>1980</v>
      </c>
      <c r="H5" s="1271" t="s">
        <v>1981</v>
      </c>
      <c r="I5" s="1271" t="s">
        <v>1982</v>
      </c>
      <c r="J5" s="2293" t="s">
        <v>1983</v>
      </c>
      <c r="K5" s="2294" t="s">
        <v>1984</v>
      </c>
      <c r="L5" s="2295" t="s">
        <v>1985</v>
      </c>
      <c r="M5" s="2296" t="s">
        <v>1986</v>
      </c>
      <c r="N5" s="2297" t="s">
        <v>3064</v>
      </c>
      <c r="O5" s="2295" t="s">
        <v>1987</v>
      </c>
      <c r="P5" s="2298" t="s">
        <v>1988</v>
      </c>
      <c r="Q5" s="69" t="s">
        <v>1989</v>
      </c>
      <c r="R5" s="2299" t="s">
        <v>1990</v>
      </c>
      <c r="S5" s="2300" t="s">
        <v>1991</v>
      </c>
      <c r="T5" s="2301" t="s">
        <v>1992</v>
      </c>
      <c r="U5" s="1270" t="s">
        <v>1993</v>
      </c>
      <c r="V5" s="1271" t="s">
        <v>1994</v>
      </c>
      <c r="W5" s="1271" t="s">
        <v>1995</v>
      </c>
      <c r="X5" s="71"/>
      <c r="Y5" s="70" t="s">
        <v>1996</v>
      </c>
      <c r="Z5" s="2302" t="s">
        <v>1993</v>
      </c>
      <c r="AA5" s="1271" t="s">
        <v>1994</v>
      </c>
      <c r="AB5" s="1271" t="s">
        <v>1995</v>
      </c>
      <c r="AC5" s="71"/>
      <c r="AD5" s="71" t="s">
        <v>1996</v>
      </c>
      <c r="AE5" s="1270" t="s">
        <v>1997</v>
      </c>
      <c r="AF5" s="1271" t="s">
        <v>1998</v>
      </c>
      <c r="AG5" s="70" t="s">
        <v>1999</v>
      </c>
      <c r="AH5" s="1270" t="s">
        <v>2000</v>
      </c>
      <c r="AI5" s="2302" t="s">
        <v>2001</v>
      </c>
      <c r="AJ5" s="2302" t="s">
        <v>2002</v>
      </c>
      <c r="AK5" s="1271" t="s">
        <v>2003</v>
      </c>
      <c r="AL5" s="1271" t="s">
        <v>2004</v>
      </c>
      <c r="AM5" s="70" t="s">
        <v>2005</v>
      </c>
      <c r="AN5" s="2303" t="s">
        <v>2006</v>
      </c>
      <c r="AO5" s="2073" t="s">
        <v>2007</v>
      </c>
      <c r="AP5" s="1252" t="s">
        <v>2008</v>
      </c>
      <c r="AQ5" s="2304" t="s">
        <v>2009</v>
      </c>
      <c r="AR5" s="2304" t="s">
        <v>2010</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5" t="str">
        <f>'数据-汇总表'!C19</f>
        <v>整栋楼</v>
      </c>
      <c r="B6" s="2306" t="str">
        <f>IF(A6=0,"","经营性")</f>
        <v>经营性</v>
      </c>
      <c r="C6" s="2307" t="s">
        <v>1377</v>
      </c>
      <c r="D6" s="1054">
        <f>SUMIF(项目基本情况!D$12:I$12,C6,项目基本情况!D$14:I$14)</f>
        <v>40</v>
      </c>
      <c r="E6" s="1051">
        <f>IF(B6="","",SUMIF(项目基本情况!D$12:I$12,C6,项目基本情况!D$13:I$13))</f>
        <v>55161</v>
      </c>
      <c r="F6" s="72">
        <f>SUMIF(项目基本情况!D$12:I$12,C6,项目基本情况!D$15:I$15)</f>
        <v>32.67</v>
      </c>
      <c r="G6" s="73">
        <f>IF(ISERROR(ROUND(POWER(1+H6,D6-F6)*(POWER(1+H6,F6)-1)/(POWER(1+H6,D6)-1),3)),0,ROUND(POWER(1+H6,D6-F6)*(POWER(1+H6,F6)-1)/(POWER(1+H6,D6)-1),3))</f>
        <v>0.93600000000000005</v>
      </c>
      <c r="H6" s="802">
        <v>5.5E-2</v>
      </c>
      <c r="I6" s="802">
        <v>0.06</v>
      </c>
      <c r="J6" s="74">
        <v>8.5000000000000006E-2</v>
      </c>
      <c r="K6" s="1254">
        <f>SUMIF('数据-汇总表'!C$19:C$33,A6,'数据-汇总表'!E$19:E$33)</f>
        <v>193344.75</v>
      </c>
      <c r="L6" s="803">
        <v>3500</v>
      </c>
      <c r="M6" s="75">
        <f t="shared" ref="M6:M14" si="0">ROUND(K6*L6/10000,0)</f>
        <v>67671</v>
      </c>
      <c r="N6" s="801">
        <v>0.95</v>
      </c>
      <c r="O6" s="75" t="str">
        <f>IF($N$5="成新度","——",ROUND(M6*N6,0))</f>
        <v>——</v>
      </c>
      <c r="P6" s="76" t="str">
        <f>IF($N$5="成新度","——",M6-O6)</f>
        <v>——</v>
      </c>
      <c r="Q6" s="804">
        <v>0.17</v>
      </c>
      <c r="R6" s="77">
        <f ca="1">SUMIF('数据-汇总表'!C$19:C$33,A6,'数据-汇总表'!R$19:R$27)</f>
        <v>55191.78</v>
      </c>
      <c r="S6" s="54">
        <f>IF('数据-汇总表'!$I$17="按面积比例",SUMIF('数据-汇总表'!C$19:C$33,A6,'数据-汇总表'!K$19:K$33),SUMIF('数据-汇总表'!C$19:C$33,A6,'数据-汇总表'!N$19:N$33))</f>
        <v>17611.310000000001</v>
      </c>
      <c r="T6" s="1446">
        <f>ROUND($L$14*S6/10000,0)</f>
        <v>3874</v>
      </c>
      <c r="U6" s="78">
        <v>5.3</v>
      </c>
      <c r="V6" s="2965">
        <v>0</v>
      </c>
      <c r="W6" s="79">
        <v>0.1</v>
      </c>
      <c r="X6" s="1264"/>
      <c r="Y6" s="80">
        <f>N6</f>
        <v>0.95</v>
      </c>
      <c r="Z6" s="81"/>
      <c r="AA6" s="74"/>
      <c r="AB6" s="74"/>
      <c r="AC6" s="1264"/>
      <c r="AD6" s="82"/>
      <c r="AE6" s="1265">
        <f ca="1">IF(AN6="",0,SUMIF(INDIRECT("'"&amp;AN6&amp;"'"&amp;"!E:E"),$AE$5,INDIRECT("'"&amp;AN6&amp;"'"&amp;"!F:F")))</f>
        <v>32.67</v>
      </c>
      <c r="AF6" s="1806"/>
      <c r="AG6" s="147">
        <f>IF(AF6="",0,AE6-AF6)</f>
        <v>0</v>
      </c>
      <c r="AH6" s="83">
        <f>'数据-基础表'!I13+'数据-基础表'!K13</f>
        <v>144719.51</v>
      </c>
      <c r="AI6" s="85">
        <v>365</v>
      </c>
      <c r="AJ6" s="86"/>
      <c r="AK6" s="87">
        <v>1.4999999999999999E-2</v>
      </c>
      <c r="AL6" s="88">
        <v>1.5E-3</v>
      </c>
      <c r="AM6" s="89">
        <v>1.4999999999999999E-2</v>
      </c>
      <c r="AN6" s="2308" t="s">
        <v>3065</v>
      </c>
      <c r="AO6" s="55">
        <f ca="1">SUMIF(INDIRECT("'"&amp;AN6&amp;"'"&amp;"!A:A"),"总价",INDIRECT("'"&amp;AN6&amp;"'"&amp;"!B:B"))</f>
        <v>268470</v>
      </c>
      <c r="AP6" s="2309">
        <f>IF(C6="住宅",K6*L6,0)</f>
        <v>0</v>
      </c>
      <c r="AQ6" s="55">
        <f>ROUND($L$14*$N$14*S6/10000,0)</f>
        <v>3681</v>
      </c>
      <c r="AR6" s="55">
        <f>ROUND($L$14*(1-$N$14)*S6/10000,0)</f>
        <v>194</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3"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3"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3"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3"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3"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3"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3"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3" customFormat="1" ht="14.25">
      <c r="A14" s="2310" t="s">
        <v>2011</v>
      </c>
      <c r="B14" s="2306" t="s">
        <v>2012</v>
      </c>
      <c r="C14" s="2311" t="s">
        <v>2011</v>
      </c>
      <c r="D14" s="1054"/>
      <c r="E14" s="1051"/>
      <c r="F14" s="72"/>
      <c r="G14" s="73"/>
      <c r="H14" s="1253"/>
      <c r="I14" s="1253"/>
      <c r="J14" s="1253"/>
      <c r="K14" s="1254">
        <f>SUMIF('数据-汇总表'!C$19:C$33,A14,'数据-汇总表'!E$19:E$33)</f>
        <v>17611.310000000001</v>
      </c>
      <c r="L14" s="91">
        <v>2200</v>
      </c>
      <c r="M14" s="75">
        <f t="shared" si="0"/>
        <v>3874</v>
      </c>
      <c r="N14" s="92">
        <v>0.95</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3" customFormat="1" ht="27">
      <c r="A15" s="2310" t="s">
        <v>2013</v>
      </c>
      <c r="B15" s="2306" t="s">
        <v>2012</v>
      </c>
      <c r="C15" s="2311" t="s">
        <v>2014</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3" customFormat="1" ht="15.75" thickBot="1">
      <c r="A16" s="2312" t="s">
        <v>2015</v>
      </c>
      <c r="B16" s="97"/>
      <c r="C16" s="1008"/>
      <c r="D16" s="2313"/>
      <c r="E16" s="97"/>
      <c r="F16" s="97"/>
      <c r="G16" s="98">
        <f>ROUND(SUMPRODUCT(G6:G13,K6:K13)/SUMPRODUCT((G6:G13&gt;0)*(K6:K13)),3)</f>
        <v>0.93600000000000005</v>
      </c>
      <c r="H16" s="99">
        <f>ROUND(SUMPRODUCT(H6:H13,K6:K13)/SUMPRODUCT((H6:H13&gt;0)*(K6:K13)),3)</f>
        <v>5.5E-2</v>
      </c>
      <c r="I16" s="100"/>
      <c r="J16" s="100"/>
      <c r="K16" s="101">
        <f>SUM(K6:K15)</f>
        <v>210956.06</v>
      </c>
      <c r="L16" s="102">
        <f>ROUND(M16*10000/SUM(K6:K14),0)</f>
        <v>3391</v>
      </c>
      <c r="M16" s="102">
        <f>SUM(M6:M14)</f>
        <v>71545</v>
      </c>
      <c r="N16" s="103">
        <f>ROUND(SUMPRODUCT(M6:M14,N6:N14)/M16,3)</f>
        <v>0.95</v>
      </c>
      <c r="O16" s="102">
        <f>SUM(O6:O14)</f>
        <v>0</v>
      </c>
      <c r="P16" s="102">
        <f>SUM(P6:P14)</f>
        <v>0</v>
      </c>
      <c r="Q16" s="104">
        <f>ROUND(SUMPRODUCT(Q6:Q13,K6:K13)/SUMPRODUCT((Q6:Q13&gt;0)*(K6:K13)),2)</f>
        <v>0.17</v>
      </c>
      <c r="R16" s="1258">
        <f ca="1">SUM(R6:R13)</f>
        <v>55191.78</v>
      </c>
      <c r="S16" s="105">
        <f>SUM(S6:S13)</f>
        <v>17611.310000000001</v>
      </c>
      <c r="T16" s="106">
        <f>IF(SUMIF(T6:T13,"&lt;9E307")=M14,SUMIF(T6:T13,"&lt;9E307"),"有误，请检查")</f>
        <v>3874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3"/>
      <c r="D17" s="2272"/>
      <c r="E17" s="2272"/>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2016</v>
      </c>
      <c r="B18" s="2279"/>
      <c r="C18" s="2276"/>
      <c r="D18" s="2277"/>
      <c r="E18" s="2276"/>
      <c r="F18" s="2276"/>
      <c r="G18" s="2276"/>
      <c r="H18" s="2276"/>
      <c r="I18" s="2276"/>
      <c r="J18" s="2276"/>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5" t="s">
        <v>2017</v>
      </c>
      <c r="B19" s="112">
        <v>0</v>
      </c>
      <c r="C19" s="2276" t="s">
        <v>2018</v>
      </c>
      <c r="D19" s="2277"/>
      <c r="E19" s="2276"/>
      <c r="F19" s="2276"/>
      <c r="G19" s="2276"/>
      <c r="H19" s="2276"/>
      <c r="I19" s="2276"/>
      <c r="J19" s="2276"/>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6" t="s">
        <v>2019</v>
      </c>
      <c r="B20" s="113">
        <v>2</v>
      </c>
      <c r="C20" s="2276" t="s">
        <v>2020</v>
      </c>
      <c r="D20" s="2277"/>
      <c r="E20" s="2276"/>
      <c r="F20" s="2276"/>
      <c r="G20" s="2276"/>
      <c r="H20" s="2276"/>
      <c r="I20" s="2276"/>
      <c r="J20" s="2276"/>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7" t="s">
        <v>2021</v>
      </c>
      <c r="B21" s="113">
        <v>2</v>
      </c>
      <c r="C21" s="2276"/>
      <c r="D21" s="2277"/>
      <c r="E21" s="2276"/>
      <c r="F21" s="2276"/>
      <c r="G21" s="2276"/>
      <c r="H21" s="2276"/>
      <c r="I21" s="2276"/>
      <c r="J21" s="2276"/>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6" t="s">
        <v>2022</v>
      </c>
      <c r="B22" s="114">
        <f>B19+B20</f>
        <v>2</v>
      </c>
      <c r="C22" s="2276"/>
      <c r="D22" s="2277"/>
      <c r="E22" s="2276"/>
      <c r="F22" s="2276"/>
      <c r="G22" s="2276"/>
      <c r="H22" s="2276"/>
      <c r="I22" s="2276"/>
      <c r="J22" s="2276"/>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7" t="s">
        <v>2023</v>
      </c>
      <c r="B23" s="114">
        <f>B19+B21</f>
        <v>2</v>
      </c>
      <c r="C23" s="2276"/>
      <c r="D23" s="2277"/>
      <c r="E23" s="2276"/>
      <c r="F23" s="2276"/>
      <c r="G23" s="2276"/>
      <c r="H23" s="2276"/>
      <c r="I23" s="2276"/>
      <c r="J23" s="2276"/>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8" t="s">
        <v>2024</v>
      </c>
      <c r="B24" s="115">
        <f>B20-B21</f>
        <v>0</v>
      </c>
      <c r="C24" s="2276"/>
      <c r="D24" s="2277"/>
      <c r="E24" s="2276"/>
      <c r="F24" s="2276"/>
      <c r="G24" s="2276"/>
      <c r="H24" s="2276"/>
      <c r="I24" s="2276"/>
      <c r="J24" s="2276"/>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9"/>
      <c r="C25" s="2276"/>
      <c r="D25" s="2277"/>
      <c r="E25" s="2276"/>
      <c r="F25" s="2276"/>
      <c r="G25" s="2276"/>
      <c r="H25" s="2276"/>
      <c r="I25" s="2276"/>
      <c r="J25" s="2276"/>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5" t="s">
        <v>2025</v>
      </c>
      <c r="B26" s="2319" t="s">
        <v>2026</v>
      </c>
      <c r="C26" s="2320" t="s">
        <v>2027</v>
      </c>
      <c r="D26" s="2277"/>
      <c r="E26" s="2276"/>
      <c r="F26" s="2276"/>
      <c r="G26" s="2276"/>
      <c r="H26" s="2276"/>
      <c r="I26" s="2276"/>
      <c r="J26" s="2276"/>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3" customFormat="1" ht="27.75">
      <c r="A27" s="2321" t="s">
        <v>2028</v>
      </c>
      <c r="B27" s="116">
        <v>150</v>
      </c>
      <c r="C27" s="1766" t="s">
        <v>2029</v>
      </c>
      <c r="D27" s="2322"/>
      <c r="E27" s="1430"/>
      <c r="F27" s="1430"/>
      <c r="G27" s="2276"/>
      <c r="H27" s="2276"/>
      <c r="I27" s="2276"/>
      <c r="J27" s="2276"/>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2030</v>
      </c>
      <c r="B28" s="119">
        <v>190</v>
      </c>
      <c r="C28" s="2325"/>
      <c r="D28" s="2322"/>
      <c r="E28" s="1430"/>
      <c r="F28" s="1430"/>
      <c r="G28" s="2276"/>
      <c r="H28" s="2276"/>
      <c r="I28" s="2276"/>
      <c r="J28" s="2276"/>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2031</v>
      </c>
      <c r="B29" s="121">
        <f ca="1">成本法!C10</f>
        <v>4008</v>
      </c>
      <c r="C29" s="1766" t="s">
        <v>2032</v>
      </c>
      <c r="D29" s="2322"/>
      <c r="E29" s="1430"/>
      <c r="F29" s="1430"/>
      <c r="G29" s="2276"/>
      <c r="H29" s="2276"/>
      <c r="I29" s="2276"/>
      <c r="J29" s="2276"/>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2033</v>
      </c>
      <c r="B30" s="724">
        <v>200</v>
      </c>
      <c r="C30" s="2325"/>
      <c r="D30" s="2322"/>
      <c r="E30" s="1430"/>
      <c r="F30" s="1430"/>
      <c r="G30" s="2276"/>
      <c r="H30" s="2276"/>
      <c r="I30" s="2276"/>
      <c r="J30" s="2276"/>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2034</v>
      </c>
      <c r="B31" s="120">
        <f>B30-B32</f>
        <v>200</v>
      </c>
      <c r="C31" s="1766"/>
      <c r="D31" s="2322"/>
      <c r="E31" s="1430"/>
      <c r="F31" s="1430"/>
      <c r="G31" s="2276"/>
      <c r="H31" s="2276"/>
      <c r="I31" s="2276"/>
      <c r="J31" s="2276"/>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2035</v>
      </c>
      <c r="B32" s="725">
        <v>0</v>
      </c>
      <c r="C32" s="2325"/>
      <c r="D32" s="2277"/>
      <c r="E32" s="2276"/>
      <c r="F32" s="2276"/>
      <c r="G32" s="2276"/>
      <c r="H32" s="2276"/>
      <c r="I32" s="2276"/>
      <c r="J32" s="2276"/>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2036</v>
      </c>
      <c r="B33" s="726">
        <v>0.03</v>
      </c>
      <c r="C33" s="1765" t="s">
        <v>2037</v>
      </c>
      <c r="D33" s="2277"/>
      <c r="E33" s="2276"/>
      <c r="F33" s="2276"/>
      <c r="G33" s="2276"/>
      <c r="H33" s="2276"/>
      <c r="I33" s="2276"/>
      <c r="J33" s="2276"/>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2038</v>
      </c>
      <c r="B34" s="122"/>
      <c r="C34" s="1765" t="s">
        <v>2039</v>
      </c>
      <c r="D34" s="2277" t="s">
        <v>2040</v>
      </c>
      <c r="E34" s="732"/>
      <c r="F34" s="2276"/>
      <c r="G34" s="2276"/>
      <c r="H34" s="2276"/>
      <c r="I34" s="2276"/>
      <c r="J34" s="2276"/>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2041</v>
      </c>
      <c r="B35" s="119">
        <v>200</v>
      </c>
      <c r="C35" s="1765" t="s">
        <v>2042</v>
      </c>
      <c r="D35" s="2322"/>
      <c r="E35" s="1430"/>
      <c r="F35" s="1430"/>
      <c r="G35" s="2276"/>
      <c r="H35" s="2276"/>
      <c r="I35" s="2276"/>
      <c r="J35" s="2276"/>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2043</v>
      </c>
      <c r="B36" s="123">
        <v>1.4999999999999999E-2</v>
      </c>
      <c r="C36" s="1765" t="s">
        <v>2044</v>
      </c>
      <c r="D36" s="2277"/>
      <c r="E36" s="2276"/>
      <c r="F36" s="2276"/>
      <c r="G36" s="2276"/>
      <c r="H36" s="2276"/>
      <c r="I36" s="2276"/>
      <c r="J36" s="2276"/>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7" t="s">
        <v>2045</v>
      </c>
      <c r="B37" s="124">
        <v>0.02</v>
      </c>
      <c r="C37" s="1765" t="s">
        <v>2046</v>
      </c>
      <c r="D37" s="2277"/>
      <c r="E37" s="2276"/>
      <c r="F37" s="2276"/>
      <c r="G37" s="2276"/>
      <c r="H37" s="2276"/>
      <c r="I37" s="2276"/>
      <c r="J37" s="2276"/>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4" t="s">
        <v>2047</v>
      </c>
      <c r="B38" s="122">
        <v>0.02</v>
      </c>
      <c r="C38" s="1765" t="s">
        <v>2046</v>
      </c>
      <c r="D38" s="2277"/>
      <c r="E38" s="2276"/>
      <c r="F38" s="2276"/>
      <c r="G38" s="2276"/>
      <c r="H38" s="2276"/>
      <c r="I38" s="2276"/>
      <c r="J38" s="2276"/>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8" t="s">
        <v>2048</v>
      </c>
      <c r="B39" s="362">
        <f ca="1">存贷款利率!I1</f>
        <v>1.4999999999999999E-2</v>
      </c>
      <c r="C39" s="1765"/>
      <c r="D39" s="2277"/>
      <c r="E39" s="2276"/>
      <c r="F39" s="2276"/>
      <c r="G39" s="2276"/>
      <c r="H39" s="2276"/>
      <c r="I39" s="2276"/>
      <c r="J39" s="2276"/>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8" t="s">
        <v>2049</v>
      </c>
      <c r="B40" s="1303">
        <f ca="1">存贷款利率!G1</f>
        <v>4.7500000000000001E-2</v>
      </c>
      <c r="C40" s="1765" t="s">
        <v>2050</v>
      </c>
      <c r="D40" s="1583"/>
      <c r="E40" s="2277"/>
      <c r="F40" s="2276"/>
      <c r="G40" s="2276"/>
      <c r="H40" s="2276"/>
      <c r="I40" s="2276"/>
      <c r="J40" s="2276"/>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1" t="s">
        <v>2051</v>
      </c>
      <c r="B41" s="125">
        <f>B42+B43</f>
        <v>5.5000000000000007E-2</v>
      </c>
      <c r="C41" s="1766"/>
      <c r="D41" s="1583"/>
      <c r="E41" s="2277"/>
      <c r="F41" s="2276"/>
      <c r="G41" s="2276"/>
      <c r="H41" s="2276"/>
      <c r="I41" s="2276"/>
      <c r="J41" s="2276"/>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9" t="s">
        <v>2052</v>
      </c>
      <c r="B42" s="126">
        <v>0.05</v>
      </c>
      <c r="C42" s="2330">
        <f>IF(B2&lt;DATE(2016,5,1),0,B42)</f>
        <v>0.05</v>
      </c>
      <c r="D42" s="2277"/>
      <c r="E42" s="2276"/>
      <c r="F42" s="2276"/>
      <c r="G42" s="2276"/>
      <c r="H42" s="2276"/>
      <c r="I42" s="2276"/>
      <c r="J42" s="2276"/>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9" t="s">
        <v>2053</v>
      </c>
      <c r="B43" s="127">
        <f>B42*(B44+B45+B46)+B47</f>
        <v>5.000000000000001E-3</v>
      </c>
      <c r="C43" s="1766"/>
      <c r="D43" s="2277"/>
      <c r="E43" s="2276"/>
      <c r="F43" s="2276"/>
      <c r="G43" s="2276"/>
      <c r="H43" s="2276"/>
      <c r="I43" s="2276"/>
      <c r="J43" s="2276"/>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1" t="s">
        <v>2054</v>
      </c>
      <c r="B44" s="128">
        <v>0.05</v>
      </c>
      <c r="C44" s="1765" t="s">
        <v>2055</v>
      </c>
      <c r="D44" s="2277"/>
      <c r="E44" s="2276"/>
      <c r="F44" s="2276"/>
      <c r="G44" s="2276"/>
      <c r="H44" s="2276"/>
      <c r="I44" s="2276"/>
      <c r="J44" s="2276"/>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1" t="s">
        <v>2056</v>
      </c>
      <c r="B45" s="126">
        <v>0.03</v>
      </c>
      <c r="C45" s="1766" t="s">
        <v>2057</v>
      </c>
      <c r="D45" s="2277"/>
      <c r="E45" s="2276"/>
      <c r="F45" s="2276"/>
      <c r="G45" s="2276"/>
      <c r="H45" s="2276"/>
      <c r="I45" s="2276"/>
      <c r="J45" s="2276"/>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1" t="s">
        <v>2058</v>
      </c>
      <c r="B46" s="126">
        <v>0.02</v>
      </c>
      <c r="C46" s="1766" t="s">
        <v>2059</v>
      </c>
      <c r="D46" s="2277"/>
      <c r="E46" s="2276"/>
      <c r="F46" s="2276"/>
      <c r="G46" s="2276"/>
      <c r="H46" s="2276"/>
      <c r="I46" s="2276"/>
      <c r="J46" s="2276"/>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2" t="s">
        <v>2060</v>
      </c>
      <c r="B47" s="129"/>
      <c r="C47" s="1766" t="s">
        <v>2061</v>
      </c>
      <c r="D47" s="2277"/>
      <c r="E47" s="2276"/>
      <c r="F47" s="2276"/>
      <c r="G47" s="2276"/>
      <c r="H47" s="2276"/>
      <c r="I47" s="2276"/>
      <c r="J47" s="2276"/>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3" t="s">
        <v>2062</v>
      </c>
      <c r="B48" s="130">
        <v>0.03</v>
      </c>
      <c r="C48" s="1773" t="s">
        <v>2063</v>
      </c>
      <c r="D48" s="2277"/>
      <c r="E48" s="2276"/>
      <c r="F48" s="2276"/>
      <c r="G48" s="2276"/>
      <c r="H48" s="2276"/>
      <c r="I48" s="2276"/>
      <c r="J48" s="2276"/>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8" t="s">
        <v>2064</v>
      </c>
      <c r="B49" s="126">
        <v>5.0000000000000001E-4</v>
      </c>
      <c r="C49" s="1773" t="s">
        <v>2065</v>
      </c>
      <c r="D49" s="2277"/>
      <c r="E49" s="2276"/>
      <c r="F49" s="2276"/>
      <c r="G49" s="2276"/>
      <c r="H49" s="2276"/>
      <c r="I49" s="2276"/>
      <c r="J49" s="2276"/>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4" t="s">
        <v>2066</v>
      </c>
      <c r="B50" s="131">
        <v>1.2E-2</v>
      </c>
      <c r="C50" s="1430"/>
      <c r="D50" s="2277"/>
      <c r="E50" s="2276"/>
      <c r="F50" s="2276"/>
      <c r="G50" s="2276"/>
      <c r="H50" s="2276"/>
      <c r="I50" s="2276"/>
      <c r="J50" s="2276"/>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6" t="s">
        <v>2067</v>
      </c>
      <c r="B51" s="132">
        <v>0.12</v>
      </c>
      <c r="C51" s="1430"/>
      <c r="D51" s="2277"/>
      <c r="E51" s="2276"/>
      <c r="F51" s="2276"/>
      <c r="G51" s="2276"/>
      <c r="H51" s="2276"/>
      <c r="I51" s="2276"/>
      <c r="J51" s="2276"/>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4" t="s">
        <v>2068</v>
      </c>
      <c r="B52" s="133">
        <f>SUMIF(A54:A63,B53,B54:B63)</f>
        <v>1.5</v>
      </c>
      <c r="C52" s="1430"/>
      <c r="D52" s="2277"/>
      <c r="E52" s="2276"/>
      <c r="F52" s="2276"/>
      <c r="G52" s="2276"/>
      <c r="H52" s="2276"/>
      <c r="I52" s="2276"/>
      <c r="J52" s="2276"/>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4" t="s">
        <v>2069</v>
      </c>
      <c r="B53" s="2335" t="s">
        <v>56</v>
      </c>
      <c r="C53" s="1430" t="s">
        <v>2070</v>
      </c>
      <c r="D53" s="2336" t="s">
        <v>2071</v>
      </c>
      <c r="E53" s="2276"/>
      <c r="F53" s="2276"/>
      <c r="G53" s="2276"/>
      <c r="H53" s="2276"/>
      <c r="I53" s="2276"/>
      <c r="J53" s="2276"/>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7" t="s">
        <v>2072</v>
      </c>
      <c r="B54" s="84"/>
      <c r="C54" s="1430">
        <v>30</v>
      </c>
      <c r="D54" s="2277"/>
      <c r="E54" s="2276"/>
      <c r="F54" s="2276"/>
      <c r="G54" s="2276"/>
      <c r="H54" s="2276"/>
      <c r="I54" s="2276"/>
      <c r="J54" s="2276"/>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7" t="s">
        <v>2073</v>
      </c>
      <c r="B55" s="84"/>
      <c r="C55" s="1430">
        <v>24</v>
      </c>
      <c r="D55" s="2277"/>
      <c r="E55" s="2276"/>
      <c r="F55" s="2276"/>
      <c r="G55" s="2276"/>
      <c r="H55" s="2276"/>
      <c r="I55" s="2338"/>
      <c r="J55" s="2276"/>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7" t="s">
        <v>2074</v>
      </c>
      <c r="B56" s="84"/>
      <c r="C56" s="1430">
        <v>18</v>
      </c>
      <c r="D56" s="2277"/>
      <c r="E56" s="2276"/>
      <c r="F56" s="2276"/>
      <c r="G56" s="2276"/>
      <c r="H56" s="2276"/>
      <c r="I56" s="2276"/>
      <c r="J56" s="2276"/>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7" t="s">
        <v>2075</v>
      </c>
      <c r="B57" s="84"/>
      <c r="C57" s="1430">
        <v>12</v>
      </c>
      <c r="D57" s="2277"/>
      <c r="E57" s="2276"/>
      <c r="F57" s="2276"/>
      <c r="G57" s="2276"/>
      <c r="H57" s="2276"/>
      <c r="I57" s="2276"/>
      <c r="J57" s="2276"/>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7" t="s">
        <v>2076</v>
      </c>
      <c r="B58" s="84"/>
      <c r="C58" s="1430">
        <v>3</v>
      </c>
      <c r="D58" s="2277"/>
      <c r="E58" s="2276"/>
      <c r="F58" s="2276"/>
      <c r="G58" s="2276"/>
      <c r="H58" s="2276"/>
      <c r="I58" s="2276"/>
      <c r="J58" s="2276"/>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7" t="s">
        <v>2077</v>
      </c>
      <c r="B59" s="84">
        <v>1.5</v>
      </c>
      <c r="C59" s="1430">
        <v>1.5</v>
      </c>
      <c r="D59" s="2277"/>
      <c r="E59" s="2276"/>
      <c r="F59" s="2276"/>
      <c r="G59" s="2276"/>
      <c r="H59" s="2276"/>
      <c r="I59" s="2276"/>
      <c r="J59" s="2276"/>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7" t="s">
        <v>2078</v>
      </c>
      <c r="B60" s="84"/>
      <c r="C60" s="2276"/>
      <c r="D60" s="2277"/>
      <c r="E60" s="2276"/>
      <c r="F60" s="2276"/>
      <c r="G60" s="2276"/>
      <c r="H60" s="2276"/>
      <c r="I60" s="2276"/>
      <c r="J60" s="2276"/>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7" t="s">
        <v>2079</v>
      </c>
      <c r="B61" s="84"/>
      <c r="C61" s="2276"/>
      <c r="D61" s="2277"/>
      <c r="E61" s="2276"/>
      <c r="F61" s="2276"/>
      <c r="G61" s="2276"/>
      <c r="H61" s="2276"/>
      <c r="I61" s="2276"/>
      <c r="J61" s="2276"/>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7" t="s">
        <v>2080</v>
      </c>
      <c r="B62" s="84"/>
      <c r="C62" s="2276"/>
      <c r="D62" s="2277"/>
      <c r="E62" s="2276"/>
      <c r="F62" s="2276"/>
      <c r="G62" s="2276"/>
      <c r="H62" s="2276"/>
      <c r="I62" s="2276"/>
      <c r="J62" s="2276"/>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9" t="s">
        <v>2081</v>
      </c>
      <c r="B63" s="134"/>
      <c r="C63" s="2276"/>
      <c r="D63" s="2277"/>
      <c r="E63" s="2276"/>
      <c r="F63" s="2276"/>
      <c r="G63" s="2276"/>
      <c r="H63" s="2276"/>
      <c r="I63" s="2276"/>
      <c r="J63" s="2276"/>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3"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4" sqref="I4"/>
    </sheetView>
  </sheetViews>
  <sheetFormatPr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7" t="s">
        <v>2082</v>
      </c>
      <c r="B1" s="3058"/>
      <c r="C1" s="3058"/>
      <c r="D1" s="3058"/>
      <c r="E1" s="3058"/>
      <c r="F1" s="3058"/>
      <c r="G1" s="305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2083</v>
      </c>
      <c r="D2" s="2365"/>
      <c r="E2" s="2366"/>
      <c r="F2" s="2285"/>
      <c r="G2" s="2364" t="s">
        <v>2084</v>
      </c>
      <c r="H2" s="2367"/>
      <c r="I2" s="2367"/>
      <c r="J2" s="2367"/>
      <c r="K2" s="2367"/>
      <c r="L2" s="2367"/>
      <c r="M2" s="2367"/>
      <c r="N2" s="2367"/>
      <c r="O2" s="2367"/>
      <c r="P2" s="2367"/>
      <c r="Q2" s="2367"/>
      <c r="R2" s="2367"/>
    </row>
    <row r="3" spans="1:29" ht="27">
      <c r="A3" s="415" t="s">
        <v>2085</v>
      </c>
      <c r="B3" s="1271" t="s">
        <v>2086</v>
      </c>
      <c r="C3" s="2369"/>
      <c r="D3" s="2370"/>
      <c r="E3" s="431" t="s">
        <v>2085</v>
      </c>
      <c r="F3" s="2371" t="s">
        <v>2087</v>
      </c>
      <c r="G3" s="2372"/>
      <c r="H3" s="2367"/>
      <c r="I3" s="2367"/>
      <c r="J3" s="2367"/>
      <c r="K3" s="2367"/>
      <c r="L3" s="2367"/>
      <c r="M3" s="2367"/>
      <c r="N3" s="2367"/>
      <c r="O3" s="2367"/>
      <c r="P3" s="2367"/>
      <c r="Q3" s="2367"/>
      <c r="R3" s="2367"/>
    </row>
    <row r="4" spans="1:29" ht="54">
      <c r="A4" s="431"/>
      <c r="B4" s="1797" t="s">
        <v>2088</v>
      </c>
      <c r="C4" s="2949" t="s">
        <v>3066</v>
      </c>
      <c r="D4" s="2370"/>
      <c r="E4" s="2374"/>
      <c r="F4" s="42" t="s">
        <v>2089</v>
      </c>
      <c r="G4" s="2375"/>
      <c r="H4" s="2367"/>
      <c r="I4" s="2367"/>
      <c r="J4" s="2367"/>
      <c r="K4" s="2367"/>
      <c r="L4" s="2367"/>
      <c r="M4" s="2367"/>
      <c r="N4" s="2367"/>
      <c r="O4" s="2367"/>
      <c r="P4" s="2367"/>
      <c r="Q4" s="2367"/>
      <c r="R4" s="2367"/>
    </row>
    <row r="5" spans="1:29" ht="15">
      <c r="A5" s="431"/>
      <c r="B5" s="1797" t="s">
        <v>2090</v>
      </c>
      <c r="C5" s="2373"/>
      <c r="D5" s="2370"/>
      <c r="E5" s="2374"/>
      <c r="F5" s="1797" t="s">
        <v>2091</v>
      </c>
      <c r="G5" s="2375"/>
      <c r="H5" s="2367"/>
      <c r="I5" s="2367"/>
      <c r="J5" s="2367"/>
      <c r="K5" s="2367"/>
      <c r="L5" s="2367"/>
      <c r="M5" s="2367"/>
      <c r="N5" s="2367"/>
      <c r="O5" s="2367"/>
      <c r="P5" s="2367"/>
      <c r="Q5" s="2367"/>
      <c r="R5" s="2367"/>
    </row>
    <row r="6" spans="1:29" ht="54">
      <c r="A6" s="431"/>
      <c r="B6" s="1797" t="s">
        <v>2092</v>
      </c>
      <c r="C6" s="2950" t="s">
        <v>3171</v>
      </c>
      <c r="D6" s="2370"/>
      <c r="E6" s="2374"/>
      <c r="F6" s="1797" t="s">
        <v>2093</v>
      </c>
      <c r="G6" s="2375"/>
      <c r="H6" s="2367"/>
      <c r="I6" s="2367"/>
      <c r="J6" s="2367"/>
      <c r="K6" s="2367"/>
      <c r="L6" s="2367"/>
      <c r="M6" s="2367"/>
      <c r="N6" s="2367"/>
      <c r="O6" s="2367"/>
      <c r="P6" s="2367"/>
      <c r="Q6" s="2367"/>
      <c r="R6" s="2367"/>
    </row>
    <row r="7" spans="1:29" ht="69" thickBot="1">
      <c r="A7" s="431"/>
      <c r="B7" s="1797" t="s">
        <v>2091</v>
      </c>
      <c r="C7" s="2952" t="s">
        <v>3070</v>
      </c>
      <c r="D7" s="2376"/>
      <c r="E7" s="2377"/>
      <c r="F7" s="2378" t="s">
        <v>2094</v>
      </c>
      <c r="G7" s="2379"/>
      <c r="H7" s="2367"/>
      <c r="I7" s="2367"/>
      <c r="J7" s="2367"/>
      <c r="K7" s="2367"/>
      <c r="L7" s="2367"/>
      <c r="M7" s="2367"/>
      <c r="N7" s="2367"/>
      <c r="O7" s="2367"/>
      <c r="P7" s="2367"/>
      <c r="Q7" s="2367"/>
      <c r="R7" s="2367"/>
    </row>
    <row r="8" spans="1:29" ht="15">
      <c r="A8" s="431"/>
      <c r="B8" s="1797" t="s">
        <v>2093</v>
      </c>
      <c r="C8" s="2950" t="s">
        <v>3069</v>
      </c>
      <c r="D8" s="2376"/>
      <c r="E8" s="2376"/>
      <c r="F8" s="1136"/>
      <c r="G8" s="1136"/>
      <c r="H8" s="2367"/>
      <c r="I8" s="2367"/>
      <c r="J8" s="2367"/>
      <c r="K8" s="2367"/>
      <c r="L8" s="2367"/>
      <c r="M8" s="2367"/>
      <c r="N8" s="2367"/>
      <c r="O8" s="2367"/>
      <c r="P8" s="2367"/>
      <c r="Q8" s="2367"/>
      <c r="R8" s="2367"/>
    </row>
    <row r="9" spans="1:29" ht="67.5">
      <c r="A9" s="431"/>
      <c r="B9" s="1797" t="s">
        <v>2095</v>
      </c>
      <c r="C9" s="2949" t="s">
        <v>3068</v>
      </c>
      <c r="D9" s="2370"/>
      <c r="E9" s="2376"/>
      <c r="F9" s="1136"/>
      <c r="G9" s="1136"/>
      <c r="H9" s="2367"/>
      <c r="I9" s="2367"/>
      <c r="J9" s="2367"/>
      <c r="K9" s="2367"/>
      <c r="L9" s="2367"/>
      <c r="M9" s="2367"/>
      <c r="N9" s="2367"/>
      <c r="O9" s="2367"/>
      <c r="P9" s="2367"/>
      <c r="Q9" s="2367"/>
      <c r="R9" s="2367"/>
    </row>
    <row r="10" spans="1:29" s="117" customFormat="1" ht="15.75" thickBot="1">
      <c r="A10" s="2380"/>
      <c r="B10" s="2381" t="s">
        <v>2096</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2097</v>
      </c>
      <c r="B13" s="2387"/>
      <c r="C13" s="2387"/>
      <c r="D13" s="2394"/>
      <c r="E13" s="2387"/>
      <c r="F13" s="2387"/>
      <c r="G13" s="2387"/>
    </row>
    <row r="14" spans="1:29" ht="15.75" thickBot="1">
      <c r="A14" s="2398"/>
      <c r="B14" s="2399"/>
      <c r="C14" s="2400" t="s">
        <v>2098</v>
      </c>
      <c r="D14" s="2370"/>
      <c r="E14" s="2401"/>
      <c r="F14" s="2401"/>
      <c r="G14" s="2364" t="s">
        <v>2099</v>
      </c>
    </row>
    <row r="15" spans="1:29" ht="27">
      <c r="A15" s="68" t="s">
        <v>2100</v>
      </c>
      <c r="B15" s="1270" t="s">
        <v>2086</v>
      </c>
      <c r="C15" s="2402">
        <f>C3</f>
        <v>0</v>
      </c>
      <c r="D15" s="2370"/>
      <c r="E15" s="2403" t="s">
        <v>2101</v>
      </c>
      <c r="F15" s="1270" t="s">
        <v>2102</v>
      </c>
      <c r="G15" s="135">
        <f>G3</f>
        <v>0</v>
      </c>
    </row>
    <row r="16" spans="1:29" ht="57">
      <c r="A16" s="645"/>
      <c r="B16" s="2404" t="s">
        <v>2088</v>
      </c>
      <c r="C16" s="2405" t="str">
        <f>C4</f>
        <v>估价对象位于大兴区生物医药基地地区，周边商业氛围成熟度一般，人流量较大，商业繁华度一般。</v>
      </c>
      <c r="D16" s="2370"/>
      <c r="E16" s="2406"/>
      <c r="F16" s="2407" t="s">
        <v>2089</v>
      </c>
      <c r="G16" s="136">
        <f>G4</f>
        <v>0</v>
      </c>
    </row>
    <row r="17" spans="1:18" ht="15">
      <c r="A17" s="645"/>
      <c r="B17" s="2404" t="s">
        <v>2090</v>
      </c>
      <c r="C17" s="2405">
        <f>C5</f>
        <v>0</v>
      </c>
      <c r="D17" s="2376"/>
      <c r="E17" s="2406"/>
      <c r="F17" s="2407" t="s">
        <v>2103</v>
      </c>
      <c r="G17" s="1571"/>
    </row>
    <row r="18" spans="1:18" ht="57">
      <c r="A18" s="645"/>
      <c r="B18" s="2407" t="s">
        <v>2092</v>
      </c>
      <c r="C18" s="136" t="str">
        <f>C6</f>
        <v>估价对象周边路网密集、公共交通通达情况较好、停车便捷程度好，综合评价交通便捷度较好。</v>
      </c>
      <c r="D18" s="2376"/>
      <c r="E18" s="2406"/>
      <c r="F18" s="2407" t="s">
        <v>2094</v>
      </c>
      <c r="G18" s="136">
        <f>G7</f>
        <v>0</v>
      </c>
    </row>
    <row r="19" spans="1:18" ht="15">
      <c r="A19" s="645"/>
      <c r="B19" s="2407" t="s">
        <v>2104</v>
      </c>
      <c r="C19" s="2951" t="s">
        <v>3067</v>
      </c>
      <c r="D19" s="2370"/>
      <c r="E19" s="2406"/>
      <c r="F19" s="1797" t="s">
        <v>2091</v>
      </c>
      <c r="G19" s="136">
        <f>G5</f>
        <v>0</v>
      </c>
    </row>
    <row r="20" spans="1:18" ht="71.25">
      <c r="A20" s="645"/>
      <c r="B20" s="2407" t="s">
        <v>2105</v>
      </c>
      <c r="C20" s="2405" t="str">
        <f>C9</f>
        <v>估价对象所处区域自然环境及人文环境：有念坛公园、绿化条件一般，缺乏图书馆、博物馆等设施；综合评价环境状况一般。</v>
      </c>
      <c r="D20" s="2376"/>
      <c r="E20" s="2406"/>
      <c r="F20" s="1797" t="s">
        <v>2106</v>
      </c>
      <c r="G20" s="136">
        <f>G6</f>
        <v>0</v>
      </c>
    </row>
    <row r="21" spans="1:18" ht="71.25">
      <c r="A21" s="645"/>
      <c r="B21" s="1797" t="s">
        <v>2091</v>
      </c>
      <c r="C21" s="136" t="str">
        <f>C7</f>
        <v>估价对象所在区域有北京市农村商业银行(北臧村支行)、北京市大兴区向阳希望学校、华联超市等公共配套设施齐备情况较好。</v>
      </c>
      <c r="D21" s="2370"/>
      <c r="E21" s="2406"/>
      <c r="F21" s="2407" t="s">
        <v>2107</v>
      </c>
      <c r="G21" s="2408"/>
    </row>
    <row r="22" spans="1:18" ht="13.5" customHeight="1">
      <c r="A22" s="645"/>
      <c r="B22" s="1797" t="s">
        <v>2093</v>
      </c>
      <c r="C22" s="136" t="str">
        <f>C8</f>
        <v>七通</v>
      </c>
      <c r="D22" s="2370"/>
      <c r="E22" s="2406"/>
      <c r="F22" s="2407" t="s">
        <v>2096</v>
      </c>
      <c r="G22" s="1571"/>
    </row>
    <row r="23" spans="1:18" s="2367" customFormat="1" ht="15.75" thickBot="1">
      <c r="A23" s="645"/>
      <c r="B23" s="2407" t="s">
        <v>2107</v>
      </c>
      <c r="C23" s="2408" t="s">
        <v>3071</v>
      </c>
      <c r="D23" s="2395"/>
      <c r="E23" s="2409"/>
      <c r="F23" s="2410" t="s">
        <v>2108</v>
      </c>
      <c r="G23" s="2411"/>
      <c r="H23" s="2395"/>
      <c r="I23" s="2396"/>
      <c r="J23" s="2395"/>
      <c r="K23" s="2395"/>
      <c r="L23" s="2396"/>
      <c r="M23" s="2395"/>
      <c r="N23" s="2395"/>
      <c r="O23" s="2396"/>
      <c r="P23" s="2395"/>
      <c r="Q23" s="2395"/>
      <c r="R23" s="2397"/>
    </row>
    <row r="24" spans="1:18" s="2367" customFormat="1" ht="15.75" thickBot="1">
      <c r="A24" s="2412"/>
      <c r="B24" s="2410" t="s">
        <v>2109</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210956.06</v>
      </c>
      <c r="C1" s="1744"/>
      <c r="D1" s="1744"/>
      <c r="E1" s="1744"/>
      <c r="F1" s="1744"/>
      <c r="G1" s="1742"/>
    </row>
    <row r="2" spans="1:10" ht="16.5">
      <c r="A2" s="1745" t="s">
        <v>1353</v>
      </c>
      <c r="B2" s="1745">
        <f>SUM(C14:C23)</f>
        <v>55191.78</v>
      </c>
      <c r="C2" s="1744"/>
      <c r="D2" s="1744"/>
      <c r="E2" s="1744"/>
      <c r="F2" s="1744"/>
      <c r="G2" s="1742"/>
    </row>
    <row r="3" spans="1:10" ht="16.5">
      <c r="A3" s="1745" t="s">
        <v>1362</v>
      </c>
      <c r="B3" s="1746">
        <f>项目基本情况!D3</f>
        <v>43235</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324550</v>
      </c>
      <c r="C5" s="1745">
        <f ca="1">ROUND(B5*10000/$B$1,0)</f>
        <v>15385</v>
      </c>
      <c r="D5" s="1745">
        <f ca="1">ROUND(B5*10000/$B$2,0)</f>
        <v>58804</v>
      </c>
      <c r="E5" s="1744"/>
      <c r="F5" s="1742"/>
      <c r="G5" s="1742"/>
    </row>
    <row r="6" spans="1:10" ht="16.5">
      <c r="A6" s="1745" t="s">
        <v>1356</v>
      </c>
      <c r="B6" s="1745">
        <f ca="1">SUM(G14:G23)</f>
        <v>324550</v>
      </c>
      <c r="C6" s="1745">
        <f ca="1">ROUND(B6*10000/$B$1,0)</f>
        <v>15385</v>
      </c>
      <c r="D6" s="1745">
        <f ca="1">ROUND(B6*10000/$B$2,0)</f>
        <v>58804</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210956.06</v>
      </c>
      <c r="C14" s="1743">
        <f>结果表!C118</f>
        <v>55191.78</v>
      </c>
      <c r="D14" s="1743">
        <f ca="1">结果表!H118</f>
        <v>324550</v>
      </c>
      <c r="E14" s="1743">
        <f ca="1">ROUND(D14*10000/B14,0)</f>
        <v>15385</v>
      </c>
      <c r="F14" s="1743">
        <f ca="1">ROUND(D14*10000/C14,0)</f>
        <v>58804</v>
      </c>
      <c r="G14" s="1743">
        <f ca="1">结果表!D122</f>
        <v>324550</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28" sqref="F2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2110</v>
      </c>
      <c r="B1" s="2418"/>
      <c r="C1" s="2419"/>
      <c r="D1" s="2418"/>
      <c r="E1" s="2418"/>
      <c r="F1" s="2420" t="s">
        <v>2111</v>
      </c>
      <c r="G1" s="2069" t="s">
        <v>3049</v>
      </c>
      <c r="H1" s="2421" t="str">
        <f>IF(G1="现房","——","估价对象范围")</f>
        <v>——</v>
      </c>
      <c r="I1" s="2422" t="s">
        <v>3072</v>
      </c>
    </row>
    <row r="2" spans="1:12" ht="21.75" customHeight="1" thickBot="1">
      <c r="A2" s="3131" t="str">
        <f>项目基本情况!S2</f>
        <v>北京市大兴区永兴路7号院1号楼-3层至4层101号房地产</v>
      </c>
      <c r="B2" s="3132"/>
      <c r="C2" s="3132"/>
      <c r="D2" s="3132"/>
      <c r="E2" s="3132"/>
      <c r="F2" s="3132"/>
      <c r="G2" s="3132"/>
      <c r="H2" s="3132"/>
      <c r="I2" s="3133"/>
    </row>
    <row r="3" spans="1:12" ht="12.75">
      <c r="A3" s="3134" t="s">
        <v>2112</v>
      </c>
      <c r="B3" s="3135"/>
      <c r="C3" s="3135"/>
      <c r="D3" s="3135"/>
      <c r="E3" s="3135"/>
      <c r="F3" s="3135"/>
      <c r="G3" s="3135"/>
      <c r="H3" s="3135"/>
      <c r="I3" s="3135"/>
    </row>
    <row r="4" spans="1:12" ht="14.25">
      <c r="A4" s="2425" t="s">
        <v>2113</v>
      </c>
      <c r="B4" s="2426" t="s">
        <v>2114</v>
      </c>
      <c r="C4" s="2427" t="s">
        <v>3073</v>
      </c>
      <c r="D4" s="2427" t="s">
        <v>3065</v>
      </c>
      <c r="E4" s="3115" t="s">
        <v>2115</v>
      </c>
      <c r="F4" s="3128"/>
      <c r="G4" s="3128"/>
      <c r="H4" s="3128"/>
      <c r="I4" s="3116"/>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06" t="s">
        <v>2116</v>
      </c>
      <c r="B5" s="3032">
        <v>25</v>
      </c>
      <c r="C5" s="3136"/>
      <c r="D5" s="3124"/>
      <c r="E5" s="140" t="s">
        <v>2117</v>
      </c>
      <c r="F5" s="2429"/>
      <c r="G5" s="2429"/>
      <c r="H5" s="2429"/>
      <c r="I5" s="1833"/>
    </row>
    <row r="6" spans="1:12" ht="12.75">
      <c r="A6" s="3106"/>
      <c r="B6" s="3032"/>
      <c r="C6" s="3138"/>
      <c r="D6" s="3124"/>
      <c r="E6" s="140" t="s">
        <v>2118</v>
      </c>
      <c r="F6" s="2429"/>
      <c r="G6" s="2429"/>
      <c r="H6" s="2429"/>
      <c r="I6" s="1833"/>
    </row>
    <row r="7" spans="1:12" ht="12.75">
      <c r="A7" s="3106"/>
      <c r="B7" s="3032"/>
      <c r="C7" s="3137"/>
      <c r="D7" s="3124"/>
      <c r="E7" s="140" t="s">
        <v>2119</v>
      </c>
      <c r="F7" s="2429"/>
      <c r="G7" s="2429"/>
      <c r="H7" s="2429"/>
      <c r="I7" s="1833"/>
    </row>
    <row r="8" spans="1:12" ht="12.75">
      <c r="A8" s="3106" t="s">
        <v>2120</v>
      </c>
      <c r="B8" s="3032">
        <v>15</v>
      </c>
      <c r="C8" s="3136"/>
      <c r="D8" s="3124"/>
      <c r="E8" s="140" t="s">
        <v>2121</v>
      </c>
      <c r="F8" s="2429"/>
      <c r="G8" s="2429"/>
      <c r="H8" s="2429"/>
      <c r="I8" s="1833"/>
    </row>
    <row r="9" spans="1:12" ht="12.75">
      <c r="A9" s="3106"/>
      <c r="B9" s="3032"/>
      <c r="C9" s="3137"/>
      <c r="D9" s="3124"/>
      <c r="E9" s="140" t="s">
        <v>2122</v>
      </c>
      <c r="F9" s="2429"/>
      <c r="G9" s="2429"/>
      <c r="H9" s="2429"/>
      <c r="I9" s="1833"/>
    </row>
    <row r="10" spans="1:12" ht="12.75">
      <c r="A10" s="3106" t="s">
        <v>2123</v>
      </c>
      <c r="B10" s="3032">
        <v>15</v>
      </c>
      <c r="C10" s="3136"/>
      <c r="D10" s="3124"/>
      <c r="E10" s="140" t="s">
        <v>2124</v>
      </c>
      <c r="F10" s="2429"/>
      <c r="G10" s="2429"/>
      <c r="H10" s="2429"/>
      <c r="I10" s="1833"/>
    </row>
    <row r="11" spans="1:12" ht="12.75">
      <c r="A11" s="3106"/>
      <c r="B11" s="3032"/>
      <c r="C11" s="3137"/>
      <c r="D11" s="3124"/>
      <c r="E11" s="140" t="s">
        <v>2125</v>
      </c>
      <c r="F11" s="2429"/>
      <c r="G11" s="2429"/>
      <c r="H11" s="2429"/>
      <c r="I11" s="1833"/>
    </row>
    <row r="12" spans="1:12" ht="12.75">
      <c r="A12" s="3106" t="s">
        <v>2126</v>
      </c>
      <c r="B12" s="3032">
        <v>15</v>
      </c>
      <c r="C12" s="3136"/>
      <c r="D12" s="3124"/>
      <c r="E12" s="140" t="s">
        <v>2127</v>
      </c>
      <c r="F12" s="2429"/>
      <c r="G12" s="2429"/>
      <c r="H12" s="2429"/>
      <c r="I12" s="1833"/>
    </row>
    <row r="13" spans="1:12" ht="12.75">
      <c r="A13" s="3106"/>
      <c r="B13" s="3032"/>
      <c r="C13" s="3137"/>
      <c r="D13" s="3124"/>
      <c r="E13" s="140" t="s">
        <v>2128</v>
      </c>
      <c r="F13" s="2429"/>
      <c r="G13" s="2429"/>
      <c r="H13" s="2429"/>
      <c r="I13" s="1833"/>
    </row>
    <row r="14" spans="1:12" ht="12.75">
      <c r="A14" s="3106" t="s">
        <v>2129</v>
      </c>
      <c r="B14" s="3032">
        <v>30</v>
      </c>
      <c r="C14" s="3136">
        <v>4</v>
      </c>
      <c r="D14" s="3124">
        <v>6</v>
      </c>
      <c r="E14" s="140" t="s">
        <v>2130</v>
      </c>
      <c r="F14" s="2429"/>
      <c r="G14" s="2429"/>
      <c r="H14" s="2429"/>
      <c r="I14" s="1833"/>
    </row>
    <row r="15" spans="1:12" ht="12.75">
      <c r="A15" s="3106"/>
      <c r="B15" s="3032"/>
      <c r="C15" s="3138"/>
      <c r="D15" s="3124"/>
      <c r="E15" s="140" t="s">
        <v>2131</v>
      </c>
      <c r="F15" s="2429"/>
      <c r="G15" s="2429"/>
      <c r="H15" s="2429"/>
      <c r="I15" s="1833"/>
    </row>
    <row r="16" spans="1:12" ht="12.75">
      <c r="A16" s="3106"/>
      <c r="B16" s="3032"/>
      <c r="C16" s="3137"/>
      <c r="D16" s="3124"/>
      <c r="E16" s="140" t="s">
        <v>2132</v>
      </c>
      <c r="F16" s="2429"/>
      <c r="G16" s="2429"/>
      <c r="H16" s="2429"/>
      <c r="I16" s="1833"/>
    </row>
    <row r="17" spans="1:35" ht="15">
      <c r="A17" s="2430" t="s">
        <v>2133</v>
      </c>
      <c r="B17" s="64"/>
      <c r="C17" s="141">
        <f>SUM(C5:C16)</f>
        <v>4</v>
      </c>
      <c r="D17" s="141">
        <f>SUM(D5:D16)</f>
        <v>6</v>
      </c>
      <c r="E17" s="138"/>
      <c r="F17" s="138"/>
      <c r="G17" s="138"/>
      <c r="H17" s="138"/>
      <c r="I17" s="138"/>
      <c r="K17" s="2428"/>
      <c r="L17" s="2431" t="s">
        <v>2134</v>
      </c>
      <c r="M17" s="2431" t="s">
        <v>2135</v>
      </c>
    </row>
    <row r="18" spans="1:35" ht="15.75" thickBot="1">
      <c r="A18" s="2432" t="s">
        <v>2136</v>
      </c>
      <c r="B18" s="2433"/>
      <c r="C18" s="142">
        <f>ROUND(C17/SUM(C17:D17),2)</f>
        <v>0.4</v>
      </c>
      <c r="D18" s="142">
        <f>1-C18</f>
        <v>0.6</v>
      </c>
      <c r="E18" s="138"/>
      <c r="F18" s="138"/>
      <c r="G18" s="138"/>
      <c r="H18" s="138"/>
      <c r="I18" s="138"/>
      <c r="K18" s="2428" t="s">
        <v>2137</v>
      </c>
      <c r="L18" s="2428">
        <f>IF(C1="",'数据-汇总表'!E3,SUMIF(项目类型,C1,'数据-汇总表'!E17:E26)+SUMIF(项目类型,C1,'数据-汇总表'!I17:I26))</f>
        <v>210956.06</v>
      </c>
      <c r="M18" s="2428">
        <f>IF(C1="",'数据-汇总表'!E3,SUMIF(项目类型,C1,'数据-汇总表'!E17:E26))</f>
        <v>210956.06</v>
      </c>
    </row>
    <row r="19" spans="1:35" ht="15">
      <c r="A19" s="2434" t="s">
        <v>2138</v>
      </c>
      <c r="B19" s="2435" t="s">
        <v>2139</v>
      </c>
      <c r="C19" s="143">
        <f ca="1">SUMIF(INDIRECT("'"&amp;C4&amp;"'"&amp;"!A:A"),结果表!B19,INDIRECT("'"&amp;C4&amp;"'"&amp;"!B:B"))</f>
        <v>408669</v>
      </c>
      <c r="D19" s="144">
        <f ca="1">SUMIF(INDIRECT("'"&amp;D4&amp;"'"&amp;"!A:A"),结果表!B19,INDIRECT("'"&amp;D4&amp;"'"&amp;"!B:B"))</f>
        <v>268470</v>
      </c>
      <c r="E19" s="2434" t="s">
        <v>2140</v>
      </c>
      <c r="F19" s="2435" t="s">
        <v>2139</v>
      </c>
      <c r="G19" s="145">
        <f ca="1">ROUND(C19*$C$18+D19*$D$18,0)</f>
        <v>324550</v>
      </c>
      <c r="H19" s="2436" t="s">
        <v>2141</v>
      </c>
      <c r="I19" s="138"/>
      <c r="K19" s="2428" t="s">
        <v>2142</v>
      </c>
      <c r="L19" s="2428">
        <f>IF(C1="",'数据-汇总表'!D3,SUMIF(项目类型,C1,'数据-汇总表'!D17:D26)+SUMIF(项目类型,C1,'数据-汇总表'!H17:H27))</f>
        <v>55191.78</v>
      </c>
      <c r="M19" s="2428">
        <f>IF(C1="",'数据-汇总表'!D3,SUMIF(项目类型,C1,'数据-汇总表'!D17:D26))</f>
        <v>55191.78</v>
      </c>
    </row>
    <row r="20" spans="1:35" ht="15">
      <c r="A20" s="2437"/>
      <c r="B20" s="1250" t="s">
        <v>2143</v>
      </c>
      <c r="C20" s="146">
        <f ca="1">SUMIF(INDIRECT("'"&amp;C4&amp;"'"&amp;"!A:A"),结果表!B20,INDIRECT("'"&amp;C4&amp;"'"&amp;"!B:B"))</f>
        <v>19372</v>
      </c>
      <c r="D20" s="147">
        <f ca="1">SUMIF(INDIRECT("'"&amp;D4&amp;"'"&amp;"!A:A"),结果表!B20,INDIRECT("'"&amp;D4&amp;"'"&amp;"!B:B"))</f>
        <v>13886</v>
      </c>
      <c r="E20" s="2437"/>
      <c r="F20" s="1250" t="s">
        <v>2143</v>
      </c>
      <c r="G20" s="148">
        <f ca="1">ROUND(C20*$C$18+D20*$D$18,0)</f>
        <v>16080</v>
      </c>
      <c r="H20" s="983" t="s">
        <v>2144</v>
      </c>
      <c r="I20" s="138"/>
    </row>
    <row r="21" spans="1:35" ht="15" customHeight="1" thickBot="1">
      <c r="A21" s="1003"/>
      <c r="B21" s="2438" t="s">
        <v>2145</v>
      </c>
      <c r="C21" s="789">
        <f ca="1">ROUND(C19*10000/L19,0)</f>
        <v>74045</v>
      </c>
      <c r="D21" s="790">
        <f ca="1">ROUND(D19*10000/L19,0)</f>
        <v>48643</v>
      </c>
      <c r="E21" s="1003"/>
      <c r="F21" s="2438" t="s">
        <v>2145</v>
      </c>
      <c r="G21" s="149">
        <f ca="1">ROUND(G19*10000/L19,0)</f>
        <v>58804</v>
      </c>
      <c r="H21" s="2439" t="s">
        <v>2144</v>
      </c>
      <c r="I21" s="138"/>
    </row>
    <row r="22" spans="1:35" ht="15" thickBot="1">
      <c r="A22" s="2280" t="s">
        <v>2146</v>
      </c>
      <c r="B22" s="2440"/>
      <c r="C22" s="2441"/>
      <c r="D22" s="791">
        <f ca="1">IF(C19&lt;D19,D19/C19-1,C19/D19-1)</f>
        <v>0.52221477260029059</v>
      </c>
      <c r="E22" s="138"/>
      <c r="F22" s="138"/>
      <c r="G22" s="138"/>
      <c r="H22" s="138"/>
      <c r="I22" s="138"/>
    </row>
    <row r="23" spans="1:35" ht="13.5" thickBot="1">
      <c r="A23" s="2418"/>
      <c r="B23" s="2418"/>
      <c r="C23" s="2418"/>
      <c r="D23" s="2418"/>
      <c r="E23" s="138"/>
      <c r="F23" s="138"/>
      <c r="G23" s="138"/>
      <c r="H23" s="138"/>
      <c r="I23" s="138"/>
    </row>
    <row r="24" spans="1:35" ht="14.25">
      <c r="A24" s="3145" t="s">
        <v>2147</v>
      </c>
      <c r="B24" s="2435" t="s">
        <v>2139</v>
      </c>
      <c r="C24" s="145">
        <f>IF(B30=0,0,D30)</f>
        <v>0</v>
      </c>
      <c r="D24" s="2442"/>
      <c r="E24" s="138"/>
      <c r="F24" s="138"/>
      <c r="G24" s="138"/>
      <c r="H24" s="138"/>
      <c r="I24" s="138"/>
    </row>
    <row r="25" spans="1:35" ht="14.25">
      <c r="A25" s="3146"/>
      <c r="B25" s="1250" t="s">
        <v>2143</v>
      </c>
      <c r="C25" s="150">
        <f>IF(B30=0,0,C30)</f>
        <v>0</v>
      </c>
      <c r="D25" s="2443"/>
      <c r="E25" s="138"/>
      <c r="F25" s="138"/>
      <c r="G25" s="138"/>
      <c r="H25" s="138"/>
      <c r="I25" s="138"/>
    </row>
    <row r="26" spans="1:35" ht="13.5" customHeight="1">
      <c r="A26" s="2444" t="s">
        <v>2148</v>
      </c>
      <c r="B26" s="151" t="s">
        <v>2149</v>
      </c>
      <c r="C26" s="151" t="s">
        <v>2150</v>
      </c>
      <c r="D26" s="152" t="s">
        <v>2151</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2152</v>
      </c>
      <c r="B30" s="151"/>
      <c r="C30" s="151"/>
      <c r="D30" s="151"/>
      <c r="E30" s="2927" t="s">
        <v>3021</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2153</v>
      </c>
      <c r="B32" s="2448"/>
      <c r="C32" s="153">
        <f ca="1">IF(D32="总价",G19-C24,G20-C25)</f>
        <v>324550</v>
      </c>
      <c r="D32" s="2449" t="s">
        <v>3075</v>
      </c>
      <c r="E32" s="138"/>
      <c r="F32" s="138"/>
      <c r="G32" s="138"/>
      <c r="H32" s="138"/>
      <c r="I32" s="138"/>
    </row>
    <row r="33" spans="1:15" ht="15">
      <c r="A33" s="960" t="s">
        <v>2154</v>
      </c>
      <c r="B33" s="2450"/>
      <c r="C33" s="2451" t="s">
        <v>3074</v>
      </c>
      <c r="D33" s="2452" t="s">
        <v>3073</v>
      </c>
      <c r="E33" s="2453" t="s">
        <v>2155</v>
      </c>
      <c r="F33" s="2454" t="str">
        <f>IF(D32="楼面单价","取值（单价）","取值（总价）")</f>
        <v>取值（总价）</v>
      </c>
      <c r="G33" s="138"/>
      <c r="H33" s="138"/>
      <c r="I33" s="138"/>
    </row>
    <row r="34" spans="1:15" ht="15">
      <c r="A34" s="2455"/>
      <c r="B34" s="2456" t="s">
        <v>2156</v>
      </c>
      <c r="C34" s="157">
        <f ca="1">IF(C33="自定义",F34,C32-C35)</f>
        <v>244386</v>
      </c>
      <c r="D34" s="1058">
        <f ca="1">IF(C33="自定义",ROUND(C34/C32,3),IF(C33="收益比率",SUMIF(INDIRECT("'"&amp;D33&amp;"'"&amp;"!b:b"),"土地收益比率",INDIRECT("'"&amp;D33&amp;"'"&amp;"!c:c")),SUMIF(INDIRECT("'"&amp;D33&amp;"'"&amp;"!b:b"),"土地成本比率",INDIRECT("'"&amp;D33&amp;"'"&amp;"!c:c"))))</f>
        <v>0.753</v>
      </c>
      <c r="E34" s="2457" t="s">
        <v>2157</v>
      </c>
      <c r="F34" s="1738"/>
      <c r="G34" s="138"/>
      <c r="H34" s="138"/>
      <c r="I34" s="138"/>
    </row>
    <row r="35" spans="1:15" ht="15.75" thickBot="1">
      <c r="A35" s="2458"/>
      <c r="B35" s="2459" t="s">
        <v>2158</v>
      </c>
      <c r="C35" s="1444">
        <f ca="1">IF(C33="自定义",F35,ROUND(C32*D35,0))</f>
        <v>80164</v>
      </c>
      <c r="D35" s="1445">
        <f ca="1">IF(C33="自定义",ROUND(C35/C32,3),IF(C33="收益比率",SUMIF(INDIRECT("'"&amp;D33&amp;"'"&amp;"!b:b"),"建筑物收益比率",INDIRECT("'"&amp;D33&amp;"'"&amp;"!c:c")),SUMIF(INDIRECT("'"&amp;D33&amp;"'"&amp;"!b:b"),"建筑物成本比率",INDIRECT("'"&amp;D33&amp;"'"&amp;"!c:c"))))</f>
        <v>0.247</v>
      </c>
      <c r="E35" s="2460" t="s">
        <v>2159</v>
      </c>
      <c r="F35" s="163"/>
      <c r="G35" s="138"/>
      <c r="H35" s="138"/>
      <c r="I35" s="138"/>
    </row>
    <row r="36" spans="1:15" ht="15.75" thickBot="1">
      <c r="A36" s="3125" t="s">
        <v>2160</v>
      </c>
      <c r="B36" s="2461" t="s">
        <v>2161</v>
      </c>
      <c r="C36" s="154"/>
      <c r="D36" s="2462"/>
      <c r="E36" s="2463"/>
      <c r="F36" s="2464"/>
      <c r="G36" s="138"/>
      <c r="H36" s="138"/>
      <c r="I36" s="138"/>
    </row>
    <row r="37" spans="1:15" ht="15.75" thickBot="1">
      <c r="A37" s="3126"/>
      <c r="B37" s="2266" t="s">
        <v>2162</v>
      </c>
      <c r="C37" s="156"/>
      <c r="D37" s="1395"/>
      <c r="E37" s="1395"/>
      <c r="F37" s="2464"/>
      <c r="G37" s="138"/>
      <c r="H37" s="138"/>
      <c r="I37" s="138"/>
    </row>
    <row r="38" spans="1:15" ht="15.75" thickBot="1">
      <c r="A38" s="3127"/>
      <c r="B38" s="2465" t="s">
        <v>2163</v>
      </c>
      <c r="C38" s="727"/>
      <c r="D38" s="2466" t="s">
        <v>2164</v>
      </c>
      <c r="E38" s="1395"/>
      <c r="F38" s="2464"/>
      <c r="G38" s="138"/>
      <c r="H38" s="138"/>
      <c r="I38" s="138"/>
    </row>
    <row r="39" spans="1:15" ht="15">
      <c r="A39" s="2437" t="s">
        <v>2165</v>
      </c>
      <c r="B39" s="2467" t="s">
        <v>2166</v>
      </c>
      <c r="C39" s="2468" t="s">
        <v>2167</v>
      </c>
      <c r="D39" s="2468" t="s">
        <v>2168</v>
      </c>
      <c r="E39" s="2469" t="s">
        <v>2169</v>
      </c>
      <c r="F39" s="2464"/>
      <c r="G39" s="138"/>
      <c r="H39" s="138"/>
      <c r="I39" s="138"/>
    </row>
    <row r="40" spans="1:15" ht="14.25">
      <c r="A40" s="2470" t="s">
        <v>2170</v>
      </c>
      <c r="B40" s="158"/>
      <c r="C40" s="159"/>
      <c r="D40" s="159"/>
      <c r="E40" s="160"/>
      <c r="F40" s="2464"/>
      <c r="G40" s="138"/>
      <c r="H40" s="138"/>
      <c r="I40" s="138"/>
    </row>
    <row r="41" spans="1:15" ht="14.25">
      <c r="A41" s="2470" t="s">
        <v>2171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hidden="1">
      <c r="A44" s="2474" t="s">
        <v>2172</v>
      </c>
      <c r="B44" s="2475"/>
      <c r="C44" s="2475"/>
      <c r="D44" s="2476"/>
      <c r="E44" s="2476"/>
      <c r="F44" s="2477"/>
      <c r="G44" s="2477"/>
      <c r="H44" s="2477"/>
      <c r="I44" s="2477"/>
      <c r="J44" s="2478" t="s">
        <v>2173</v>
      </c>
      <c r="K44" s="2479"/>
      <c r="L44" s="2479"/>
      <c r="M44" s="2479"/>
      <c r="N44" s="2479"/>
      <c r="O44" s="2479"/>
    </row>
    <row r="45" spans="1:15" ht="14.25" hidden="1" customHeight="1" thickBot="1">
      <c r="A45" s="3142" t="s">
        <v>2174</v>
      </c>
      <c r="B45" s="3143"/>
      <c r="C45" s="3144"/>
      <c r="D45" s="164">
        <f ca="1">ROUND(H101*F45,0)</f>
        <v>324550</v>
      </c>
      <c r="E45" s="165" t="s">
        <v>2175</v>
      </c>
      <c r="F45" s="166">
        <v>1</v>
      </c>
      <c r="G45" s="167" t="s">
        <v>2176</v>
      </c>
      <c r="H45" s="138"/>
      <c r="I45" s="138"/>
      <c r="J45" s="3061" t="s">
        <v>2177</v>
      </c>
      <c r="K45" s="3061"/>
      <c r="L45" s="3061"/>
      <c r="M45" s="3061"/>
      <c r="N45" s="3061"/>
      <c r="O45" s="3061"/>
    </row>
    <row r="46" spans="1:15" ht="14.25" hidden="1" customHeight="1">
      <c r="A46" s="3139" t="s">
        <v>2178</v>
      </c>
      <c r="B46" s="3140"/>
      <c r="C46" s="3140"/>
      <c r="D46" s="3140"/>
      <c r="E46" s="3140"/>
      <c r="F46" s="3140"/>
      <c r="G46" s="3141"/>
      <c r="H46" s="2480"/>
      <c r="I46" s="168"/>
      <c r="J46" s="1811">
        <v>1</v>
      </c>
      <c r="K46" s="3061" t="s">
        <v>2179</v>
      </c>
      <c r="L46" s="3061"/>
      <c r="M46" s="3062"/>
      <c r="N46" s="3062"/>
      <c r="O46" s="3062"/>
    </row>
    <row r="47" spans="1:15" ht="12" hidden="1" customHeight="1">
      <c r="A47" s="169" t="s">
        <v>2180</v>
      </c>
      <c r="B47" s="170"/>
      <c r="C47" s="171"/>
      <c r="D47" s="172" t="s">
        <v>2181</v>
      </c>
      <c r="E47" s="24" t="s">
        <v>2182</v>
      </c>
      <c r="F47" s="173" t="s">
        <v>2183</v>
      </c>
      <c r="G47" s="174" t="s">
        <v>2184</v>
      </c>
      <c r="H47" s="2480"/>
      <c r="I47" s="168"/>
      <c r="J47" s="1811">
        <v>2</v>
      </c>
      <c r="K47" s="3061" t="s">
        <v>2185</v>
      </c>
      <c r="L47" s="3061"/>
      <c r="M47" s="3063">
        <f>'数据-取费表'!B2</f>
        <v>43235</v>
      </c>
      <c r="N47" s="3063"/>
      <c r="O47" s="3063"/>
    </row>
    <row r="48" spans="1:15" ht="25.5" hidden="1">
      <c r="A48" s="3129" t="s">
        <v>2186</v>
      </c>
      <c r="B48" s="3130"/>
      <c r="C48" s="3130"/>
      <c r="D48" s="140">
        <f>IF(H48="情况1",0,IF(H48="情况2",D52,IF(H48="情况3",D53,IF(H48="情况4",D54))))</f>
        <v>0</v>
      </c>
      <c r="E48" s="1800" t="str">
        <f>IF(H48="情况4","(销售额-原购置价)×税（费）率","销售额×税（费）率")</f>
        <v>销售额×税（费）率</v>
      </c>
      <c r="F48" s="175" t="str">
        <f>IF(H48="情况1","免征",'数据-取费表'!B41)</f>
        <v>免征</v>
      </c>
      <c r="G48" s="2481" t="s">
        <v>2187</v>
      </c>
      <c r="H48" s="2482" t="s">
        <v>2188</v>
      </c>
      <c r="I48" s="2480"/>
      <c r="J48" s="1811">
        <v>3</v>
      </c>
      <c r="K48" s="3061" t="s">
        <v>2189</v>
      </c>
      <c r="L48" s="3061"/>
      <c r="M48" s="3064">
        <f ca="1">H101</f>
        <v>324550</v>
      </c>
      <c r="N48" s="3064"/>
      <c r="O48" s="3064"/>
    </row>
    <row r="49" spans="1:35" ht="25.5" hidden="1" customHeight="1">
      <c r="A49" s="176" t="s">
        <v>2190</v>
      </c>
      <c r="B49" s="3109" t="s">
        <v>2191</v>
      </c>
      <c r="C49" s="3109"/>
      <c r="D49" s="177">
        <v>0</v>
      </c>
      <c r="E49" s="23" t="s">
        <v>2192</v>
      </c>
      <c r="F49" s="28" t="s">
        <v>34</v>
      </c>
      <c r="G49" s="3090"/>
      <c r="H49" s="138"/>
      <c r="I49" s="2483"/>
      <c r="J49" s="1811">
        <v>4</v>
      </c>
      <c r="K49" s="3061" t="str">
        <f>IF(项目基本情况!E8="房地产抵押价值","房地产抵押价值","抵押担保权已注销时的房地产抵押价值")</f>
        <v>房地产抵押价值</v>
      </c>
      <c r="L49" s="3061"/>
      <c r="M49" s="3064">
        <f ca="1">IF(项目基本情况!E8="房地产抵押价值",H107,H109)</f>
        <v>324550</v>
      </c>
      <c r="N49" s="3064"/>
      <c r="O49" s="3064"/>
    </row>
    <row r="50" spans="1:35" ht="25.5" hidden="1" customHeight="1">
      <c r="A50" s="178"/>
      <c r="B50" s="3109" t="s">
        <v>2193</v>
      </c>
      <c r="C50" s="3109"/>
      <c r="D50" s="179"/>
      <c r="E50" s="31"/>
      <c r="F50" s="180"/>
      <c r="G50" s="3091"/>
      <c r="H50" s="138"/>
      <c r="I50" s="2483"/>
      <c r="J50" s="3061" t="s">
        <v>2194</v>
      </c>
      <c r="K50" s="3061"/>
      <c r="L50" s="3061"/>
      <c r="M50" s="3061"/>
      <c r="N50" s="3061"/>
      <c r="O50" s="3061"/>
    </row>
    <row r="51" spans="1:35" ht="12" hidden="1" customHeight="1">
      <c r="A51" s="181"/>
      <c r="B51" s="3109" t="s">
        <v>2195</v>
      </c>
      <c r="C51" s="3109"/>
      <c r="D51" s="182"/>
      <c r="E51" s="30"/>
      <c r="F51" s="180"/>
      <c r="G51" s="3092"/>
      <c r="H51" s="138"/>
      <c r="I51" s="2483"/>
      <c r="J51" s="2484" t="s">
        <v>2196</v>
      </c>
      <c r="K51" s="3061" t="s">
        <v>2197</v>
      </c>
      <c r="L51" s="3061"/>
      <c r="M51" s="2484" t="s">
        <v>2198</v>
      </c>
      <c r="N51" s="2484" t="s">
        <v>2199</v>
      </c>
      <c r="O51" s="2484" t="s">
        <v>2200</v>
      </c>
    </row>
    <row r="52" spans="1:35" ht="24" hidden="1" customHeight="1">
      <c r="A52" s="183" t="s">
        <v>2201</v>
      </c>
      <c r="B52" s="3109" t="s">
        <v>2202</v>
      </c>
      <c r="C52" s="3109"/>
      <c r="D52" s="182">
        <f ca="1">ROUND(D45*'数据-取费表'!B41/(1+'数据-取费表'!C42),0)</f>
        <v>17000</v>
      </c>
      <c r="E52" s="11" t="s">
        <v>2203</v>
      </c>
      <c r="F52" s="184">
        <f>'数据-取费表'!B41</f>
        <v>5.5000000000000007E-2</v>
      </c>
      <c r="G52" s="2485"/>
      <c r="H52" s="138"/>
      <c r="I52" s="2483"/>
      <c r="J52" s="1811">
        <v>1</v>
      </c>
      <c r="K52" s="3084" t="s">
        <v>2204</v>
      </c>
      <c r="L52" s="3084"/>
      <c r="M52" s="1753">
        <f>D48</f>
        <v>0</v>
      </c>
      <c r="N52" s="1811" t="str">
        <f>E48</f>
        <v>销售额×税（费）率</v>
      </c>
      <c r="O52" s="1754" t="str">
        <f>F48</f>
        <v>免征</v>
      </c>
    </row>
    <row r="53" spans="1:35" ht="12" hidden="1" customHeight="1">
      <c r="A53" s="183" t="s">
        <v>2205</v>
      </c>
      <c r="B53" s="3110" t="s">
        <v>2206</v>
      </c>
      <c r="C53" s="3111"/>
      <c r="D53" s="182">
        <f ca="1">ROUND(D45*'数据-取费表'!B41/(1+'数据-取费表'!C42),0)</f>
        <v>17000</v>
      </c>
      <c r="E53" s="11" t="s">
        <v>2203</v>
      </c>
      <c r="F53" s="184">
        <f>'数据-取费表'!B41</f>
        <v>5.5000000000000007E-2</v>
      </c>
      <c r="G53" s="2485"/>
      <c r="H53" s="138"/>
      <c r="I53" s="2483"/>
      <c r="J53" s="1811">
        <v>2</v>
      </c>
      <c r="K53" s="3084" t="s">
        <v>2207</v>
      </c>
      <c r="L53" s="3084"/>
      <c r="M53" s="1753">
        <f t="shared" ref="M53:O54" ca="1" si="0">D55</f>
        <v>162</v>
      </c>
      <c r="N53" s="1811" t="str">
        <f t="shared" si="0"/>
        <v>销售额×税（费）率</v>
      </c>
      <c r="O53" s="1754">
        <f t="shared" si="0"/>
        <v>5.0000000000000001E-4</v>
      </c>
    </row>
    <row r="54" spans="1:35" ht="12" hidden="1" customHeight="1">
      <c r="A54" s="183" t="s">
        <v>2208</v>
      </c>
      <c r="B54" s="3110" t="s">
        <v>2209</v>
      </c>
      <c r="C54" s="3111"/>
      <c r="D54" s="182">
        <f ca="1">C68</f>
        <v>17000</v>
      </c>
      <c r="E54" s="30" t="s">
        <v>2210</v>
      </c>
      <c r="F54" s="184">
        <f>'数据-取费表'!B41</f>
        <v>5.5000000000000007E-2</v>
      </c>
      <c r="G54" s="2485"/>
      <c r="H54" s="2486"/>
      <c r="I54" s="2483"/>
      <c r="J54" s="1811">
        <v>3</v>
      </c>
      <c r="K54" s="3084" t="s">
        <v>2211</v>
      </c>
      <c r="L54" s="3084"/>
      <c r="M54" s="1753">
        <f t="shared" ca="1" si="0"/>
        <v>183989</v>
      </c>
      <c r="N54" s="1811" t="str">
        <f t="shared" si="0"/>
        <v>增值额×税（费）率</v>
      </c>
      <c r="O54" s="1755" t="str">
        <f t="shared" si="0"/>
        <v>——</v>
      </c>
    </row>
    <row r="55" spans="1:35" ht="24" hidden="1" customHeight="1">
      <c r="A55" s="3148" t="s">
        <v>2212</v>
      </c>
      <c r="B55" s="3130"/>
      <c r="C55" s="3130"/>
      <c r="D55" s="185">
        <f ca="1">IF(H55="个人住宅",0,ROUND(D45*I55,0))</f>
        <v>162</v>
      </c>
      <c r="E55" s="11" t="s">
        <v>2213</v>
      </c>
      <c r="F55" s="184">
        <f>IF(H55="正常",I55,"免征")</f>
        <v>5.0000000000000001E-4</v>
      </c>
      <c r="G55" s="2485"/>
      <c r="H55" s="2482" t="s">
        <v>2214</v>
      </c>
      <c r="I55" s="186">
        <f>'数据-取费表'!B49</f>
        <v>5.0000000000000001E-4</v>
      </c>
      <c r="J55" s="1811" t="str">
        <f>IF(H59="非个人房产","",4)</f>
        <v/>
      </c>
      <c r="K55" s="3084" t="str">
        <f>IF(H59="非个人房产","——","个人所得税")</f>
        <v>——</v>
      </c>
      <c r="L55" s="3084"/>
      <c r="M55" s="1756" t="str">
        <f>D59</f>
        <v>——</v>
      </c>
      <c r="N55" s="1809" t="str">
        <f>E59</f>
        <v>——</v>
      </c>
      <c r="O55" s="1757" t="str">
        <f>F59</f>
        <v>——</v>
      </c>
    </row>
    <row r="56" spans="1:35" ht="24.75" hidden="1">
      <c r="A56" s="3148" t="s">
        <v>2215</v>
      </c>
      <c r="B56" s="3130"/>
      <c r="C56" s="3130"/>
      <c r="D56" s="185">
        <f ca="1">IF(H56="个人住宅",D57,D58)</f>
        <v>183989</v>
      </c>
      <c r="E56" s="11" t="s">
        <v>2216</v>
      </c>
      <c r="F56" s="184" t="str">
        <f>IF(H56="正常",F58,"免征")</f>
        <v>——</v>
      </c>
      <c r="G56" s="2487" t="s">
        <v>2217</v>
      </c>
      <c r="H56" s="2488" t="s">
        <v>2214</v>
      </c>
      <c r="I56" s="2489"/>
      <c r="J56" s="1811" t="str">
        <f>IF(项目基本情况!K6="上海银行",IF(J55="",4,J55+1),"")</f>
        <v/>
      </c>
      <c r="K56" s="3067" t="str">
        <f>IF(项目基本情况!K6="上海银行","其他处置费用","")</f>
        <v/>
      </c>
      <c r="L56" s="3068"/>
      <c r="M56" s="1753" t="str">
        <f>IF(项目基本情况!K6="上海银行",M69,"")</f>
        <v/>
      </c>
      <c r="N56" s="3070" t="str">
        <f>IF(项目基本情况!K6="上海银行","包含处置中涉及的律师、诉讼、拍卖、评估等费用","")</f>
        <v/>
      </c>
      <c r="O56" s="3071"/>
    </row>
    <row r="57" spans="1:35" ht="12.75" hidden="1">
      <c r="A57" s="183" t="s">
        <v>2190</v>
      </c>
      <c r="B57" s="3115" t="s">
        <v>2218</v>
      </c>
      <c r="C57" s="3116"/>
      <c r="D57" s="187">
        <v>0</v>
      </c>
      <c r="E57" s="23" t="s">
        <v>2192</v>
      </c>
      <c r="F57" s="155"/>
      <c r="G57" s="2485"/>
      <c r="H57" s="2489"/>
      <c r="I57" s="2489"/>
      <c r="J57" s="3084">
        <f>IF(AND(J55="",J56=""),4,IF(项目基本情况!K6="上海银行",结果表!J56+1,结果表!J55+1))</f>
        <v>4</v>
      </c>
      <c r="K57" s="3084" t="s">
        <v>2219</v>
      </c>
      <c r="L57" s="2490" t="s">
        <v>2220</v>
      </c>
      <c r="M57" s="1758"/>
      <c r="N57" s="1759">
        <f ca="1">SUMIF(M52:M56,"&lt;9e307")</f>
        <v>184151</v>
      </c>
      <c r="O57" s="2491"/>
      <c r="P57" s="1752">
        <f ca="1">N57/M49</f>
        <v>0.56740409798182101</v>
      </c>
    </row>
    <row r="58" spans="1:35" ht="24.75" hidden="1">
      <c r="A58" s="183" t="s">
        <v>2201</v>
      </c>
      <c r="B58" s="3115" t="s">
        <v>2221</v>
      </c>
      <c r="C58" s="3128"/>
      <c r="D58" s="185">
        <f ca="1">IF(H58="转让取得",C81,C97)</f>
        <v>183989</v>
      </c>
      <c r="E58" s="11" t="s">
        <v>2216</v>
      </c>
      <c r="F58" s="24" t="s">
        <v>34</v>
      </c>
      <c r="G58" s="2485"/>
      <c r="H58" s="2488" t="s">
        <v>2222</v>
      </c>
      <c r="I58" s="2489"/>
      <c r="J58" s="3084"/>
      <c r="K58" s="3084"/>
      <c r="L58" s="2490" t="s">
        <v>2223</v>
      </c>
      <c r="M58" s="1760"/>
      <c r="N58" s="2492" t="str">
        <f ca="1">NUMBERSTRING(INT(N57*10000),2)&amp;"元整"</f>
        <v>壹拾捌亿肆仟壹佰伍拾壹万元整</v>
      </c>
      <c r="O58" s="2493"/>
    </row>
    <row r="59" spans="1:35" ht="24.75" hidden="1" thickBot="1">
      <c r="A59" s="3088" t="s">
        <v>2224</v>
      </c>
      <c r="B59" s="3089"/>
      <c r="C59" s="3089"/>
      <c r="D59" s="188" t="str">
        <f>IF(H59="非个人房产","——",IF(H59="个人住宅",0,ROUND(D45*I59,0)))</f>
        <v>——</v>
      </c>
      <c r="E59" s="189" t="str">
        <f>IF(H59="非个人房产","——","销售额×税（费）率")</f>
        <v>——</v>
      </c>
      <c r="F59" s="190" t="str">
        <f>IF(H59="非个人房产","——",IF(H59="个人住宅","免征",I59))</f>
        <v>——</v>
      </c>
      <c r="G59" s="2494" t="s">
        <v>2217</v>
      </c>
      <c r="H59" s="2488" t="s">
        <v>2225</v>
      </c>
      <c r="I59" s="191">
        <v>0.01</v>
      </c>
      <c r="J59" s="3086">
        <f>J57+1</f>
        <v>5</v>
      </c>
      <c r="K59" s="3084" t="s">
        <v>2226</v>
      </c>
      <c r="L59" s="1811" t="s">
        <v>2220</v>
      </c>
      <c r="M59" s="1761"/>
      <c r="N59" s="1762">
        <f ca="1">M49-N57</f>
        <v>140399</v>
      </c>
      <c r="O59" s="2495"/>
    </row>
    <row r="60" spans="1:35" ht="12" hidden="1" customHeight="1">
      <c r="A60" s="2496"/>
      <c r="B60" s="2418"/>
      <c r="C60" s="2418"/>
      <c r="D60" s="2418"/>
      <c r="E60" s="2165"/>
      <c r="F60" s="2489"/>
      <c r="G60" s="2489"/>
      <c r="H60" s="2497"/>
      <c r="I60" s="138"/>
      <c r="J60" s="3087"/>
      <c r="K60" s="3084"/>
      <c r="L60" s="2490" t="s">
        <v>2223</v>
      </c>
      <c r="M60" s="1760"/>
      <c r="N60" s="2492" t="str">
        <f ca="1">NUMBERSTRING(INT(N59*10000),2)&amp;"元整"</f>
        <v>壹拾肆亿零叁佰玖拾玖万元整</v>
      </c>
      <c r="O60" s="2493"/>
    </row>
    <row r="61" spans="1:35" ht="13.5" hidden="1" thickBot="1">
      <c r="A61" s="3147" t="s">
        <v>2227</v>
      </c>
      <c r="B61" s="3147"/>
      <c r="C61" s="3147"/>
      <c r="D61" s="3147"/>
      <c r="E61" s="3147"/>
      <c r="F61" s="2489"/>
      <c r="G61" s="2489"/>
      <c r="H61" s="2497"/>
      <c r="I61" s="138"/>
      <c r="J61" s="1811">
        <f>J59+1</f>
        <v>6</v>
      </c>
      <c r="K61" s="3084" t="s">
        <v>2228</v>
      </c>
      <c r="L61" s="3084"/>
      <c r="M61" s="1763"/>
      <c r="N61" s="1764">
        <f ca="1">ROUND(N59*10000/'数据-汇总表'!E3,0)</f>
        <v>6655</v>
      </c>
      <c r="O61" s="2498"/>
    </row>
    <row r="62" spans="1:35" ht="12.75" hidden="1">
      <c r="A62" s="3104" t="s">
        <v>2229</v>
      </c>
      <c r="B62" s="3105"/>
      <c r="C62" s="1803"/>
      <c r="D62" s="1803" t="s">
        <v>2230</v>
      </c>
      <c r="E62" s="192" t="s">
        <v>2231</v>
      </c>
      <c r="F62" s="2489"/>
      <c r="G62" s="2489"/>
      <c r="H62" s="2497"/>
      <c r="I62" s="138"/>
    </row>
    <row r="63" spans="1:35" ht="12.75" hidden="1">
      <c r="A63" s="203" t="s">
        <v>775</v>
      </c>
      <c r="B63" s="193" t="s">
        <v>2232</v>
      </c>
      <c r="C63" s="194">
        <f ca="1">ROUND((C64+C65)/(1+'数据-取费表'!C42),0)</f>
        <v>309095</v>
      </c>
      <c r="D63" s="195"/>
      <c r="E63" s="196"/>
      <c r="F63" s="2489"/>
      <c r="G63" s="2489"/>
      <c r="H63" s="2497"/>
      <c r="I63" s="138"/>
      <c r="J63" s="3069" t="s">
        <v>2233</v>
      </c>
      <c r="K63" s="2499" t="s">
        <v>2234</v>
      </c>
      <c r="L63" s="1751">
        <f ca="1">IF(M49&gt;10000,M49*0.5%,IF(AND(M49&gt;1000,M49&lt;=10000),M49*1%,IF(AND(M49&gt;100,M49&lt;=1000),M49*3%,IF(AND(M49&gt;10,M49&lt;=100),M49*5%,M49*8%))))</f>
        <v>1622.75</v>
      </c>
      <c r="M63" s="24">
        <f ca="1">ROUND(L63,1)</f>
        <v>1622.8</v>
      </c>
      <c r="Z63" s="2423"/>
      <c r="AI63" s="2424"/>
    </row>
    <row r="64" spans="1:35" ht="14.25" hidden="1" customHeight="1">
      <c r="A64" s="197" t="s">
        <v>770</v>
      </c>
      <c r="B64" s="198" t="s">
        <v>2235</v>
      </c>
      <c r="C64" s="199">
        <f ca="1">D45</f>
        <v>324550</v>
      </c>
      <c r="D64" s="200" t="s">
        <v>32</v>
      </c>
      <c r="E64" s="201"/>
      <c r="F64" s="2489"/>
      <c r="G64" s="2489"/>
      <c r="H64" s="2497"/>
      <c r="I64" s="138"/>
      <c r="J64" s="3069"/>
      <c r="K64" s="2499" t="s">
        <v>2236</v>
      </c>
      <c r="L64" s="1751">
        <f ca="1">IF(M49&gt;2000,M49*0.5%,IF(AND(M49&gt;1000,M49&lt;=2000),M49*0.6%,IF(AND(M49&gt;500,M49&lt;=1000),M49*0.7%,IF(AND(M49&gt;200,M49&lt;=500),M49*0.8%,IF(AND(M49&gt;100,M49&lt;=200),M49*0.9%,IF(AND(M49&gt;50,M49&lt;=100),M49*1%,IF(AND(M49&gt;20,M49&lt;=50),M49*1.5%,IF(AND(M49&gt;10,M49&lt;=20),M49*2%,IF(AND(M49&gt;1,M49&lt;=10),M49*2.5%)))))))))</f>
        <v>1622.75</v>
      </c>
      <c r="M64" s="24">
        <f t="shared" ref="M64:M65" ca="1" si="1">ROUND(L64,1)</f>
        <v>1622.8</v>
      </c>
      <c r="N64" s="138" t="s">
        <v>2237</v>
      </c>
      <c r="Z64" s="2423"/>
      <c r="AI64" s="2424"/>
    </row>
    <row r="65" spans="1:35" ht="14.25" hidden="1" customHeight="1">
      <c r="A65" s="197" t="s">
        <v>771</v>
      </c>
      <c r="B65" s="198" t="s">
        <v>2238</v>
      </c>
      <c r="C65" s="202"/>
      <c r="D65" s="200"/>
      <c r="E65" s="201"/>
      <c r="F65" s="2489"/>
      <c r="G65" s="2489"/>
      <c r="H65" s="2497"/>
      <c r="I65" s="138"/>
      <c r="J65" s="3069"/>
      <c r="K65" s="2499" t="s">
        <v>2239</v>
      </c>
      <c r="L65" s="1751">
        <f ca="1">IF(M49&gt;1000,M49*0.1%,IF(AND(M49&gt;500,M49&lt;=1000),M49*0.5%,IF(AND(M49&gt;50,M49&lt;=500),M49*1%,IF(AND(M49&gt;1,M49&lt;=50),M49*1.5%))))</f>
        <v>324.55</v>
      </c>
      <c r="M65" s="24">
        <f t="shared" ca="1" si="1"/>
        <v>324.60000000000002</v>
      </c>
      <c r="N65" s="138" t="s">
        <v>2237</v>
      </c>
      <c r="Z65" s="2423"/>
      <c r="AI65" s="2424"/>
    </row>
    <row r="66" spans="1:35" ht="14.25" hidden="1" customHeight="1">
      <c r="A66" s="203" t="s">
        <v>772</v>
      </c>
      <c r="B66" s="204" t="s">
        <v>2240</v>
      </c>
      <c r="C66" s="205"/>
      <c r="D66" s="206" t="s">
        <v>32</v>
      </c>
      <c r="E66" s="1775" t="s">
        <v>1371</v>
      </c>
      <c r="F66" s="2489"/>
      <c r="G66" s="2489"/>
      <c r="H66" s="2497"/>
      <c r="I66" s="138"/>
      <c r="J66" s="3069"/>
      <c r="K66" s="2499" t="s">
        <v>2241</v>
      </c>
      <c r="L66" s="1751">
        <f ca="1">M49*0.5%</f>
        <v>1622.75</v>
      </c>
      <c r="M66" s="24">
        <f ca="1">IF(L66&gt;0.5,0.5,ROUND(L66,0))</f>
        <v>0.5</v>
      </c>
      <c r="N66" s="138" t="s">
        <v>2242</v>
      </c>
      <c r="Z66" s="2423"/>
      <c r="AI66" s="2424"/>
    </row>
    <row r="67" spans="1:35" ht="14.25" hidden="1" customHeight="1">
      <c r="A67" s="203" t="s">
        <v>773</v>
      </c>
      <c r="B67" s="204" t="s">
        <v>2243</v>
      </c>
      <c r="C67" s="207">
        <f ca="1">C63-C66</f>
        <v>309095</v>
      </c>
      <c r="D67" s="200" t="s">
        <v>32</v>
      </c>
      <c r="E67" s="201"/>
      <c r="F67" s="2489"/>
      <c r="G67" s="2489"/>
      <c r="H67" s="2497"/>
      <c r="I67" s="138"/>
      <c r="J67" s="3069"/>
      <c r="K67" s="2499" t="s">
        <v>2244</v>
      </c>
      <c r="L67" s="1751">
        <f ca="1">IF(M49&gt;=10000,(8.25+(M49-10000)*0.01%),IF(AND(M49&gt;=8000,M49&lt;10000),(7.85+(M49-8000)*0.02%),IF(AND(M49&gt;=5000,M49&lt;8000),(6.65+(M49-5000)*0.04%),IF(AND(M49&gt;=2000,M49&lt;5000),(4.25+(PM49-2000)*0.08%),IF(AND(M49&gt;=1000,M49&lt;2000),(2.75+(M49-1000)*0.15%),IF(AND(M49&gt;=100,M49&lt;1000),(0.5+(M49-100)*0.25%),IF(AND(M49&gt;0,M49&lt;100),M49*0.5%)))))))</f>
        <v>39.704999999999998</v>
      </c>
      <c r="M67" s="24">
        <f ca="1">ROUND(L67*0.9,1)</f>
        <v>35.700000000000003</v>
      </c>
      <c r="Z67" s="2423"/>
      <c r="AI67" s="2424"/>
    </row>
    <row r="68" spans="1:35" ht="14.25" hidden="1" customHeight="1" thickBot="1">
      <c r="A68" s="208" t="s">
        <v>774</v>
      </c>
      <c r="B68" s="209" t="s">
        <v>2245</v>
      </c>
      <c r="C68" s="210">
        <f ca="1">IF(C67&lt;=0,0,ROUND(C67*D68,0))</f>
        <v>17000</v>
      </c>
      <c r="D68" s="211">
        <f>'数据-取费表'!B41</f>
        <v>5.5000000000000007E-2</v>
      </c>
      <c r="E68" s="212"/>
      <c r="F68" s="2489"/>
      <c r="G68" s="2489"/>
      <c r="H68" s="2497"/>
      <c r="I68" s="138"/>
      <c r="J68" s="3069"/>
      <c r="K68" s="2499" t="s">
        <v>2246</v>
      </c>
      <c r="L68" s="1751">
        <f ca="1">IF(M49&gt;10000,M49*0.5%,IF(AND(M49&gt;5000,M49&lt;=10000),M49*1%,IF(AND(M49&gt;1000,M49&lt;=5000),M49*2%,IF(AND(M49&gt;200,M49&lt;=1000),M49*3%,M49*5%))))</f>
        <v>1622.75</v>
      </c>
      <c r="M68" s="24">
        <f ca="1">ROUND(L68,1)</f>
        <v>1622.8</v>
      </c>
      <c r="Z68" s="2423"/>
      <c r="AI68" s="2424"/>
    </row>
    <row r="69" spans="1:35" s="2446" customFormat="1" ht="16.5" hidden="1" customHeight="1">
      <c r="A69" s="2500"/>
      <c r="B69" s="2501"/>
      <c r="C69" s="2502"/>
      <c r="D69" s="2503"/>
      <c r="E69" s="2504"/>
      <c r="F69" s="2165"/>
      <c r="G69" s="2165"/>
      <c r="H69" s="2164"/>
      <c r="I69" s="2418"/>
      <c r="J69" s="3069"/>
      <c r="K69" s="2499" t="s">
        <v>2247</v>
      </c>
      <c r="L69" s="2505"/>
      <c r="M69" s="24">
        <f ca="1">ROUND(SUM(M63:M68),0)</f>
        <v>5229</v>
      </c>
      <c r="N69" s="1752">
        <f ca="1">M69/M49</f>
        <v>1.6111539054074874E-2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hidden="1" thickBot="1">
      <c r="A70" s="3113" t="s">
        <v>2248</v>
      </c>
      <c r="B70" s="3114"/>
      <c r="C70" s="3114"/>
      <c r="D70" s="3114"/>
      <c r="E70" s="3114"/>
      <c r="F70" s="3114"/>
      <c r="G70" s="3114"/>
      <c r="H70" s="311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hidden="1">
      <c r="A71" s="3104" t="s">
        <v>2229</v>
      </c>
      <c r="B71" s="3105"/>
      <c r="C71" s="1803"/>
      <c r="D71" s="1803" t="s">
        <v>2230</v>
      </c>
      <c r="E71" s="213" t="s">
        <v>2231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hidden="1">
      <c r="A72" s="203" t="s">
        <v>775</v>
      </c>
      <c r="B72" s="204" t="s">
        <v>2249</v>
      </c>
      <c r="C72" s="207">
        <f ca="1">ROUND(D45/(1+'数据-取费表'!C42),0)</f>
        <v>309095</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hidden="1">
      <c r="A73" s="203" t="s">
        <v>772</v>
      </c>
      <c r="B73" s="173" t="s">
        <v>2250</v>
      </c>
      <c r="C73" s="207">
        <f ca="1">C74+C78</f>
        <v>1545</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hidden="1">
      <c r="A74" s="217" t="s">
        <v>770</v>
      </c>
      <c r="B74" s="198" t="s">
        <v>2251</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hidden="1">
      <c r="A75" s="217" t="s">
        <v>776</v>
      </c>
      <c r="B75" s="198" t="s">
        <v>2252</v>
      </c>
      <c r="C75" s="218"/>
      <c r="D75" s="200" t="s">
        <v>32</v>
      </c>
      <c r="E75" s="219" t="s">
        <v>2253</v>
      </c>
      <c r="F75" s="2511" t="s">
        <v>2254</v>
      </c>
      <c r="G75" s="219" t="s">
        <v>2255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hidden="1" customHeight="1">
      <c r="A76" s="217" t="s">
        <v>777</v>
      </c>
      <c r="B76" s="221" t="s">
        <v>2256</v>
      </c>
      <c r="C76" s="200">
        <f>IF(F75="购房发票",ROUND(C75*H75*D76,0),0)</f>
        <v>0</v>
      </c>
      <c r="D76" s="222">
        <v>0.05</v>
      </c>
      <c r="E76" s="3110" t="s">
        <v>2257</v>
      </c>
      <c r="F76" s="3109"/>
      <c r="G76" s="3109"/>
      <c r="H76" s="311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hidden="1"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13" t="s">
        <v>2260</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hidden="1" customHeight="1">
      <c r="A78" s="217" t="s">
        <v>771</v>
      </c>
      <c r="B78" s="198" t="s">
        <v>2261</v>
      </c>
      <c r="C78" s="225">
        <f ca="1">ROUND(D45*D78/(1+'数据-取费表'!C42),0)</f>
        <v>1545</v>
      </c>
      <c r="D78" s="226">
        <f>'数据-取费表'!B43</f>
        <v>5.000000000000001E-3</v>
      </c>
      <c r="E78" s="3101" t="s">
        <v>2262</v>
      </c>
      <c r="F78" s="3102"/>
      <c r="G78" s="3102"/>
      <c r="H78" s="310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hidden="1">
      <c r="A79" s="2515" t="s">
        <v>779</v>
      </c>
      <c r="B79" s="204" t="s">
        <v>2263</v>
      </c>
      <c r="C79" s="207">
        <f ca="1">C72-C73</f>
        <v>307550</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hidden="1">
      <c r="A80" s="2515" t="s">
        <v>780</v>
      </c>
      <c r="B80" s="204" t="s">
        <v>2264</v>
      </c>
      <c r="C80" s="227">
        <f ca="1">IF(C79&lt;=0,0,C79/C73)</f>
        <v>199.06148867313917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hidden="1" thickBot="1">
      <c r="A81" s="2516" t="s">
        <v>781</v>
      </c>
      <c r="B81" s="209" t="s">
        <v>2265</v>
      </c>
      <c r="C81" s="228">
        <f ca="1">ROUND(IF(C79&lt;=0,0,IF(C80&gt;=200%,C79*60%-C73*35%,IF(C80&gt;=100%,C79*50%-C73*15%,IF(C80&gt;=50%,C79*40%-C73*5%,IF(C80&lt;50%,C79*30%,0))))),0)</f>
        <v>183989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hidden="1"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hidden="1" thickBot="1">
      <c r="A83" s="3113" t="s">
        <v>2266</v>
      </c>
      <c r="B83" s="3114"/>
      <c r="C83" s="3114"/>
      <c r="D83" s="3114"/>
      <c r="E83" s="3114"/>
      <c r="F83" s="3114"/>
      <c r="G83" s="3114"/>
      <c r="H83" s="311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hidden="1">
      <c r="A84" s="3104" t="s">
        <v>2229</v>
      </c>
      <c r="B84" s="3105"/>
      <c r="C84" s="1803"/>
      <c r="D84" s="1803" t="s">
        <v>2230</v>
      </c>
      <c r="E84" s="213" t="s">
        <v>2231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hidden="1">
      <c r="A85" s="203" t="s">
        <v>775</v>
      </c>
      <c r="B85" s="204" t="s">
        <v>2249</v>
      </c>
      <c r="C85" s="207">
        <f ca="1">ROUND(D45/(1+'数据-取费表'!C42),0)</f>
        <v>309095</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hidden="1">
      <c r="A86" s="203" t="s">
        <v>772</v>
      </c>
      <c r="B86" s="173" t="s">
        <v>2250</v>
      </c>
      <c r="C86" s="207">
        <f ca="1">IF(H88="仅含出让金",C87+C90+C91+C92+C93+C94,C87+C91+C92+C93+C94)</f>
        <v>1545</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hidden="1">
      <c r="A87" s="217" t="s">
        <v>770</v>
      </c>
      <c r="B87" s="198" t="s">
        <v>2267</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hidden="1">
      <c r="A88" s="217" t="s">
        <v>776</v>
      </c>
      <c r="B88" s="198" t="s">
        <v>2268</v>
      </c>
      <c r="C88" s="236"/>
      <c r="D88" s="226"/>
      <c r="E88" s="237" t="s">
        <v>2269</v>
      </c>
      <c r="F88" s="1799"/>
      <c r="G88" s="238" t="s">
        <v>2270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hidden="1">
      <c r="A89" s="217" t="s">
        <v>777</v>
      </c>
      <c r="B89" s="198" t="s">
        <v>2258</v>
      </c>
      <c r="C89" s="225">
        <f>ROUND(C88*D89,0)</f>
        <v>0</v>
      </c>
      <c r="D89" s="226">
        <f>'数据-取费表'!B48+'数据-取费表'!B49</f>
        <v>3.0499999999999999E-2</v>
      </c>
      <c r="E89" s="237" t="s">
        <v>2271</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hidden="1">
      <c r="A90" s="217" t="s">
        <v>771</v>
      </c>
      <c r="B90" s="198" t="s">
        <v>2272</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hidden="1" customHeight="1">
      <c r="A91" s="217" t="s">
        <v>2273</v>
      </c>
      <c r="B91" s="198" t="s">
        <v>2274</v>
      </c>
      <c r="C91" s="225">
        <f>IF(H91="——",成本法!C33,I91)</f>
        <v>0</v>
      </c>
      <c r="D91" s="226"/>
      <c r="E91" s="3101" t="s">
        <v>2275</v>
      </c>
      <c r="F91" s="3102"/>
      <c r="G91" s="3102"/>
      <c r="H91" s="2518" t="s">
        <v>2276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hidden="1" customHeight="1">
      <c r="A92" s="217" t="s">
        <v>2277</v>
      </c>
      <c r="B92" s="198" t="s">
        <v>2278</v>
      </c>
      <c r="C92" s="225">
        <f>ROUND((C87+C90+C91)*D92,0)</f>
        <v>0</v>
      </c>
      <c r="D92" s="226">
        <v>0.1</v>
      </c>
      <c r="E92" s="3101" t="s">
        <v>2279</v>
      </c>
      <c r="F92" s="3102"/>
      <c r="G92" s="3102"/>
      <c r="H92" s="310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hidden="1" customHeight="1">
      <c r="A93" s="217" t="s">
        <v>2280</v>
      </c>
      <c r="B93" s="198" t="s">
        <v>2261</v>
      </c>
      <c r="C93" s="225">
        <f ca="1">ROUND(D45*D93/(1+'数据-取费表'!C42),0)</f>
        <v>1545</v>
      </c>
      <c r="D93" s="226">
        <f>'数据-取费表'!B43</f>
        <v>5.000000000000001E-3</v>
      </c>
      <c r="E93" s="3101" t="s">
        <v>2262</v>
      </c>
      <c r="F93" s="3102"/>
      <c r="G93" s="3102"/>
      <c r="H93" s="310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hidden="1" customHeight="1">
      <c r="A94" s="217" t="s">
        <v>2281</v>
      </c>
      <c r="B94" s="198" t="s">
        <v>2282</v>
      </c>
      <c r="C94" s="236">
        <f>ROUND((C87+C90+C91)*D94,0)</f>
        <v>0</v>
      </c>
      <c r="D94" s="226">
        <v>0.2</v>
      </c>
      <c r="E94" s="3149" t="s">
        <v>2283</v>
      </c>
      <c r="F94" s="3150"/>
      <c r="G94" s="3150"/>
      <c r="H94" s="315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hidden="1">
      <c r="A95" s="2515" t="s">
        <v>779</v>
      </c>
      <c r="B95" s="204" t="s">
        <v>2263</v>
      </c>
      <c r="C95" s="207">
        <f ca="1">ROUND(C85-C86,0)</f>
        <v>307550</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hidden="1">
      <c r="A96" s="2515" t="s">
        <v>780</v>
      </c>
      <c r="B96" s="204" t="s">
        <v>2264</v>
      </c>
      <c r="C96" s="227">
        <f ca="1">IF(C95&lt;=0,0,C95/C86)</f>
        <v>199.06148867313917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hidden="1" thickBot="1">
      <c r="A97" s="2516" t="s">
        <v>781</v>
      </c>
      <c r="B97" s="209" t="s">
        <v>2265</v>
      </c>
      <c r="C97" s="228">
        <f ca="1">ROUND(IF(C95&lt;=0,0,IF(C96&gt;=200%,C95*60%-C86*35%,IF(C96&gt;=100%,C95*50%-C86*15%,IF(C96&gt;=50%,C95*40%-C86*5%,IF(C96&lt;50%,C95*30%,0))))),0)</f>
        <v>183989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2284</v>
      </c>
      <c r="B99" s="2418"/>
      <c r="C99" s="2418"/>
      <c r="D99" s="2418"/>
      <c r="E99" s="2165"/>
      <c r="F99" s="2165"/>
      <c r="G99" s="2165"/>
      <c r="H99" s="2164"/>
      <c r="I99" s="138"/>
    </row>
    <row r="100" spans="1:35" ht="18.75" customHeight="1">
      <c r="A100" s="3053" t="s">
        <v>2285</v>
      </c>
      <c r="B100" s="3054"/>
      <c r="C100" s="3054"/>
      <c r="D100" s="3085"/>
      <c r="E100" s="3054" t="s">
        <v>2286</v>
      </c>
      <c r="F100" s="3054"/>
      <c r="G100" s="3054"/>
      <c r="H100" s="3085"/>
      <c r="I100" s="138"/>
    </row>
    <row r="101" spans="1:35" ht="18.75" customHeight="1">
      <c r="A101" s="3093" t="s">
        <v>2287</v>
      </c>
      <c r="B101" s="3094"/>
      <c r="C101" s="736" t="str">
        <f>C4</f>
        <v>成本法</v>
      </c>
      <c r="D101" s="737" t="str">
        <f>D4</f>
        <v>收益法</v>
      </c>
      <c r="E101" s="3065" t="s">
        <v>2288</v>
      </c>
      <c r="F101" s="3066"/>
      <c r="G101" s="2520" t="s">
        <v>2289</v>
      </c>
      <c r="H101" s="1048">
        <f ca="1">H118</f>
        <v>324550</v>
      </c>
      <c r="I101" s="138"/>
    </row>
    <row r="102" spans="1:35" ht="18.75" customHeight="1">
      <c r="A102" s="3095" t="s">
        <v>2290</v>
      </c>
      <c r="B102" s="2520" t="s">
        <v>2289</v>
      </c>
      <c r="C102" s="736">
        <f ca="1">C19</f>
        <v>408669</v>
      </c>
      <c r="D102" s="737">
        <f ca="1">D19</f>
        <v>268470</v>
      </c>
      <c r="E102" s="3065"/>
      <c r="F102" s="3066"/>
      <c r="G102" s="2520" t="s">
        <v>2291</v>
      </c>
      <c r="H102" s="371">
        <f ca="1">I118</f>
        <v>15385</v>
      </c>
      <c r="I102" s="138"/>
    </row>
    <row r="103" spans="1:35" ht="42.75" customHeight="1">
      <c r="A103" s="3095"/>
      <c r="B103" s="2520" t="s">
        <v>2291</v>
      </c>
      <c r="C103" s="738">
        <f ca="1">C20</f>
        <v>19372</v>
      </c>
      <c r="D103" s="739">
        <f ca="1">D20</f>
        <v>13886</v>
      </c>
      <c r="E103" s="3059" t="s">
        <v>2292</v>
      </c>
      <c r="F103" s="3060"/>
      <c r="G103" s="2521" t="s">
        <v>2293</v>
      </c>
      <c r="H103" s="1048">
        <f>IF(D36="正常操作",H104+H105+H106,H105+H106)</f>
        <v>0</v>
      </c>
      <c r="I103" s="138"/>
    </row>
    <row r="104" spans="1:35" ht="18.75" customHeight="1">
      <c r="A104" s="3095" t="s">
        <v>2294</v>
      </c>
      <c r="B104" s="2522" t="s">
        <v>2289</v>
      </c>
      <c r="C104" s="740">
        <f ca="1">H118</f>
        <v>324550</v>
      </c>
      <c r="D104" s="741"/>
      <c r="E104" s="2266" t="s">
        <v>2295</v>
      </c>
      <c r="F104" s="2257"/>
      <c r="G104" s="2521" t="s">
        <v>2293</v>
      </c>
      <c r="H104" s="1049">
        <f>IF(D36="同一抵押权人同一抵押物续贷",C36&amp;"（未扣减，详见特别提示）",C36)</f>
        <v>0</v>
      </c>
      <c r="I104" s="138"/>
    </row>
    <row r="105" spans="1:35" ht="18.75" customHeight="1" thickBot="1">
      <c r="A105" s="3107"/>
      <c r="B105" s="2523" t="s">
        <v>2291</v>
      </c>
      <c r="C105" s="742">
        <f ca="1">I118</f>
        <v>15385</v>
      </c>
      <c r="D105" s="743"/>
      <c r="E105" s="2266" t="s">
        <v>2296</v>
      </c>
      <c r="F105" s="2257"/>
      <c r="G105" s="2521" t="s">
        <v>2293</v>
      </c>
      <c r="H105" s="1049">
        <f>C37</f>
        <v>0</v>
      </c>
      <c r="I105" s="138"/>
    </row>
    <row r="106" spans="1:35" ht="18.75" customHeight="1">
      <c r="A106" s="2418" t="s">
        <v>2297</v>
      </c>
      <c r="B106" s="2418"/>
      <c r="C106" s="2418"/>
      <c r="D106" s="2418"/>
      <c r="E106" s="2524" t="s">
        <v>2298</v>
      </c>
      <c r="F106" s="2257"/>
      <c r="G106" s="2521" t="s">
        <v>2293</v>
      </c>
      <c r="H106" s="1049">
        <f>C38</f>
        <v>0</v>
      </c>
      <c r="I106" s="138"/>
    </row>
    <row r="107" spans="1:35" ht="18.75" customHeight="1">
      <c r="A107" s="138"/>
      <c r="B107" s="138"/>
      <c r="C107" s="138"/>
      <c r="D107" s="138"/>
      <c r="E107" s="3096" t="str">
        <f>IF(项目基本情况!E8="已注销","——","3.房地产抵押价值")</f>
        <v>3.房地产抵押价值</v>
      </c>
      <c r="F107" s="3066"/>
      <c r="G107" s="2520" t="s">
        <v>2289</v>
      </c>
      <c r="H107" s="1048">
        <f ca="1">IF(E107="——","——",H101-H103)</f>
        <v>324550</v>
      </c>
      <c r="I107" s="138"/>
    </row>
    <row r="108" spans="1:35" ht="18.75" customHeight="1">
      <c r="A108" s="138"/>
      <c r="B108" s="138"/>
      <c r="C108" s="138"/>
      <c r="D108" s="138"/>
      <c r="E108" s="3096"/>
      <c r="F108" s="3066"/>
      <c r="G108" s="2520" t="s">
        <v>2291</v>
      </c>
      <c r="H108" s="371">
        <f ca="1">ROUND(H107*10000/'数据-汇总表'!E3,0)</f>
        <v>15385</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66"/>
      <c r="G109" s="2520" t="s">
        <v>2289</v>
      </c>
      <c r="H109" s="348" t="str">
        <f>IF(E109="——","——",H101-H105-H106)</f>
        <v>——</v>
      </c>
      <c r="I109" s="138"/>
    </row>
    <row r="110" spans="1:35" ht="18.75" customHeight="1">
      <c r="A110" s="138"/>
      <c r="B110" s="138"/>
      <c r="C110" s="138"/>
      <c r="D110" s="138"/>
      <c r="E110" s="3096"/>
      <c r="F110" s="3066"/>
      <c r="G110" s="2520" t="s">
        <v>2291</v>
      </c>
      <c r="H110" s="371" t="str">
        <f>IF(H109="——","——",ROUND(H109*10000/'数据-汇总表'!E3,0))</f>
        <v>——</v>
      </c>
      <c r="I110" s="138"/>
    </row>
    <row r="111" spans="1:35" ht="18.75" customHeight="1">
      <c r="A111" s="138"/>
      <c r="B111" s="138"/>
      <c r="C111" s="138"/>
      <c r="D111" s="138"/>
      <c r="E111" s="3097" t="str">
        <f>IF(项目基本情况!E9="抵押净值",IF(OR(项目基本情况!E8="已注销",项目基本情况!E8="房地产抵押价值"),"4.抵押净值","5.抵押净值"),"——")</f>
        <v>——</v>
      </c>
      <c r="F111" s="3098"/>
      <c r="G111" s="2520" t="s">
        <v>2289</v>
      </c>
      <c r="H111" s="1048" t="str">
        <f>IF(E111="——","——",N59)</f>
        <v>——</v>
      </c>
      <c r="I111" s="138"/>
    </row>
    <row r="112" spans="1:35" ht="18.75" customHeight="1" thickBot="1">
      <c r="A112" s="138"/>
      <c r="B112" s="138"/>
      <c r="C112" s="138"/>
      <c r="D112" s="138"/>
      <c r="E112" s="3099"/>
      <c r="F112" s="3100"/>
      <c r="G112" s="2525" t="s">
        <v>2291</v>
      </c>
      <c r="H112" s="790" t="str">
        <f>IF(E111="——","——",N61)</f>
        <v>——</v>
      </c>
      <c r="I112" s="138"/>
    </row>
    <row r="113" spans="1:11" ht="18.75" customHeight="1">
      <c r="A113" s="138"/>
      <c r="B113" s="138"/>
      <c r="C113" s="138"/>
      <c r="D113" s="138"/>
      <c r="E113" s="3108" t="s">
        <v>2297</v>
      </c>
      <c r="F113" s="3108"/>
      <c r="G113" s="3108"/>
      <c r="H113" s="3108"/>
      <c r="I113" s="138"/>
    </row>
    <row r="114" spans="1:11" ht="3.75" customHeight="1">
      <c r="A114" s="2418"/>
      <c r="B114" s="2418"/>
      <c r="C114" s="2418"/>
      <c r="D114" s="2418"/>
      <c r="E114" s="2496"/>
      <c r="F114" s="2496"/>
      <c r="G114" s="2496"/>
      <c r="H114" s="2496"/>
      <c r="I114" s="2418"/>
    </row>
    <row r="115" spans="1:11" ht="18.75" customHeight="1">
      <c r="A115" s="3121" t="s">
        <v>2299</v>
      </c>
      <c r="B115" s="3122"/>
      <c r="C115" s="3122"/>
      <c r="D115" s="3122"/>
      <c r="E115" s="3122"/>
      <c r="F115" s="3122"/>
      <c r="G115" s="3122"/>
      <c r="H115" s="3122"/>
      <c r="I115" s="3123"/>
    </row>
    <row r="116" spans="1:11" ht="27" customHeight="1">
      <c r="A116" s="3032" t="s">
        <v>2300</v>
      </c>
      <c r="B116" s="3075" t="s">
        <v>3077</v>
      </c>
      <c r="C116" s="3075" t="s">
        <v>3076</v>
      </c>
      <c r="D116" s="3081" t="s">
        <v>2301</v>
      </c>
      <c r="E116" s="3082"/>
      <c r="F116" s="3117" t="s">
        <v>3078</v>
      </c>
      <c r="G116" s="3117"/>
      <c r="H116" s="3032" t="s">
        <v>2302</v>
      </c>
      <c r="I116" s="3032"/>
    </row>
    <row r="117" spans="1:11" ht="18.75" customHeight="1">
      <c r="A117" s="3032"/>
      <c r="B117" s="3076"/>
      <c r="C117" s="3076"/>
      <c r="D117" s="1797" t="s">
        <v>2303</v>
      </c>
      <c r="E117" s="1797" t="s">
        <v>2304</v>
      </c>
      <c r="F117" s="1797" t="s">
        <v>2303</v>
      </c>
      <c r="G117" s="1797" t="s">
        <v>2305</v>
      </c>
      <c r="H117" s="1797" t="s">
        <v>2303</v>
      </c>
      <c r="I117" s="1797" t="s">
        <v>2305</v>
      </c>
    </row>
    <row r="118" spans="1:11" ht="24.75" customHeight="1">
      <c r="A118" s="2526" t="str">
        <f>项目基本情况!S2</f>
        <v>北京市大兴区永兴路7号院1号楼-3层至4层101号房地产</v>
      </c>
      <c r="B118" s="1797">
        <f>M18</f>
        <v>210956.06</v>
      </c>
      <c r="C118" s="1797">
        <f>M19</f>
        <v>55191.78</v>
      </c>
      <c r="D118" s="1797">
        <f ca="1">ROUND(IF(D32="总价",C34,E118*B118/10000),0)</f>
        <v>244386</v>
      </c>
      <c r="E118" s="1797">
        <f ca="1">ROUND(IF(C33="自定义",IF(D32="楼面单价",C34,D118*10000/B118),I118-G118),0)</f>
        <v>11585</v>
      </c>
      <c r="F118" s="1797">
        <f ca="1">ROUND(IF(D32="总价",C35,G118*B118/10000),0)</f>
        <v>80164</v>
      </c>
      <c r="G118" s="1797">
        <f ca="1">ROUND(IF(D32="楼面单价",C35,F118*10000/B118),0)</f>
        <v>3800</v>
      </c>
      <c r="H118" s="1797">
        <f ca="1">ROUND(IF(D32="总价",C32,I118*B118/10000),0)</f>
        <v>324550</v>
      </c>
      <c r="I118" s="1797">
        <f ca="1">ROUND(IF(D32="楼面单价",C32,H118*10000/B118),0)</f>
        <v>15385</v>
      </c>
    </row>
    <row r="119" spans="1:11" ht="31.5" customHeight="1">
      <c r="A119" s="3032" t="s">
        <v>2306</v>
      </c>
      <c r="B119" s="3032"/>
      <c r="C119" s="3032"/>
      <c r="D119" s="3077" t="str">
        <f ca="1">NUMBERSTRING(INT(D118*10000),2)&amp;"元整"</f>
        <v>贰拾肆亿肆仟叁佰捌拾陆万元整</v>
      </c>
      <c r="E119" s="3078"/>
      <c r="F119" s="3077" t="str">
        <f ca="1">NUMBERSTRING(INT(F118*10000),2)&amp;"元整"</f>
        <v>捌亿零壹佰陆拾肆万元整</v>
      </c>
      <c r="G119" s="3078"/>
      <c r="H119" s="3077" t="str">
        <f ca="1">NUMBERSTRING(INT(H118*10000),2)&amp;"元整"</f>
        <v>叁拾贰亿肆仟伍佰伍拾万元整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23" t="str">
        <f>IF(D120=0,"故，本次评估不存在"&amp;A120,"故，本次评估"&amp;A120&amp;"为人民币"&amp;D120&amp;"万元整。")</f>
        <v>故，本次评估不存在估价师知悉的法定优先受偿款</v>
      </c>
    </row>
    <row r="121" spans="1:11" ht="18.75" customHeight="1">
      <c r="A121" s="3118" t="s">
        <v>2306</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房地产抵押价值</v>
      </c>
      <c r="B122" s="3083"/>
      <c r="C122" s="3083"/>
      <c r="D122" s="3072">
        <f ca="1">H107</f>
        <v>324550</v>
      </c>
      <c r="E122" s="3073"/>
      <c r="F122" s="3073"/>
      <c r="G122" s="3073"/>
      <c r="H122" s="3073"/>
      <c r="I122" s="3074"/>
    </row>
    <row r="123" spans="1:11" ht="18.75" customHeight="1">
      <c r="A123" s="3032" t="s">
        <v>2306</v>
      </c>
      <c r="B123" s="3032"/>
      <c r="C123" s="3032"/>
      <c r="D123" s="3077" t="str">
        <f ca="1">NUMBERSTRING(INT(D122*10000),2)&amp;"元整"</f>
        <v>叁拾贰亿肆仟伍佰伍拾万元整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2306</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2306</v>
      </c>
      <c r="B127" s="3032"/>
      <c r="C127" s="3032"/>
      <c r="D127" s="3077" t="e">
        <f>NUMBERSTRING(INT(D126*10000),2)&amp;"元整"</f>
        <v>#VALUE!</v>
      </c>
      <c r="E127" s="3079"/>
      <c r="F127" s="3079"/>
      <c r="G127" s="3079"/>
      <c r="H127" s="3079"/>
      <c r="I127" s="3078"/>
    </row>
    <row r="128" spans="1:11" ht="21.75" customHeight="1">
      <c r="A128" s="3080" t="s">
        <v>2307</v>
      </c>
      <c r="B128" s="3080"/>
      <c r="C128" s="3080"/>
      <c r="D128" s="3080"/>
      <c r="E128" s="3080"/>
      <c r="F128" s="3080"/>
      <c r="G128" s="3080"/>
      <c r="H128" s="3080"/>
      <c r="I128" s="3080"/>
    </row>
    <row r="129" spans="1:35" ht="21.75" customHeight="1">
      <c r="A129" s="2527" t="s">
        <v>2308</v>
      </c>
      <c r="B129" s="2528"/>
      <c r="C129" s="2529" t="s">
        <v>2309</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2310</v>
      </c>
      <c r="G135" s="2544"/>
      <c r="H135" s="2544"/>
      <c r="I135" s="2545" t="s">
        <v>2311</v>
      </c>
    </row>
    <row r="136" spans="1:35" ht="21.75" customHeight="1">
      <c r="A136" s="795"/>
      <c r="B136" s="2546" t="s">
        <v>2312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2313</v>
      </c>
    </row>
    <row r="139" spans="1:35" ht="21.75" customHeight="1">
      <c r="A139" s="795"/>
      <c r="B139" s="2546" t="s">
        <v>2314</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2313</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Normal="100" workbookViewId="0">
      <selection activeCell="F54" sqref="F5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2315</v>
      </c>
      <c r="B1" s="1939"/>
      <c r="C1" s="242"/>
      <c r="D1" s="242"/>
      <c r="E1" s="242"/>
      <c r="F1" s="242"/>
      <c r="G1" s="1382">
        <f>MATCH(B1,'数据-取费表'!A6:A16,0)+5</f>
        <v>7</v>
      </c>
    </row>
    <row r="2" spans="1:9" s="244" customFormat="1" ht="18" customHeight="1">
      <c r="A2" s="245" t="s">
        <v>2316</v>
      </c>
      <c r="B2" s="246">
        <f ca="1">IF(D2="——",C52,C52-E2)</f>
        <v>408669</v>
      </c>
      <c r="C2" s="243" t="s">
        <v>2317</v>
      </c>
      <c r="D2" s="2549" t="s">
        <v>70</v>
      </c>
      <c r="E2" s="1443" t="e">
        <f ca="1">SUMIF(INDIRECT("'"&amp;G2&amp;"'"&amp;"!A:A"),"承租人权益价值",INDIRECT("'"&amp;G2&amp;"'"&amp;"!c:c"))</f>
        <v>#REF!</v>
      </c>
      <c r="F2" s="2550" t="s">
        <v>2317</v>
      </c>
      <c r="G2" s="2551"/>
    </row>
    <row r="3" spans="1:9" s="244" customFormat="1" ht="18" customHeight="1" thickBot="1">
      <c r="A3" s="247" t="s">
        <v>2318</v>
      </c>
      <c r="B3" s="248">
        <f ca="1">ROUND(B2*10000/(IF(B1="",'数据-汇总表'!E3,INDIRECT("'数据-取费表'!k"&amp;$G$1))),0)</f>
        <v>19372</v>
      </c>
      <c r="C3" s="243" t="s">
        <v>2319</v>
      </c>
      <c r="D3" s="243"/>
      <c r="E3" s="243"/>
      <c r="F3" s="243"/>
      <c r="G3" s="243"/>
    </row>
    <row r="4" spans="1:9" s="252" customFormat="1" ht="15.75">
      <c r="A4" s="249" t="s">
        <v>2320</v>
      </c>
      <c r="B4" s="250"/>
      <c r="C4" s="250"/>
      <c r="D4" s="250"/>
      <c r="E4" s="250"/>
      <c r="F4" s="250"/>
      <c r="G4" s="251"/>
    </row>
    <row r="5" spans="1:9" s="258" customFormat="1" ht="13.5" customHeight="1">
      <c r="A5" s="299" t="s">
        <v>2321</v>
      </c>
      <c r="B5" s="254" t="s">
        <v>2322</v>
      </c>
      <c r="C5" s="255">
        <f ca="1">C6+C7+C8</f>
        <v>219960</v>
      </c>
      <c r="D5" s="255" t="s">
        <v>2323</v>
      </c>
      <c r="E5" s="256" t="s">
        <v>2324</v>
      </c>
      <c r="F5" s="256" t="s">
        <v>2325</v>
      </c>
      <c r="G5" s="257"/>
    </row>
    <row r="6" spans="1:9" s="258" customFormat="1" ht="13.5" customHeight="1">
      <c r="A6" s="952" t="s">
        <v>2326</v>
      </c>
      <c r="B6" s="259" t="s">
        <v>2327</v>
      </c>
      <c r="C6" s="260">
        <f>'土地比较法-住宅、综合'!F66</f>
        <v>209560</v>
      </c>
      <c r="D6" s="261"/>
      <c r="E6" s="262"/>
      <c r="F6" s="262"/>
      <c r="G6" s="263"/>
    </row>
    <row r="7" spans="1:9" s="258" customFormat="1" ht="13.5" customHeight="1">
      <c r="A7" s="952" t="s">
        <v>2328</v>
      </c>
      <c r="B7" s="259" t="s">
        <v>2329</v>
      </c>
      <c r="C7" s="264">
        <f>ROUND(C6*F7,0)</f>
        <v>6392</v>
      </c>
      <c r="D7" s="264"/>
      <c r="E7" s="262"/>
      <c r="F7" s="265">
        <f>'数据-取费表'!B48+'数据-取费表'!B49</f>
        <v>3.0499999999999999E-2</v>
      </c>
      <c r="G7" s="263"/>
    </row>
    <row r="8" spans="1:9" s="267" customFormat="1">
      <c r="A8" s="952" t="s">
        <v>2330</v>
      </c>
      <c r="B8" s="259" t="s">
        <v>2331</v>
      </c>
      <c r="C8" s="264">
        <f ca="1">IF(G8="已包含在土地购买价格中","0",IF(B1="",'数据-取费表'!B29,IF(G9="全部缴纳",C9+C10,H9)))</f>
        <v>4008</v>
      </c>
      <c r="D8" s="266"/>
      <c r="E8" s="264"/>
      <c r="F8" s="265"/>
      <c r="G8" s="2964" t="s">
        <v>3176</v>
      </c>
    </row>
    <row r="9" spans="1:9" s="258" customFormat="1" ht="13.5" customHeight="1">
      <c r="A9" s="953" t="s">
        <v>800</v>
      </c>
      <c r="B9" s="268" t="s">
        <v>2332</v>
      </c>
      <c r="C9" s="269">
        <f ca="1">ROUND(D9*E9/10000,0)</f>
        <v>0</v>
      </c>
      <c r="D9" s="1035">
        <f ca="1">IF(B1="",'数据-汇总表'!E5,IF(INDIRECT("'数据-取费表'!c"&amp;$G$1)="住宅",INDIRECT("'数据-取费表'!k"&amp;$G$1),0))</f>
        <v>0</v>
      </c>
      <c r="E9" s="269">
        <f>'数据-取费表'!B27</f>
        <v>150</v>
      </c>
      <c r="F9" s="265"/>
      <c r="G9" s="2553" t="s">
        <v>3079</v>
      </c>
      <c r="H9" s="1393"/>
      <c r="I9" s="2554" t="s">
        <v>2333</v>
      </c>
    </row>
    <row r="10" spans="1:9" s="258" customFormat="1" ht="13.5" customHeight="1">
      <c r="A10" s="953" t="s">
        <v>801</v>
      </c>
      <c r="B10" s="268" t="s">
        <v>2334</v>
      </c>
      <c r="C10" s="269">
        <f ca="1">ROUND(D10*E10/10000,0)</f>
        <v>4008</v>
      </c>
      <c r="D10" s="1035">
        <f ca="1">IF(B1="",'数据-汇总表'!E6,IF(INDIRECT("'数据-取费表'!c"&amp;$G$1)="住宅",INDIRECT("'数据-取费表'!s"&amp;$G$1),INDIRECT("'数据-取费表'!k"&amp;$G$1)+INDIRECT("'数据-取费表'!s"&amp;$G$1)))</f>
        <v>210956.06</v>
      </c>
      <c r="E10" s="269">
        <f>'数据-取费表'!B28</f>
        <v>190</v>
      </c>
      <c r="F10" s="265"/>
      <c r="G10" s="270"/>
    </row>
    <row r="11" spans="1:9" s="258" customFormat="1" ht="13.5" hidden="1" customHeight="1">
      <c r="A11" s="271" t="s">
        <v>7</v>
      </c>
      <c r="B11" s="259" t="s">
        <v>2335</v>
      </c>
      <c r="C11" s="255"/>
      <c r="D11" s="1037"/>
      <c r="E11" s="262"/>
      <c r="F11" s="262"/>
      <c r="G11" s="263"/>
    </row>
    <row r="12" spans="1:9" s="258" customFormat="1" ht="13.5" hidden="1" customHeight="1">
      <c r="A12" s="271" t="s">
        <v>8</v>
      </c>
      <c r="B12" s="259" t="s">
        <v>2336</v>
      </c>
      <c r="C12" s="255">
        <v>0</v>
      </c>
      <c r="D12" s="1037"/>
      <c r="E12" s="272"/>
      <c r="F12" s="265">
        <v>3.0499999999999999E-2</v>
      </c>
      <c r="G12" s="263"/>
    </row>
    <row r="13" spans="1:9" s="258" customFormat="1" ht="13.5" hidden="1" customHeight="1">
      <c r="A13" s="271" t="s">
        <v>9</v>
      </c>
      <c r="B13" s="259" t="s">
        <v>2337</v>
      </c>
      <c r="C13" s="255"/>
      <c r="D13" s="1037"/>
      <c r="E13" s="262"/>
      <c r="F13" s="262"/>
      <c r="G13" s="263"/>
    </row>
    <row r="14" spans="1:9" s="258" customFormat="1" ht="13.5" hidden="1" customHeight="1">
      <c r="A14" s="271" t="s">
        <v>10</v>
      </c>
      <c r="B14" s="259" t="s">
        <v>2338</v>
      </c>
      <c r="C14" s="255"/>
      <c r="D14" s="1037"/>
      <c r="E14" s="262"/>
      <c r="F14" s="262"/>
      <c r="G14" s="263" t="s">
        <v>2339</v>
      </c>
    </row>
    <row r="15" spans="1:9" s="258" customFormat="1" ht="13.5" hidden="1" customHeight="1">
      <c r="A15" s="271" t="s">
        <v>11</v>
      </c>
      <c r="B15" s="259" t="s">
        <v>2340</v>
      </c>
      <c r="C15" s="264"/>
      <c r="D15" s="1037"/>
      <c r="E15" s="262"/>
      <c r="F15" s="262"/>
      <c r="G15" s="263" t="s">
        <v>2341</v>
      </c>
    </row>
    <row r="16" spans="1:9" s="258" customFormat="1" ht="13.5" hidden="1" customHeight="1">
      <c r="A16" s="271" t="s">
        <v>12</v>
      </c>
      <c r="B16" s="259" t="s">
        <v>2338</v>
      </c>
      <c r="C16" s="264"/>
      <c r="D16" s="1037"/>
      <c r="E16" s="262"/>
      <c r="F16" s="262"/>
      <c r="G16" s="263"/>
    </row>
    <row r="17" spans="1:7" s="258" customFormat="1" ht="13.5" hidden="1" customHeight="1">
      <c r="A17" s="271" t="s">
        <v>13</v>
      </c>
      <c r="B17" s="259" t="s">
        <v>2342</v>
      </c>
      <c r="C17" s="273"/>
      <c r="D17" s="1038"/>
      <c r="E17" s="273"/>
      <c r="F17" s="273"/>
      <c r="G17" s="263" t="s">
        <v>2341</v>
      </c>
    </row>
    <row r="18" spans="1:7" s="258" customFormat="1" ht="13.5" hidden="1" customHeight="1">
      <c r="A18" s="271" t="s">
        <v>14</v>
      </c>
      <c r="B18" s="259" t="s">
        <v>2343</v>
      </c>
      <c r="C18" s="264">
        <v>0</v>
      </c>
      <c r="D18" s="1037"/>
      <c r="E18" s="262"/>
      <c r="F18" s="265">
        <v>3.0499999999999999E-2</v>
      </c>
      <c r="G18" s="263" t="s">
        <v>2344</v>
      </c>
    </row>
    <row r="19" spans="1:7" s="267" customFormat="1" ht="13.5" customHeight="1">
      <c r="A19" s="299" t="s">
        <v>2345</v>
      </c>
      <c r="B19" s="254" t="s">
        <v>2346</v>
      </c>
      <c r="C19" s="255" t="str">
        <f>IF(G19="已包含在土地取得成本中","0",ROUND(D19*E19/10000,0))</f>
        <v>0</v>
      </c>
      <c r="D19" s="1039">
        <f ca="1">D9+D10</f>
        <v>210956.06</v>
      </c>
      <c r="E19" s="255">
        <f>'数据-取费表'!B31</f>
        <v>200</v>
      </c>
      <c r="F19" s="275"/>
      <c r="G19" s="2552" t="s">
        <v>3080</v>
      </c>
    </row>
    <row r="20" spans="1:7" s="258" customFormat="1" ht="13.5" customHeight="1">
      <c r="A20" s="299" t="s">
        <v>2347</v>
      </c>
      <c r="B20" s="254" t="s">
        <v>2348</v>
      </c>
      <c r="C20" s="276">
        <f ca="1">ROUND((C5+C19)*F20,0)</f>
        <v>4399</v>
      </c>
      <c r="D20" s="276"/>
      <c r="E20" s="276"/>
      <c r="F20" s="277">
        <f>'数据-取费表'!B37</f>
        <v>0.02</v>
      </c>
      <c r="G20" s="278" t="s">
        <v>2349</v>
      </c>
    </row>
    <row r="21" spans="1:7" s="258" customFormat="1" ht="13.5" customHeight="1">
      <c r="A21" s="299" t="s">
        <v>2350</v>
      </c>
      <c r="B21" s="254" t="s">
        <v>2351</v>
      </c>
      <c r="C21" s="279">
        <f>F21</f>
        <v>0.02</v>
      </c>
      <c r="D21" s="280" t="s">
        <v>2352</v>
      </c>
      <c r="E21" s="276"/>
      <c r="F21" s="277">
        <f>'数据-取费表'!B38</f>
        <v>0.02</v>
      </c>
      <c r="G21" s="278" t="s">
        <v>2353</v>
      </c>
    </row>
    <row r="22" spans="1:7" s="258" customFormat="1" ht="13.5" customHeight="1">
      <c r="A22" s="299" t="s">
        <v>2354</v>
      </c>
      <c r="B22" s="254" t="s">
        <v>2355</v>
      </c>
      <c r="C22" s="1357">
        <f ca="1">ROUND(SUM(C23:C25),0)</f>
        <v>21601</v>
      </c>
      <c r="D22" s="279">
        <f ca="1">C26</f>
        <v>1E-3</v>
      </c>
      <c r="E22" s="280" t="s">
        <v>2352</v>
      </c>
      <c r="F22" s="281">
        <f ca="1">'数据-取费表'!B40</f>
        <v>4.7500000000000001E-2</v>
      </c>
      <c r="G22" s="278" t="str">
        <f>IF('数据-取费表'!B22&lt;=1,"单利计息","复利计息")</f>
        <v>复利计息</v>
      </c>
    </row>
    <row r="23" spans="1:7" s="258" customFormat="1" ht="13.5" customHeight="1">
      <c r="A23" s="954" t="s">
        <v>2356</v>
      </c>
      <c r="B23" s="259" t="s">
        <v>2357</v>
      </c>
      <c r="C23" s="1358">
        <f ca="1">ROUND(IF('数据-取费表'!B22&lt;=1,C5*F22*'数据-取费表'!B23,C5*(POWER((1+F22),'数据-取费表'!B23)-1)),0)</f>
        <v>21392</v>
      </c>
      <c r="D23" s="282"/>
      <c r="E23" s="282"/>
      <c r="F23" s="283"/>
      <c r="G23" s="284" t="s">
        <v>2358</v>
      </c>
    </row>
    <row r="24" spans="1:7" s="258" customFormat="1" ht="13.5" customHeight="1">
      <c r="A24" s="954" t="s">
        <v>2359</v>
      </c>
      <c r="B24" s="259" t="s">
        <v>2360</v>
      </c>
      <c r="C24" s="1358">
        <f ca="1">ROUND(IF('数据-取费表'!B22&lt;=1,C19*F22*('数据-取费表'!B19/2+'数据-取费表'!B21),C19*(POWER((1+F22),('数据-取费表'!B19/2+'数据-取费表'!B21))-1)),0)</f>
        <v>0</v>
      </c>
      <c r="D24" s="282"/>
      <c r="E24" s="282"/>
      <c r="F24" s="283"/>
      <c r="G24" s="284" t="s">
        <v>2361</v>
      </c>
    </row>
    <row r="25" spans="1:7" s="258" customFormat="1" ht="24">
      <c r="A25" s="954" t="s">
        <v>2362</v>
      </c>
      <c r="B25" s="259" t="s">
        <v>2363</v>
      </c>
      <c r="C25" s="1358">
        <f ca="1">ROUND(IF('数据-取费表'!B22&lt;=1,C20*F22*'数据-取费表'!B23/2,C20*(POWER((1+F22),'数据-取费表'!B23/2)-1)),0)</f>
        <v>209</v>
      </c>
      <c r="D25" s="282"/>
      <c r="E25" s="285"/>
      <c r="F25" s="283"/>
      <c r="G25" s="286" t="s">
        <v>2364</v>
      </c>
    </row>
    <row r="26" spans="1:7" s="258" customFormat="1">
      <c r="A26" s="954" t="s">
        <v>795</v>
      </c>
      <c r="B26" s="259" t="s">
        <v>2365</v>
      </c>
      <c r="C26" s="282">
        <f ca="1">ROUND(IF('数据-取费表'!B22&lt;=1,F21*F22*'数据-取费表'!B23/2,F21*(POWER((1+F22),'数据-取费表'!B23/2)-1)),4)</f>
        <v>1E-3</v>
      </c>
      <c r="D26" s="282"/>
      <c r="E26" s="285"/>
      <c r="F26" s="283"/>
      <c r="G26" s="287"/>
    </row>
    <row r="27" spans="1:7" s="258" customFormat="1" ht="24.75">
      <c r="A27" s="299" t="s">
        <v>2366</v>
      </c>
      <c r="B27" s="288" t="s">
        <v>2367</v>
      </c>
      <c r="C27" s="289">
        <f ca="1">C28</f>
        <v>38141</v>
      </c>
      <c r="D27" s="279">
        <f ca="1">C29</f>
        <v>3.3999999999999998E-3</v>
      </c>
      <c r="E27" s="280" t="s">
        <v>2368</v>
      </c>
      <c r="F27" s="290">
        <f ca="1">IF(B1="",'数据-取费表'!Q16,INDIRECT("'数据-取费表'!q"&amp;$G$1))</f>
        <v>0.17</v>
      </c>
      <c r="G27" s="291" t="s">
        <v>2369</v>
      </c>
    </row>
    <row r="28" spans="1:7" s="258" customFormat="1" ht="13.5" customHeight="1">
      <c r="A28" s="954" t="s">
        <v>791</v>
      </c>
      <c r="B28" s="292" t="s">
        <v>2370</v>
      </c>
      <c r="C28" s="293">
        <f ca="1">ROUND((C5+C19+C20)*F27*'数据-取费表'!B21/'数据-取费表'!B20,0)</f>
        <v>38141</v>
      </c>
      <c r="D28" s="279"/>
      <c r="E28" s="280"/>
      <c r="F28" s="290"/>
      <c r="G28" s="291"/>
    </row>
    <row r="29" spans="1:7" s="258" customFormat="1" ht="13.5" customHeight="1">
      <c r="A29" s="954" t="s">
        <v>792</v>
      </c>
      <c r="B29" s="292" t="s">
        <v>2371</v>
      </c>
      <c r="C29" s="282">
        <f ca="1">ROUND(C21*F27*'数据-取费表'!B21/'数据-取费表'!B20,4)</f>
        <v>3.3999999999999998E-3</v>
      </c>
      <c r="D29" s="279"/>
      <c r="E29" s="280"/>
      <c r="F29" s="290"/>
      <c r="G29" s="291"/>
    </row>
    <row r="30" spans="1:7" s="258" customFormat="1" ht="13.5" customHeight="1">
      <c r="A30" s="299" t="s">
        <v>2372</v>
      </c>
      <c r="B30" s="254" t="s">
        <v>2373</v>
      </c>
      <c r="C30" s="279">
        <f>ROUND(F30/(1+'数据-取费表'!C42),4)</f>
        <v>5.2400000000000002E-2</v>
      </c>
      <c r="D30" s="280" t="s">
        <v>2368</v>
      </c>
      <c r="E30" s="285"/>
      <c r="F30" s="281">
        <f>'数据-取费表'!B41</f>
        <v>5.5000000000000007E-2</v>
      </c>
      <c r="G30" s="278" t="s">
        <v>2374</v>
      </c>
    </row>
    <row r="31" spans="1:7" ht="16.5" customHeight="1">
      <c r="A31" s="253">
        <v>1</v>
      </c>
      <c r="B31" s="254" t="s">
        <v>2375</v>
      </c>
      <c r="C31" s="255">
        <f ca="1">ROUND((C5+C19+C20+C22+C27)/(1-C21-D22-D27-C30),0)</f>
        <v>307735</v>
      </c>
      <c r="D31" s="274"/>
      <c r="E31" s="255"/>
      <c r="F31" s="294"/>
      <c r="G31" s="278" t="s">
        <v>2376</v>
      </c>
    </row>
    <row r="32" spans="1:7" s="252" customFormat="1" ht="15.75">
      <c r="A32" s="296" t="s">
        <v>2377</v>
      </c>
      <c r="B32" s="297"/>
      <c r="C32" s="297"/>
      <c r="D32" s="297"/>
      <c r="E32" s="297"/>
      <c r="F32" s="297"/>
      <c r="G32" s="298"/>
    </row>
    <row r="33" spans="1:7" s="258" customFormat="1" ht="13.5" customHeight="1">
      <c r="A33" s="299" t="s">
        <v>782</v>
      </c>
      <c r="B33" s="254" t="s">
        <v>2378</v>
      </c>
      <c r="C33" s="300">
        <f ca="1">SUM(C34:C38)</f>
        <v>78983</v>
      </c>
      <c r="D33" s="276"/>
      <c r="E33" s="256"/>
      <c r="F33" s="285"/>
      <c r="G33" s="278"/>
    </row>
    <row r="34" spans="1:7" s="302" customFormat="1" ht="13.5" customHeight="1">
      <c r="A34" s="954" t="s">
        <v>791</v>
      </c>
      <c r="B34" s="259" t="s">
        <v>2379</v>
      </c>
      <c r="C34" s="264">
        <f ca="1">IF(B1="",IF(F34=100%,'数据-取费表'!M16,'数据-取费表'!O16),IF(F34=100%,INDIRECT("'数据-取费表'!m"&amp;$G$1)+INDIRECT("'数据-取费表'!t"&amp;$G$1),INDIRECT("'数据-取费表'!o"&amp;$G$1)+INDIRECT("'数据-取费表'!aq"&amp;$G$1)))</f>
        <v>71545</v>
      </c>
      <c r="D34" s="261"/>
      <c r="E34" s="264"/>
      <c r="F34" s="301">
        <f ca="1">IF('数据-取费表'!B24=0,1,IF(B1="",'数据-取费表'!N16,INDIRECT("'数据-取费表'!n"&amp;$G$1)))</f>
        <v>1</v>
      </c>
      <c r="G34" s="263" t="s">
        <v>2380</v>
      </c>
    </row>
    <row r="35" spans="1:7" ht="13.5" customHeight="1">
      <c r="A35" s="954" t="s">
        <v>796</v>
      </c>
      <c r="B35" s="259" t="s">
        <v>2381</v>
      </c>
      <c r="C35" s="264">
        <f ca="1">ROUND(C34*F35,0)</f>
        <v>2146</v>
      </c>
      <c r="D35" s="264"/>
      <c r="E35" s="264"/>
      <c r="F35" s="303">
        <f>'数据-取费表'!B33</f>
        <v>0.03</v>
      </c>
      <c r="G35" s="263" t="s">
        <v>2382</v>
      </c>
    </row>
    <row r="36" spans="1:7" ht="24">
      <c r="A36" s="954" t="s">
        <v>797</v>
      </c>
      <c r="B36" s="259" t="s">
        <v>2383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2384</v>
      </c>
    </row>
    <row r="37" spans="1:7" s="302" customFormat="1" ht="13.5" customHeight="1">
      <c r="A37" s="954" t="s">
        <v>798</v>
      </c>
      <c r="B37" s="259" t="s">
        <v>2385</v>
      </c>
      <c r="C37" s="293">
        <f ca="1">ROUND(E37*D37*F34/10000,0)</f>
        <v>4219</v>
      </c>
      <c r="D37" s="261">
        <f ca="1">D19</f>
        <v>210956.06</v>
      </c>
      <c r="E37" s="293">
        <f>'数据-取费表'!B35</f>
        <v>200</v>
      </c>
      <c r="F37" s="303"/>
      <c r="G37" s="305" t="s">
        <v>2386</v>
      </c>
    </row>
    <row r="38" spans="1:7" ht="13.5" customHeight="1">
      <c r="A38" s="954" t="s">
        <v>799</v>
      </c>
      <c r="B38" s="259" t="s">
        <v>2387</v>
      </c>
      <c r="C38" s="264">
        <f ca="1">ROUND(C34*F38,0)</f>
        <v>1073</v>
      </c>
      <c r="D38" s="264"/>
      <c r="E38" s="264"/>
      <c r="F38" s="303">
        <f>'数据-取费表'!B36</f>
        <v>1.4999999999999999E-2</v>
      </c>
      <c r="G38" s="263" t="s">
        <v>2382</v>
      </c>
    </row>
    <row r="39" spans="1:7" s="258" customFormat="1" ht="13.5" customHeight="1">
      <c r="A39" s="299" t="s">
        <v>2388</v>
      </c>
      <c r="B39" s="254" t="s">
        <v>2389</v>
      </c>
      <c r="C39" s="276">
        <f ca="1">ROUND(C33*F20,0)</f>
        <v>1580</v>
      </c>
      <c r="D39" s="276"/>
      <c r="E39" s="276"/>
      <c r="F39" s="277"/>
      <c r="G39" s="278" t="s">
        <v>2390</v>
      </c>
    </row>
    <row r="40" spans="1:7" s="258" customFormat="1" ht="13.5" customHeight="1">
      <c r="A40" s="299" t="s">
        <v>2391</v>
      </c>
      <c r="B40" s="254" t="s">
        <v>2392</v>
      </c>
      <c r="C40" s="1730">
        <f>F21</f>
        <v>0.02</v>
      </c>
      <c r="D40" s="280" t="s">
        <v>2393</v>
      </c>
      <c r="E40" s="276"/>
      <c r="F40" s="277"/>
      <c r="G40" s="278" t="s">
        <v>2394</v>
      </c>
    </row>
    <row r="41" spans="1:7" s="258" customFormat="1" ht="13.5" customHeight="1">
      <c r="A41" s="299" t="s">
        <v>2395</v>
      </c>
      <c r="B41" s="254" t="s">
        <v>2396</v>
      </c>
      <c r="C41" s="276">
        <f ca="1">ROUND(SUM(C42:C43),0)</f>
        <v>3827</v>
      </c>
      <c r="D41" s="279">
        <f ca="1">C44</f>
        <v>1E-3</v>
      </c>
      <c r="E41" s="280" t="s">
        <v>2393</v>
      </c>
      <c r="F41" s="281"/>
      <c r="G41" s="278" t="str">
        <f>IF('数据-取费表'!B22&lt;=1,"单利计息","复利计息")</f>
        <v>复利计息</v>
      </c>
    </row>
    <row r="42" spans="1:7" ht="13.5" customHeight="1">
      <c r="A42" s="954" t="s">
        <v>791</v>
      </c>
      <c r="B42" s="259" t="s">
        <v>2397</v>
      </c>
      <c r="C42" s="282">
        <f ca="1">ROUND(IF('数据-取费表'!B22&lt;=1,C33*F22*'数据-取费表'!B21/2,C33*(POWER((1+F22),'数据-取费表'!B21/2)-1)),0)</f>
        <v>3752</v>
      </c>
      <c r="D42" s="282"/>
      <c r="E42" s="282"/>
      <c r="F42" s="283"/>
      <c r="G42" s="3152" t="s">
        <v>2398</v>
      </c>
    </row>
    <row r="43" spans="1:7" ht="13.5" customHeight="1">
      <c r="A43" s="954" t="s">
        <v>792</v>
      </c>
      <c r="B43" s="259" t="s">
        <v>2399</v>
      </c>
      <c r="C43" s="282">
        <f ca="1">ROUND(IF('数据-取费表'!B22&lt;=1,C39*F22*'数据-取费表'!B21/2,C39*(POWER((1+F22),'数据-取费表'!B21/2)-1)),0)</f>
        <v>75</v>
      </c>
      <c r="D43" s="282"/>
      <c r="E43" s="282"/>
      <c r="F43" s="283"/>
      <c r="G43" s="3153"/>
    </row>
    <row r="44" spans="1:7" ht="13.5" customHeight="1">
      <c r="A44" s="954" t="s">
        <v>793</v>
      </c>
      <c r="B44" s="259" t="s">
        <v>2400</v>
      </c>
      <c r="C44" s="282">
        <f ca="1">ROUND(IF('数据-取费表'!B22&lt;=1,C40*F22*'数据-取费表'!B21/2,C40*(POWER((1+F22),'数据-取费表'!B21/2)-1)),4)</f>
        <v>1E-3</v>
      </c>
      <c r="D44" s="282"/>
      <c r="E44" s="282"/>
      <c r="F44" s="283"/>
      <c r="G44" s="3154"/>
    </row>
    <row r="45" spans="1:7" s="258" customFormat="1" ht="13.5" customHeight="1">
      <c r="A45" s="299" t="s">
        <v>2401</v>
      </c>
      <c r="B45" s="288" t="s">
        <v>2367</v>
      </c>
      <c r="C45" s="289">
        <f ca="1">C46</f>
        <v>13696</v>
      </c>
      <c r="D45" s="279">
        <f ca="1">C47</f>
        <v>3.3999999999999998E-3</v>
      </c>
      <c r="E45" s="280" t="s">
        <v>2393</v>
      </c>
      <c r="F45" s="290"/>
      <c r="G45" s="291" t="s">
        <v>2402</v>
      </c>
    </row>
    <row r="46" spans="1:7" s="258" customFormat="1" ht="13.5" customHeight="1">
      <c r="A46" s="954" t="s">
        <v>791</v>
      </c>
      <c r="B46" s="292" t="s">
        <v>2403</v>
      </c>
      <c r="C46" s="293">
        <f ca="1">ROUND((C33+C39)*F27,0)</f>
        <v>13696</v>
      </c>
      <c r="D46" s="307"/>
      <c r="E46" s="280"/>
      <c r="F46" s="290"/>
      <c r="G46" s="291"/>
    </row>
    <row r="47" spans="1:7" s="258" customFormat="1" ht="13.5" customHeight="1">
      <c r="A47" s="954" t="s">
        <v>792</v>
      </c>
      <c r="B47" s="292" t="s">
        <v>2404</v>
      </c>
      <c r="C47" s="282">
        <f ca="1">ROUND(C40*F27,4)</f>
        <v>3.3999999999999998E-3</v>
      </c>
      <c r="D47" s="307"/>
      <c r="E47" s="280"/>
      <c r="F47" s="290"/>
      <c r="G47" s="291"/>
    </row>
    <row r="48" spans="1:7" s="258" customFormat="1" ht="13.5" customHeight="1">
      <c r="A48" s="299" t="s">
        <v>2366</v>
      </c>
      <c r="B48" s="254" t="s">
        <v>2405</v>
      </c>
      <c r="C48" s="1730">
        <f>ROUND(F30/(1+'数据-取费表'!C42),4)</f>
        <v>5.2400000000000002E-2</v>
      </c>
      <c r="D48" s="280" t="s">
        <v>2393</v>
      </c>
      <c r="E48" s="276"/>
      <c r="F48" s="281"/>
      <c r="G48" s="278" t="s">
        <v>2406</v>
      </c>
    </row>
    <row r="49" spans="1:7" ht="16.5" customHeight="1">
      <c r="A49" s="299" t="s">
        <v>2372</v>
      </c>
      <c r="B49" s="254" t="s">
        <v>2407</v>
      </c>
      <c r="C49" s="276">
        <f ca="1">ROUND((C33+C39+C41+C45)/(1-C40-D41-D45-C48),0)</f>
        <v>106246</v>
      </c>
      <c r="D49" s="276"/>
      <c r="E49" s="276"/>
      <c r="F49" s="308"/>
      <c r="G49" s="278" t="s">
        <v>2408</v>
      </c>
    </row>
    <row r="50" spans="1:7" s="302" customFormat="1" ht="24">
      <c r="A50" s="299" t="s">
        <v>2409</v>
      </c>
      <c r="B50" s="254" t="s">
        <v>2410</v>
      </c>
      <c r="C50" s="276"/>
      <c r="D50" s="276"/>
      <c r="E50" s="276"/>
      <c r="F50" s="308">
        <f>IF('数据-取费表'!B24=0,'数据-取费表'!N16,1)</f>
        <v>0.95</v>
      </c>
      <c r="G50" s="291" t="s">
        <v>2411</v>
      </c>
    </row>
    <row r="51" spans="1:7" ht="16.5" customHeight="1">
      <c r="A51" s="299" t="s">
        <v>2412</v>
      </c>
      <c r="B51" s="254" t="s">
        <v>2413</v>
      </c>
      <c r="C51" s="276">
        <f ca="1">ROUND(C49*F50,0)</f>
        <v>100934</v>
      </c>
      <c r="D51" s="276"/>
      <c r="E51" s="276"/>
      <c r="F51" s="308"/>
      <c r="G51" s="278" t="s">
        <v>2414</v>
      </c>
    </row>
    <row r="52" spans="1:7" s="252" customFormat="1" ht="16.5" thickBot="1">
      <c r="A52" s="309" t="s">
        <v>2415</v>
      </c>
      <c r="B52" s="310"/>
      <c r="C52" s="311">
        <f ca="1">C31+C51</f>
        <v>408669</v>
      </c>
      <c r="D52" s="310"/>
      <c r="E52" s="310"/>
      <c r="F52" s="310"/>
      <c r="G52" s="312"/>
    </row>
    <row r="53" spans="1:7">
      <c r="F53" s="295">
        <f>100934/408669*324550</f>
        <v>80158.097873829436</v>
      </c>
    </row>
    <row r="55" spans="1:7" ht="15">
      <c r="B55" s="314" t="s">
        <v>2416</v>
      </c>
      <c r="C55" s="315"/>
    </row>
    <row r="56" spans="1:7">
      <c r="B56" s="317" t="s">
        <v>1513</v>
      </c>
      <c r="C56" s="319">
        <f ca="1">1-C57</f>
        <v>0.753</v>
      </c>
    </row>
    <row r="57" spans="1:7">
      <c r="B57" s="317" t="s">
        <v>1514</v>
      </c>
      <c r="C57" s="318">
        <f ca="1">ROUND(C51/C52,3)</f>
        <v>0.247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2315</v>
      </c>
      <c r="B1" s="1939"/>
      <c r="C1" s="2555" t="s">
        <v>2417</v>
      </c>
      <c r="D1" s="242"/>
      <c r="E1" s="242"/>
      <c r="F1" s="242"/>
      <c r="G1" s="1382">
        <f>MATCH(B1,'数据-取费表'!A6:A16,0)+5</f>
        <v>7</v>
      </c>
      <c r="H1" s="1285" t="str">
        <f>IF(ISERROR(FIND("住宅",B1)),"非住宅","住宅")</f>
        <v>非住宅</v>
      </c>
    </row>
    <row r="2" spans="1:8" s="244" customFormat="1" ht="18" customHeight="1">
      <c r="A2" s="245" t="s">
        <v>2316</v>
      </c>
      <c r="B2" s="246">
        <f ca="1">ROUND(IF(D2="——",C52/10000,C52/10000-E2),0)</f>
        <v>112444</v>
      </c>
      <c r="C2" s="243" t="s">
        <v>2317</v>
      </c>
      <c r="D2" s="2549" t="s">
        <v>70</v>
      </c>
      <c r="E2" s="1443" t="e">
        <f ca="1">SUMIF(INDIRECT("'"&amp;G2&amp;"'"&amp;"!A:A"),"承租人权益价值",INDIRECT("'"&amp;G2&amp;"'"&amp;"!c:c"))</f>
        <v>#REF!</v>
      </c>
      <c r="F2" s="2550" t="s">
        <v>2317</v>
      </c>
      <c r="G2" s="2551"/>
    </row>
    <row r="3" spans="1:8" s="244" customFormat="1" ht="18" customHeight="1" thickBot="1">
      <c r="A3" s="247" t="s">
        <v>2318</v>
      </c>
      <c r="B3" s="248">
        <f ca="1">ROUND(B2*10000/(IF(B1="",'数据-汇总表'!E3,INDIRECT("'数据-取费表'!k"&amp;$G$1))),0)</f>
        <v>5330</v>
      </c>
      <c r="C3" s="243" t="s">
        <v>2319</v>
      </c>
      <c r="D3" s="243"/>
      <c r="E3" s="243"/>
      <c r="F3" s="243"/>
      <c r="G3" s="243"/>
    </row>
    <row r="4" spans="1:8" s="252" customFormat="1" ht="15.75">
      <c r="A4" s="249" t="s">
        <v>2320</v>
      </c>
      <c r="B4" s="250"/>
      <c r="C4" s="250"/>
      <c r="D4" s="250"/>
      <c r="E4" s="250"/>
      <c r="F4" s="250"/>
      <c r="G4" s="251"/>
    </row>
    <row r="5" spans="1:8" s="258" customFormat="1" ht="13.5" customHeight="1">
      <c r="A5" s="299" t="s">
        <v>2321</v>
      </c>
      <c r="B5" s="254" t="s">
        <v>2322</v>
      </c>
      <c r="C5" s="255">
        <f ca="1">C6+C7+C8</f>
        <v>40081651</v>
      </c>
      <c r="D5" s="255" t="s">
        <v>2323</v>
      </c>
      <c r="E5" s="256" t="s">
        <v>2324</v>
      </c>
      <c r="F5" s="256" t="s">
        <v>2325</v>
      </c>
      <c r="G5" s="257"/>
    </row>
    <row r="6" spans="1:8" s="258" customFormat="1" ht="13.5" customHeight="1">
      <c r="A6" s="952" t="s">
        <v>2326</v>
      </c>
      <c r="B6" s="259" t="s">
        <v>2327</v>
      </c>
      <c r="C6" s="260"/>
      <c r="D6" s="261"/>
      <c r="E6" s="262"/>
      <c r="F6" s="262"/>
      <c r="G6" s="263"/>
    </row>
    <row r="7" spans="1:8" s="258" customFormat="1" ht="13.5" customHeight="1">
      <c r="A7" s="952" t="s">
        <v>2328</v>
      </c>
      <c r="B7" s="259" t="s">
        <v>2329</v>
      </c>
      <c r="C7" s="264">
        <f>ROUND(C6*F7,0)</f>
        <v>0</v>
      </c>
      <c r="D7" s="264"/>
      <c r="E7" s="262"/>
      <c r="F7" s="265">
        <f>'数据-取费表'!B48+'数据-取费表'!B49</f>
        <v>3.0499999999999999E-2</v>
      </c>
      <c r="G7" s="263"/>
    </row>
    <row r="8" spans="1:8" s="267" customFormat="1">
      <c r="A8" s="952" t="s">
        <v>2330</v>
      </c>
      <c r="B8" s="259" t="s">
        <v>2331</v>
      </c>
      <c r="C8" s="264">
        <f ca="1">IF(G8="已包含在土地购买价格中",0,C9+C10)</f>
        <v>40081651</v>
      </c>
      <c r="D8" s="266"/>
      <c r="E8" s="264"/>
      <c r="F8" s="265"/>
      <c r="G8" s="2552"/>
    </row>
    <row r="9" spans="1:8" s="258" customFormat="1" ht="13.5" customHeight="1">
      <c r="A9" s="953" t="s">
        <v>800</v>
      </c>
      <c r="B9" s="268" t="s">
        <v>2332</v>
      </c>
      <c r="C9" s="269">
        <f ca="1">ROUND(D9*E9,0)</f>
        <v>0</v>
      </c>
      <c r="D9" s="1035">
        <f ca="1">IF(B1="",'数据-汇总表'!E5,IF(INDIRECT("'数据-取费表'!c"&amp;$G$1)="住宅",INDIRECT("'数据-取费表'!k"&amp;$G$1),0))</f>
        <v>0</v>
      </c>
      <c r="E9" s="269">
        <f>'数据-取费表'!B27</f>
        <v>150</v>
      </c>
      <c r="F9" s="265"/>
      <c r="G9" s="270"/>
    </row>
    <row r="10" spans="1:8" s="258" customFormat="1" ht="13.5" customHeight="1">
      <c r="A10" s="953" t="s">
        <v>801</v>
      </c>
      <c r="B10" s="268" t="s">
        <v>2334</v>
      </c>
      <c r="C10" s="269">
        <f ca="1">ROUND(D10*E10,0)</f>
        <v>40081651</v>
      </c>
      <c r="D10" s="1035">
        <f ca="1">IF(B1="",'数据-汇总表'!E6,IF(INDIRECT("'数据-取费表'!c"&amp;$G$1)="住宅",INDIRECT("'数据-取费表'!s"&amp;$G$1),INDIRECT("'数据-取费表'!k"&amp;$G$1)+INDIRECT("'数据-取费表'!s"&amp;$G$1)))</f>
        <v>210956.06</v>
      </c>
      <c r="E10" s="269">
        <f>'数据-取费表'!B28</f>
        <v>190</v>
      </c>
      <c r="F10" s="265"/>
      <c r="G10" s="270"/>
    </row>
    <row r="11" spans="1:8" s="258" customFormat="1" ht="13.5" hidden="1" customHeight="1">
      <c r="A11" s="271" t="s">
        <v>7</v>
      </c>
      <c r="B11" s="259" t="s">
        <v>2335</v>
      </c>
      <c r="C11" s="255"/>
      <c r="D11" s="1037"/>
      <c r="E11" s="262"/>
      <c r="F11" s="262"/>
      <c r="G11" s="263"/>
    </row>
    <row r="12" spans="1:8" s="258" customFormat="1" ht="13.5" hidden="1" customHeight="1">
      <c r="A12" s="271" t="s">
        <v>8</v>
      </c>
      <c r="B12" s="259" t="s">
        <v>2418</v>
      </c>
      <c r="C12" s="255">
        <v>0</v>
      </c>
      <c r="D12" s="1037"/>
      <c r="E12" s="272"/>
      <c r="F12" s="265">
        <v>3.0499999999999999E-2</v>
      </c>
      <c r="G12" s="263"/>
    </row>
    <row r="13" spans="1:8" s="258" customFormat="1" ht="13.5" hidden="1" customHeight="1">
      <c r="A13" s="271" t="s">
        <v>9</v>
      </c>
      <c r="B13" s="259" t="s">
        <v>2419</v>
      </c>
      <c r="C13" s="255"/>
      <c r="D13" s="1037"/>
      <c r="E13" s="262"/>
      <c r="F13" s="262"/>
      <c r="G13" s="263"/>
    </row>
    <row r="14" spans="1:8" s="258" customFormat="1" ht="13.5" hidden="1" customHeight="1">
      <c r="A14" s="271" t="s">
        <v>10</v>
      </c>
      <c r="B14" s="259" t="s">
        <v>2331</v>
      </c>
      <c r="C14" s="255"/>
      <c r="D14" s="1037"/>
      <c r="E14" s="262"/>
      <c r="F14" s="262"/>
      <c r="G14" s="263" t="s">
        <v>2420</v>
      </c>
    </row>
    <row r="15" spans="1:8" s="258" customFormat="1" ht="13.5" hidden="1" customHeight="1">
      <c r="A15" s="271" t="s">
        <v>11</v>
      </c>
      <c r="B15" s="259" t="s">
        <v>2421</v>
      </c>
      <c r="C15" s="264"/>
      <c r="D15" s="1037"/>
      <c r="E15" s="262"/>
      <c r="F15" s="262"/>
      <c r="G15" s="263" t="s">
        <v>2422</v>
      </c>
    </row>
    <row r="16" spans="1:8" s="258" customFormat="1" ht="13.5" hidden="1" customHeight="1">
      <c r="A16" s="271" t="s">
        <v>12</v>
      </c>
      <c r="B16" s="259" t="s">
        <v>2331</v>
      </c>
      <c r="C16" s="264"/>
      <c r="D16" s="1037"/>
      <c r="E16" s="262"/>
      <c r="F16" s="262"/>
      <c r="G16" s="263"/>
    </row>
    <row r="17" spans="1:7" s="258" customFormat="1" ht="13.5" hidden="1" customHeight="1">
      <c r="A17" s="271" t="s">
        <v>13</v>
      </c>
      <c r="B17" s="259" t="s">
        <v>2423</v>
      </c>
      <c r="C17" s="273"/>
      <c r="D17" s="1038"/>
      <c r="E17" s="273"/>
      <c r="F17" s="273"/>
      <c r="G17" s="263" t="s">
        <v>2422</v>
      </c>
    </row>
    <row r="18" spans="1:7" s="258" customFormat="1" ht="13.5" hidden="1" customHeight="1">
      <c r="A18" s="271" t="s">
        <v>14</v>
      </c>
      <c r="B18" s="259" t="s">
        <v>2424</v>
      </c>
      <c r="C18" s="264">
        <v>0</v>
      </c>
      <c r="D18" s="1037"/>
      <c r="E18" s="262"/>
      <c r="F18" s="265">
        <v>3.0499999999999999E-2</v>
      </c>
      <c r="G18" s="263" t="s">
        <v>2425</v>
      </c>
    </row>
    <row r="19" spans="1:7" s="267" customFormat="1" ht="13.5" customHeight="1">
      <c r="A19" s="299" t="s">
        <v>2426</v>
      </c>
      <c r="B19" s="254" t="s">
        <v>2427</v>
      </c>
      <c r="C19" s="255">
        <f ca="1">IF(G19="已包含在土地取得成本中","0",ROUND(D19*E19,0))</f>
        <v>42191212</v>
      </c>
      <c r="D19" s="1039">
        <f ca="1">D9+D10</f>
        <v>210956.06</v>
      </c>
      <c r="E19" s="255">
        <f>'数据-取费表'!B31</f>
        <v>200</v>
      </c>
      <c r="F19" s="275"/>
      <c r="G19" s="2552"/>
    </row>
    <row r="20" spans="1:7" s="258" customFormat="1" ht="13.5" customHeight="1">
      <c r="A20" s="299" t="s">
        <v>2428</v>
      </c>
      <c r="B20" s="254" t="s">
        <v>2429</v>
      </c>
      <c r="C20" s="276">
        <f ca="1">ROUND((C5+C19)*F20,0)</f>
        <v>1645457</v>
      </c>
      <c r="D20" s="276"/>
      <c r="E20" s="276"/>
      <c r="F20" s="277">
        <f>'数据-取费表'!B37</f>
        <v>0.02</v>
      </c>
      <c r="G20" s="278" t="s">
        <v>2430</v>
      </c>
    </row>
    <row r="21" spans="1:7" s="258" customFormat="1" ht="13.5" customHeight="1">
      <c r="A21" s="299" t="s">
        <v>2431</v>
      </c>
      <c r="B21" s="254" t="s">
        <v>2432</v>
      </c>
      <c r="C21" s="279">
        <f>F21</f>
        <v>0.02</v>
      </c>
      <c r="D21" s="280" t="s">
        <v>2433</v>
      </c>
      <c r="E21" s="276"/>
      <c r="F21" s="277">
        <f>'数据-取费表'!B38</f>
        <v>0.02</v>
      </c>
      <c r="G21" s="278" t="s">
        <v>2434</v>
      </c>
    </row>
    <row r="22" spans="1:7" s="258" customFormat="1" ht="13.5" customHeight="1">
      <c r="A22" s="299" t="s">
        <v>2435</v>
      </c>
      <c r="B22" s="254" t="s">
        <v>2436</v>
      </c>
      <c r="C22" s="1383">
        <f ca="1">ROUND(SUM(C23:C25),0)</f>
        <v>8079709</v>
      </c>
      <c r="D22" s="279">
        <f ca="1">C26</f>
        <v>1E-3</v>
      </c>
      <c r="E22" s="280" t="s">
        <v>2433</v>
      </c>
      <c r="F22" s="281">
        <f ca="1">'数据-取费表'!B40</f>
        <v>4.7500000000000001E-2</v>
      </c>
      <c r="G22" s="278" t="str">
        <f>IF('数据-取费表'!B22&lt;=1,"单利计息","复利计息")</f>
        <v>复利计息</v>
      </c>
    </row>
    <row r="23" spans="1:7" s="258" customFormat="1" ht="13.5" customHeight="1">
      <c r="A23" s="954" t="s">
        <v>2326</v>
      </c>
      <c r="B23" s="259" t="s">
        <v>2437</v>
      </c>
      <c r="C23" s="1384">
        <f ca="1">ROUND(IF('数据-取费表'!B22&lt;=1,C5*F22*'数据-取费表'!B22,C5*(POWER((1+F22),'数据-取费表'!B22)-1)),0)</f>
        <v>3898191</v>
      </c>
      <c r="D23" s="282"/>
      <c r="E23" s="282"/>
      <c r="F23" s="283"/>
      <c r="G23" s="284" t="s">
        <v>2438</v>
      </c>
    </row>
    <row r="24" spans="1:7" s="258" customFormat="1" ht="13.5" customHeight="1">
      <c r="A24" s="954" t="s">
        <v>2328</v>
      </c>
      <c r="B24" s="259" t="s">
        <v>2439</v>
      </c>
      <c r="C24" s="1384">
        <f ca="1">ROUND(IF('数据-取费表'!B22&lt;=1,C19*F22*('数据-取费表'!B19/2+'数据-取费表'!B20),C19*(POWER((1+F22),('数据-取费表'!B19/2+'数据-取费表'!B20))-1)),0)</f>
        <v>4103359</v>
      </c>
      <c r="D24" s="282"/>
      <c r="E24" s="282"/>
      <c r="F24" s="283"/>
      <c r="G24" s="284" t="s">
        <v>2440</v>
      </c>
    </row>
    <row r="25" spans="1:7" s="258" customFormat="1" ht="24">
      <c r="A25" s="954" t="s">
        <v>2330</v>
      </c>
      <c r="B25" s="259" t="s">
        <v>2441</v>
      </c>
      <c r="C25" s="1384">
        <f ca="1">ROUND(IF('数据-取费表'!B22&lt;=1,C20*F22*'数据-取费表'!B22/2,C20*(POWER((1+F22),'数据-取费表'!B22/2)-1)),0)</f>
        <v>78159</v>
      </c>
      <c r="D25" s="282"/>
      <c r="E25" s="285"/>
      <c r="F25" s="283"/>
      <c r="G25" s="286" t="s">
        <v>2442</v>
      </c>
    </row>
    <row r="26" spans="1:7" s="258" customFormat="1">
      <c r="A26" s="954" t="s">
        <v>795</v>
      </c>
      <c r="B26" s="259" t="s">
        <v>2365</v>
      </c>
      <c r="C26" s="282">
        <f ca="1">ROUND(IF('数据-取费表'!B22&lt;=1,F21*F22*'数据-取费表'!B22/2,F21*(POWER((1+F22),'数据-取费表'!B22/2)-1)),4)</f>
        <v>1E-3</v>
      </c>
      <c r="D26" s="282"/>
      <c r="E26" s="285"/>
      <c r="F26" s="283"/>
      <c r="G26" s="287"/>
    </row>
    <row r="27" spans="1:7" s="258" customFormat="1" ht="24.75">
      <c r="A27" s="299" t="s">
        <v>2366</v>
      </c>
      <c r="B27" s="288" t="s">
        <v>2367</v>
      </c>
      <c r="C27" s="289">
        <f ca="1">C28</f>
        <v>14266114</v>
      </c>
      <c r="D27" s="279">
        <f ca="1">C29</f>
        <v>3.3999999999999998E-3</v>
      </c>
      <c r="E27" s="280" t="s">
        <v>2368</v>
      </c>
      <c r="F27" s="290">
        <f ca="1">IF(B1="",'数据-取费表'!Q16,INDIRECT("'数据-取费表'!q"&amp;$G$1))</f>
        <v>0.17</v>
      </c>
      <c r="G27" s="291" t="s">
        <v>2369</v>
      </c>
    </row>
    <row r="28" spans="1:7" s="258" customFormat="1" ht="13.5" customHeight="1">
      <c r="A28" s="954" t="s">
        <v>791</v>
      </c>
      <c r="B28" s="292" t="s">
        <v>2370</v>
      </c>
      <c r="C28" s="293">
        <f ca="1">ROUND((C5+C19+C20)*F27,0)</f>
        <v>14266114</v>
      </c>
      <c r="D28" s="279"/>
      <c r="E28" s="280"/>
      <c r="F28" s="290"/>
      <c r="G28" s="291"/>
    </row>
    <row r="29" spans="1:7" s="258" customFormat="1" ht="13.5" customHeight="1">
      <c r="A29" s="954" t="s">
        <v>792</v>
      </c>
      <c r="B29" s="292" t="s">
        <v>2371</v>
      </c>
      <c r="C29" s="282">
        <f ca="1">ROUND(C21*F27,4)</f>
        <v>3.3999999999999998E-3</v>
      </c>
      <c r="D29" s="279"/>
      <c r="E29" s="280"/>
      <c r="F29" s="290"/>
      <c r="G29" s="291"/>
    </row>
    <row r="30" spans="1:7" s="258" customFormat="1" ht="13.5" customHeight="1">
      <c r="A30" s="299" t="s">
        <v>2372</v>
      </c>
      <c r="B30" s="254" t="s">
        <v>2373</v>
      </c>
      <c r="C30" s="279">
        <f>ROUND(F30/(1+'数据-取费表'!C42),4)</f>
        <v>5.2400000000000002E-2</v>
      </c>
      <c r="D30" s="280" t="s">
        <v>2368</v>
      </c>
      <c r="E30" s="285"/>
      <c r="F30" s="281">
        <f>'数据-取费表'!B41</f>
        <v>5.5000000000000007E-2</v>
      </c>
      <c r="G30" s="278" t="s">
        <v>2374</v>
      </c>
    </row>
    <row r="31" spans="1:7" ht="16.5" customHeight="1">
      <c r="A31" s="253">
        <v>1</v>
      </c>
      <c r="B31" s="254" t="s">
        <v>2375</v>
      </c>
      <c r="C31" s="255">
        <f ca="1">ROUND((C5+C19+C20+C22+C27)/(1-C21-D22-D27-C30),0)</f>
        <v>115104141</v>
      </c>
      <c r="D31" s="274"/>
      <c r="E31" s="255"/>
      <c r="F31" s="294"/>
      <c r="G31" s="278" t="s">
        <v>2376</v>
      </c>
    </row>
    <row r="32" spans="1:7" s="252" customFormat="1" ht="15.75">
      <c r="A32" s="296" t="s">
        <v>2443</v>
      </c>
      <c r="B32" s="297"/>
      <c r="C32" s="297"/>
      <c r="D32" s="297"/>
      <c r="E32" s="297"/>
      <c r="F32" s="297"/>
      <c r="G32" s="298"/>
    </row>
    <row r="33" spans="1:7" s="258" customFormat="1" ht="13.5" customHeight="1">
      <c r="A33" s="299" t="s">
        <v>782</v>
      </c>
      <c r="B33" s="254" t="s">
        <v>2444</v>
      </c>
      <c r="C33" s="300">
        <f ca="1">SUM(C34:C38)</f>
        <v>789838037</v>
      </c>
      <c r="D33" s="276"/>
      <c r="E33" s="256"/>
      <c r="F33" s="285"/>
      <c r="G33" s="278"/>
    </row>
    <row r="34" spans="1:7" s="302" customFormat="1" ht="13.5" customHeight="1">
      <c r="A34" s="954" t="s">
        <v>791</v>
      </c>
      <c r="B34" s="259" t="s">
        <v>2379</v>
      </c>
      <c r="C34" s="264">
        <f ca="1">ROUND(IF(B1="",SUMPRODUCT('数据-取费表'!K6:K14,'数据-取费表'!L6:L14),INDIRECT("'数据-取费表'!l"&amp;$G$1)*INDIRECT("'数据-取费表'!k"&amp;$G$1)+'数据-取费表'!L14*INDIRECT("'数据-取费表'!S"&amp;$G$1)),0)</f>
        <v>715451507</v>
      </c>
      <c r="D34" s="261"/>
      <c r="E34" s="264"/>
      <c r="F34" s="301"/>
      <c r="G34" s="263"/>
    </row>
    <row r="35" spans="1:7" ht="13.5" customHeight="1">
      <c r="A35" s="954" t="s">
        <v>796</v>
      </c>
      <c r="B35" s="259" t="s">
        <v>2381</v>
      </c>
      <c r="C35" s="264">
        <f ca="1">ROUND(C34*F35,0)</f>
        <v>21463545</v>
      </c>
      <c r="D35" s="264"/>
      <c r="E35" s="264"/>
      <c r="F35" s="303">
        <f>'数据-取费表'!B33</f>
        <v>0.03</v>
      </c>
      <c r="G35" s="263" t="s">
        <v>2382</v>
      </c>
    </row>
    <row r="36" spans="1:7" ht="24">
      <c r="A36" s="954" t="s">
        <v>797</v>
      </c>
      <c r="B36" s="259" t="s">
        <v>2383</v>
      </c>
      <c r="C36" s="264">
        <f ca="1">ROUND(IF(B1="",SUM('数据-取费表'!AP6:AP13)*F36,IF(INDIRECT("'数据-取费表'!c"&amp;$G$1)="住宅",INDIRECT("'数据-取费表'!k"&amp;$G$1)*INDIRECT("'数据-取费表'!l"&amp;$G$1)*F36,0)),0)</f>
        <v>0</v>
      </c>
      <c r="D36" s="264"/>
      <c r="E36" s="264"/>
      <c r="F36" s="303">
        <f>'数据-取费表'!B34</f>
        <v>0</v>
      </c>
      <c r="G36" s="304" t="s">
        <v>2384</v>
      </c>
    </row>
    <row r="37" spans="1:7" s="302" customFormat="1" ht="13.5" customHeight="1">
      <c r="A37" s="954" t="s">
        <v>798</v>
      </c>
      <c r="B37" s="259" t="s">
        <v>2385</v>
      </c>
      <c r="C37" s="293">
        <f ca="1">ROUND(E37*D37,0)</f>
        <v>42191212</v>
      </c>
      <c r="D37" s="261">
        <f ca="1">D19</f>
        <v>210956.06</v>
      </c>
      <c r="E37" s="293">
        <f>'数据-取费表'!B35</f>
        <v>200</v>
      </c>
      <c r="F37" s="303"/>
      <c r="G37" s="305"/>
    </row>
    <row r="38" spans="1:7" ht="13.5" customHeight="1">
      <c r="A38" s="954" t="s">
        <v>799</v>
      </c>
      <c r="B38" s="259" t="s">
        <v>2387</v>
      </c>
      <c r="C38" s="264">
        <f ca="1">ROUND(C34*F38,0)</f>
        <v>10731773</v>
      </c>
      <c r="D38" s="264"/>
      <c r="E38" s="264"/>
      <c r="F38" s="303">
        <f>'数据-取费表'!B36</f>
        <v>1.4999999999999999E-2</v>
      </c>
      <c r="G38" s="263" t="s">
        <v>2382</v>
      </c>
    </row>
    <row r="39" spans="1:7" s="258" customFormat="1" ht="13.5" customHeight="1">
      <c r="A39" s="299" t="s">
        <v>2388</v>
      </c>
      <c r="B39" s="254" t="s">
        <v>2389</v>
      </c>
      <c r="C39" s="276">
        <f ca="1">ROUND(C33*F20,0)</f>
        <v>15796761</v>
      </c>
      <c r="D39" s="276"/>
      <c r="E39" s="276"/>
      <c r="F39" s="277"/>
      <c r="G39" s="278" t="s">
        <v>2390</v>
      </c>
    </row>
    <row r="40" spans="1:7" s="258" customFormat="1" ht="13.5" customHeight="1">
      <c r="A40" s="299" t="s">
        <v>2391</v>
      </c>
      <c r="B40" s="254" t="s">
        <v>2392</v>
      </c>
      <c r="C40" s="1730">
        <f>F21</f>
        <v>0.02</v>
      </c>
      <c r="D40" s="280" t="s">
        <v>2393</v>
      </c>
      <c r="E40" s="276"/>
      <c r="F40" s="277"/>
      <c r="G40" s="278" t="s">
        <v>2394</v>
      </c>
    </row>
    <row r="41" spans="1:7" s="258" customFormat="1" ht="13.5" customHeight="1">
      <c r="A41" s="299" t="s">
        <v>2395</v>
      </c>
      <c r="B41" s="254" t="s">
        <v>2396</v>
      </c>
      <c r="C41" s="276">
        <f ca="1">ROUND(SUM(C42:C43),0)</f>
        <v>38267653</v>
      </c>
      <c r="D41" s="279">
        <f ca="1">C44</f>
        <v>1E-3</v>
      </c>
      <c r="E41" s="280" t="s">
        <v>2393</v>
      </c>
      <c r="F41" s="281"/>
      <c r="G41" s="278" t="str">
        <f>IF('数据-取费表'!B22&lt;=1,"单利计息","复利计息")</f>
        <v>复利计息</v>
      </c>
    </row>
    <row r="42" spans="1:7" ht="13.5" customHeight="1">
      <c r="A42" s="954" t="s">
        <v>791</v>
      </c>
      <c r="B42" s="259" t="s">
        <v>2397</v>
      </c>
      <c r="C42" s="282">
        <f ca="1">ROUND(IF('数据-取费表'!B22&lt;=1,C33*F22*'数据-取费表'!B20/2,C33*(POWER((1+F22),'数据-取费表'!B20/2)-1)),0)</f>
        <v>37517307</v>
      </c>
      <c r="D42" s="282"/>
      <c r="E42" s="282"/>
      <c r="F42" s="283"/>
      <c r="G42" s="3152" t="s">
        <v>2445</v>
      </c>
    </row>
    <row r="43" spans="1:7" ht="13.5" customHeight="1">
      <c r="A43" s="954" t="s">
        <v>792</v>
      </c>
      <c r="B43" s="259" t="s">
        <v>2399</v>
      </c>
      <c r="C43" s="282">
        <f ca="1">ROUND(IF('数据-取费表'!B22&lt;=1,C39*F22*'数据-取费表'!B20/2,C39*(POWER((1+F22),'数据-取费表'!B20/2)-1)),0)</f>
        <v>750346</v>
      </c>
      <c r="D43" s="282"/>
      <c r="E43" s="282"/>
      <c r="F43" s="283"/>
      <c r="G43" s="3153"/>
    </row>
    <row r="44" spans="1:7" ht="13.5" customHeight="1">
      <c r="A44" s="954" t="s">
        <v>793</v>
      </c>
      <c r="B44" s="259" t="s">
        <v>2400</v>
      </c>
      <c r="C44" s="282">
        <f ca="1">ROUND(IF('数据-取费表'!B22&lt;=1,C40*F22*'数据-取费表'!B20/2,C40*(POWER((1+F22),'数据-取费表'!B20/2)-1)),4)</f>
        <v>1E-3</v>
      </c>
      <c r="D44" s="282"/>
      <c r="E44" s="282"/>
      <c r="F44" s="283"/>
      <c r="G44" s="3154"/>
    </row>
    <row r="45" spans="1:7" s="258" customFormat="1" ht="13.5" customHeight="1">
      <c r="A45" s="299" t="s">
        <v>2401</v>
      </c>
      <c r="B45" s="288" t="s">
        <v>2367</v>
      </c>
      <c r="C45" s="289">
        <f ca="1">C46</f>
        <v>136957916</v>
      </c>
      <c r="D45" s="279">
        <f ca="1">C47</f>
        <v>3.3999999999999998E-3</v>
      </c>
      <c r="E45" s="280" t="s">
        <v>2393</v>
      </c>
      <c r="F45" s="290"/>
      <c r="G45" s="291" t="s">
        <v>2402</v>
      </c>
    </row>
    <row r="46" spans="1:7" s="258" customFormat="1" ht="13.5" customHeight="1">
      <c r="A46" s="954" t="s">
        <v>791</v>
      </c>
      <c r="B46" s="292" t="s">
        <v>2403</v>
      </c>
      <c r="C46" s="293">
        <f ca="1">ROUND((C33+C39)*F27,0)</f>
        <v>136957916</v>
      </c>
      <c r="D46" s="307"/>
      <c r="E46" s="280"/>
      <c r="F46" s="290"/>
      <c r="G46" s="291"/>
    </row>
    <row r="47" spans="1:7" s="258" customFormat="1" ht="13.5" customHeight="1">
      <c r="A47" s="954" t="s">
        <v>792</v>
      </c>
      <c r="B47" s="292" t="s">
        <v>2404</v>
      </c>
      <c r="C47" s="282">
        <f ca="1">ROUND(C40*F27,4)</f>
        <v>3.3999999999999998E-3</v>
      </c>
      <c r="D47" s="307"/>
      <c r="E47" s="280"/>
      <c r="F47" s="290"/>
      <c r="G47" s="291"/>
    </row>
    <row r="48" spans="1:7" s="258" customFormat="1" ht="13.5" customHeight="1">
      <c r="A48" s="299" t="s">
        <v>2366</v>
      </c>
      <c r="B48" s="254" t="s">
        <v>2405</v>
      </c>
      <c r="C48" s="306">
        <f>ROUND(F30/(1+'数据-取费表'!C42),4)</f>
        <v>5.2400000000000002E-2</v>
      </c>
      <c r="D48" s="280" t="s">
        <v>2393</v>
      </c>
      <c r="E48" s="276"/>
      <c r="F48" s="281"/>
      <c r="G48" s="278" t="s">
        <v>2406</v>
      </c>
    </row>
    <row r="49" spans="1:7" ht="16.5" customHeight="1">
      <c r="A49" s="299" t="s">
        <v>2372</v>
      </c>
      <c r="B49" s="254" t="s">
        <v>2446</v>
      </c>
      <c r="C49" s="276">
        <f ca="1">ROUND((C33+C39+C41+C45)/(1-C40-D41-D45-C48),0)</f>
        <v>1062457070</v>
      </c>
      <c r="D49" s="276"/>
      <c r="E49" s="276"/>
      <c r="F49" s="308"/>
      <c r="G49" s="278" t="s">
        <v>2408</v>
      </c>
    </row>
    <row r="50" spans="1:7" s="302" customFormat="1">
      <c r="A50" s="299" t="s">
        <v>2409</v>
      </c>
      <c r="B50" s="254" t="s">
        <v>2410</v>
      </c>
      <c r="C50" s="276"/>
      <c r="D50" s="276"/>
      <c r="E50" s="276"/>
      <c r="F50" s="308">
        <f>IF('数据-取费表'!B24=0,'数据-取费表'!N16,1)</f>
        <v>0.95</v>
      </c>
      <c r="G50" s="291"/>
    </row>
    <row r="51" spans="1:7" ht="16.5" customHeight="1">
      <c r="A51" s="299" t="s">
        <v>2412</v>
      </c>
      <c r="B51" s="254" t="s">
        <v>2447</v>
      </c>
      <c r="C51" s="276">
        <f ca="1">ROUND(C49*F50,0)</f>
        <v>1009334217</v>
      </c>
      <c r="D51" s="276"/>
      <c r="E51" s="276"/>
      <c r="F51" s="308"/>
      <c r="G51" s="278" t="s">
        <v>2414</v>
      </c>
    </row>
    <row r="52" spans="1:7" s="252" customFormat="1" ht="16.5" thickBot="1">
      <c r="A52" s="309" t="s">
        <v>2415</v>
      </c>
      <c r="B52" s="310"/>
      <c r="C52" s="311">
        <f ca="1">C31+C51</f>
        <v>1124438358</v>
      </c>
      <c r="D52" s="310"/>
      <c r="E52" s="310"/>
      <c r="F52" s="310"/>
      <c r="G52" s="312"/>
    </row>
    <row r="55" spans="1:7" ht="15">
      <c r="B55" s="314" t="s">
        <v>2416</v>
      </c>
      <c r="C55" s="315"/>
    </row>
    <row r="56" spans="1:7">
      <c r="B56" s="317" t="s">
        <v>1513</v>
      </c>
      <c r="C56" s="319">
        <f ca="1">1-C57</f>
        <v>0.10199999999999998</v>
      </c>
    </row>
    <row r="57" spans="1:7">
      <c r="B57" s="317" t="s">
        <v>1514</v>
      </c>
      <c r="C57" s="318">
        <f ca="1">ROUND(C51/C52,3)</f>
        <v>0.89800000000000002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2448</v>
      </c>
      <c r="B1" s="1583"/>
      <c r="C1" s="1584"/>
      <c r="D1" s="1582"/>
      <c r="E1" s="320"/>
      <c r="F1" s="320"/>
      <c r="G1" s="1583"/>
      <c r="H1" s="320"/>
      <c r="I1" s="320"/>
      <c r="J1" s="320"/>
      <c r="K1" s="320">
        <f>MATCH(C1,'数据-取费表'!A6:A16,0)+5</f>
        <v>7</v>
      </c>
    </row>
    <row r="2" spans="1:33" ht="18" customHeight="1">
      <c r="A2" s="245" t="s">
        <v>2316</v>
      </c>
      <c r="B2" s="248">
        <f ca="1">C32</f>
        <v>0</v>
      </c>
      <c r="C2" s="320" t="s">
        <v>2449</v>
      </c>
      <c r="D2" s="320"/>
      <c r="E2" s="320"/>
      <c r="F2" s="320"/>
      <c r="G2" s="320"/>
      <c r="H2" s="320"/>
      <c r="I2" s="320"/>
      <c r="J2" s="320"/>
      <c r="K2" s="320"/>
    </row>
    <row r="3" spans="1:33" ht="18" customHeight="1" thickBot="1">
      <c r="A3" s="247" t="s">
        <v>2318</v>
      </c>
      <c r="B3" s="248">
        <f ca="1">ROUND(B2*10000/IF(C1="",'数据-汇总表'!E3,INDIRECT("'数据-取费表'!K"&amp;$K$1)),0)</f>
        <v>0</v>
      </c>
      <c r="C3" s="320" t="s">
        <v>2450</v>
      </c>
      <c r="D3" s="320"/>
      <c r="E3" s="320"/>
      <c r="F3" s="320"/>
      <c r="G3" s="320"/>
      <c r="H3" s="320"/>
      <c r="I3" s="320"/>
      <c r="J3" s="320"/>
      <c r="K3" s="320"/>
    </row>
    <row r="4" spans="1:33" s="959" customFormat="1" ht="16.5" customHeight="1">
      <c r="A4" s="956" t="s">
        <v>2451</v>
      </c>
      <c r="B4" s="957"/>
      <c r="C4" s="999">
        <f>SUM(C8:K8)</f>
        <v>0</v>
      </c>
      <c r="D4" s="957"/>
      <c r="E4" s="957"/>
      <c r="F4" s="957"/>
      <c r="G4" s="957"/>
      <c r="H4" s="957"/>
      <c r="I4" s="957"/>
      <c r="J4" s="957"/>
      <c r="K4" s="958"/>
    </row>
    <row r="5" spans="1:33" s="963" customFormat="1" ht="24.75">
      <c r="A5" s="960" t="s">
        <v>2452</v>
      </c>
      <c r="B5" s="961" t="s">
        <v>2453</v>
      </c>
      <c r="C5" s="2556" t="s">
        <v>2454</v>
      </c>
      <c r="D5" s="2556" t="s">
        <v>2455</v>
      </c>
      <c r="E5" s="2556" t="s">
        <v>2456</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2458</v>
      </c>
      <c r="B7" s="140" t="s">
        <v>2459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2460</v>
      </c>
      <c r="B8" s="177" t="s">
        <v>2461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2462</v>
      </c>
      <c r="B9" s="957"/>
      <c r="C9" s="957"/>
      <c r="D9" s="957"/>
      <c r="E9" s="957"/>
      <c r="F9" s="957"/>
      <c r="G9" s="957"/>
      <c r="H9" s="957"/>
      <c r="I9" s="957"/>
      <c r="J9" s="957"/>
      <c r="K9" s="958"/>
    </row>
    <row r="10" spans="1:33" s="973" customFormat="1" ht="13.5" customHeight="1">
      <c r="A10" s="960" t="s">
        <v>2463</v>
      </c>
      <c r="B10" s="8" t="s">
        <v>2464</v>
      </c>
      <c r="C10" s="969" t="s">
        <v>2465</v>
      </c>
      <c r="D10" s="970" t="s">
        <v>2466</v>
      </c>
      <c r="E10" s="970" t="s">
        <v>2467</v>
      </c>
      <c r="F10" s="970" t="s">
        <v>2468</v>
      </c>
      <c r="G10" s="8"/>
      <c r="H10" s="971"/>
      <c r="I10" s="971"/>
      <c r="J10" s="971"/>
      <c r="K10" s="972"/>
    </row>
    <row r="11" spans="1:33" s="978" customFormat="1" ht="13.5" customHeight="1">
      <c r="A11" s="974" t="s">
        <v>1334</v>
      </c>
      <c r="B11" s="975" t="s">
        <v>2469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2470</v>
      </c>
      <c r="C12" s="24">
        <f ca="1">ROUND(C11*F12,0)</f>
        <v>0</v>
      </c>
      <c r="D12" s="976"/>
      <c r="E12" s="375"/>
      <c r="F12" s="979">
        <f>'数据-取费表'!B33</f>
        <v>0.03</v>
      </c>
      <c r="G12" s="8" t="s">
        <v>2471</v>
      </c>
      <c r="H12" s="971"/>
      <c r="I12" s="971"/>
      <c r="J12" s="971"/>
      <c r="K12" s="972"/>
    </row>
    <row r="13" spans="1:33" s="978" customFormat="1" ht="13.5" customHeight="1">
      <c r="A13" s="974" t="s">
        <v>1336</v>
      </c>
      <c r="B13" s="975" t="s">
        <v>2472</v>
      </c>
      <c r="C13" s="24">
        <f ca="1">ROUND(IF(C1="",SUMIF('数据-取费表'!C:C,"住宅",'数据-取费表'!P:P)*F13,IF(INDIRECT("'数据-取费表'!c"&amp;$K$1)="住宅",INDIRECT("'数据-取费表'!P"&amp;$K$1)*F13,0)),0)</f>
        <v>0</v>
      </c>
      <c r="D13" s="1036"/>
      <c r="E13" s="375"/>
      <c r="F13" s="979">
        <f>'数据-取费表'!B34</f>
        <v>0</v>
      </c>
      <c r="G13" s="8" t="s">
        <v>2473</v>
      </c>
      <c r="H13" s="971"/>
      <c r="I13" s="971"/>
      <c r="J13" s="971"/>
      <c r="K13" s="972"/>
    </row>
    <row r="14" spans="1:33" s="980" customFormat="1" ht="13.5" customHeight="1">
      <c r="A14" s="974" t="s">
        <v>1337</v>
      </c>
      <c r="B14" s="975" t="s">
        <v>2474</v>
      </c>
      <c r="C14" s="24">
        <f ca="1">ROUND(D14*E14*F11/10000,0)</f>
        <v>0</v>
      </c>
      <c r="D14" s="1036">
        <f ca="1">IF(C1="",'数据-汇总表'!E3,INDIRECT("'数据-取费表'!K"&amp;$K$1)+INDIRECT("'数据-取费表'!S"&amp;$K$1))</f>
        <v>210956.06</v>
      </c>
      <c r="E14" s="24">
        <f>'数据-取费表'!B35</f>
        <v>200</v>
      </c>
      <c r="F14" s="979"/>
      <c r="G14" s="8" t="s">
        <v>2475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2476</v>
      </c>
      <c r="C15" s="986">
        <f ca="1">ROUND(C11*F15,0)</f>
        <v>0</v>
      </c>
      <c r="D15" s="981"/>
      <c r="E15" s="986"/>
      <c r="F15" s="987">
        <f>'数据-取费表'!B36</f>
        <v>1.4999999999999999E-2</v>
      </c>
      <c r="G15" s="140" t="s">
        <v>2477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2478</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2479</v>
      </c>
      <c r="C17" s="24">
        <f ca="1">ROUND(D17*E17/10000,0)</f>
        <v>0</v>
      </c>
      <c r="D17" s="1036">
        <f ca="1">D14</f>
        <v>210956.06</v>
      </c>
      <c r="E17" s="24">
        <f>'数据-取费表'!B32</f>
        <v>0</v>
      </c>
      <c r="F17" s="981"/>
      <c r="G17" s="140" t="s">
        <v>2480</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2481</v>
      </c>
      <c r="C18" s="24">
        <f ca="1">C19+C20-IF(C1="",'数据-取费表'!B29,IF(G18="已全部缴纳",C19+C20,H18))</f>
        <v>0</v>
      </c>
      <c r="D18" s="1036"/>
      <c r="E18" s="24"/>
      <c r="F18" s="979"/>
      <c r="G18" s="2558"/>
      <c r="H18" s="1579"/>
      <c r="I18" s="2559" t="s">
        <v>2482</v>
      </c>
      <c r="J18" s="982"/>
      <c r="K18" s="983"/>
    </row>
    <row r="19" spans="1:33" s="978" customFormat="1" ht="13.5" customHeight="1">
      <c r="A19" s="974" t="s">
        <v>805</v>
      </c>
      <c r="B19" s="975" t="s">
        <v>2483</v>
      </c>
      <c r="C19" s="24">
        <f ca="1">ROUND(D19*E19/10000,0)</f>
        <v>0</v>
      </c>
      <c r="D19" s="1036">
        <f ca="1">IF(C1="",'数据-汇总表'!E5,IF(INDIRECT("'数据-取费表'!c"&amp;$K$1)="住宅",INDIRECT("'数据-取费表'!k"&amp;$K$1),0))</f>
        <v>0</v>
      </c>
      <c r="E19" s="24">
        <f>'数据-取费表'!B27</f>
        <v>150</v>
      </c>
      <c r="F19" s="979"/>
      <c r="G19" s="15"/>
      <c r="H19" s="1581"/>
      <c r="I19" s="984"/>
      <c r="J19" s="984"/>
      <c r="K19" s="985"/>
    </row>
    <row r="20" spans="1:33" s="978" customFormat="1" ht="13.5" customHeight="1">
      <c r="A20" s="974" t="s">
        <v>806</v>
      </c>
      <c r="B20" s="975" t="s">
        <v>2484</v>
      </c>
      <c r="C20" s="24">
        <f ca="1">ROUND(D20*E20/10000,0)</f>
        <v>4008</v>
      </c>
      <c r="D20" s="1036">
        <f ca="1">IF(C1="",'数据-汇总表'!E6,IF(INDIRECT("'数据-取费表'!c"&amp;$K$1)="住宅",INDIRECT("'数据-取费表'!s"&amp;$K$1),INDIRECT("'数据-取费表'!k"&amp;$K$1)+INDIRECT("'数据-取费表'!s"&amp;$K$1)))</f>
        <v>210956.06</v>
      </c>
      <c r="E20" s="24">
        <f>'数据-取费表'!B28</f>
        <v>190</v>
      </c>
      <c r="F20" s="979"/>
      <c r="G20" s="15"/>
      <c r="H20" s="984"/>
      <c r="I20" s="984"/>
      <c r="J20" s="984"/>
      <c r="K20" s="985"/>
    </row>
    <row r="21" spans="1:33" s="978" customFormat="1" ht="13.5" customHeight="1">
      <c r="A21" s="964" t="s">
        <v>802</v>
      </c>
      <c r="B21" s="988" t="s">
        <v>2485</v>
      </c>
      <c r="C21" s="989">
        <f ca="1">C16+C17+C18</f>
        <v>0</v>
      </c>
      <c r="D21" s="990"/>
      <c r="E21" s="325"/>
      <c r="F21" s="325"/>
      <c r="G21" s="140" t="s">
        <v>2486</v>
      </c>
      <c r="H21" s="982"/>
      <c r="I21" s="982"/>
      <c r="J21" s="982"/>
      <c r="K21" s="983"/>
    </row>
    <row r="22" spans="1:33" s="978" customFormat="1" ht="13.5" customHeight="1">
      <c r="A22" s="964" t="s">
        <v>2458</v>
      </c>
      <c r="B22" s="988" t="s">
        <v>2487</v>
      </c>
      <c r="C22" s="989">
        <f ca="1">ROUND(C21*F22,0)</f>
        <v>0</v>
      </c>
      <c r="D22" s="325"/>
      <c r="E22" s="325"/>
      <c r="F22" s="991">
        <f>'数据-取费表'!B37</f>
        <v>0.02</v>
      </c>
      <c r="G22" s="8" t="s">
        <v>2488</v>
      </c>
      <c r="H22" s="971"/>
      <c r="I22" s="971"/>
      <c r="J22" s="971"/>
      <c r="K22" s="972"/>
    </row>
    <row r="23" spans="1:33" s="978" customFormat="1" ht="13.5" customHeight="1">
      <c r="A23" s="964" t="s">
        <v>2460</v>
      </c>
      <c r="B23" s="988" t="s">
        <v>2489</v>
      </c>
      <c r="C23" s="989">
        <f ca="1">ROUND(C4*F23*F11,0)</f>
        <v>0</v>
      </c>
      <c r="D23" s="325"/>
      <c r="E23" s="325"/>
      <c r="F23" s="991">
        <f>'数据-取费表'!B38</f>
        <v>0.02</v>
      </c>
      <c r="G23" s="8" t="s">
        <v>2490</v>
      </c>
      <c r="H23" s="971"/>
      <c r="I23" s="971"/>
      <c r="J23" s="971"/>
      <c r="K23" s="972"/>
    </row>
    <row r="24" spans="1:33" s="978" customFormat="1" ht="13.5" customHeight="1">
      <c r="A24" s="964" t="s">
        <v>2491</v>
      </c>
      <c r="B24" s="988" t="s">
        <v>2492</v>
      </c>
      <c r="C24" s="324">
        <f>ROUND(F24/(1+'数据-取费表'!C42),4)</f>
        <v>2.9000000000000001E-2</v>
      </c>
      <c r="D24" s="325" t="s">
        <v>15</v>
      </c>
      <c r="E24" s="325"/>
      <c r="F24" s="991">
        <f>'数据-取费表'!B48+'数据-取费表'!B49</f>
        <v>3.0499999999999999E-2</v>
      </c>
      <c r="G24" s="8" t="s">
        <v>2493</v>
      </c>
      <c r="H24" s="993"/>
      <c r="I24" s="993"/>
      <c r="J24" s="993"/>
      <c r="K24" s="994"/>
    </row>
    <row r="25" spans="1:33" s="978" customFormat="1" ht="13.5" customHeight="1">
      <c r="A25" s="964" t="s">
        <v>2494</v>
      </c>
      <c r="B25" s="990" t="s">
        <v>2495</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2496</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2497</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2498</v>
      </c>
      <c r="B28" s="2561" t="s">
        <v>2499</v>
      </c>
      <c r="C28" s="331">
        <f ca="1">C30</f>
        <v>0</v>
      </c>
      <c r="D28" s="324">
        <f ca="1">C29</f>
        <v>0</v>
      </c>
      <c r="E28" s="326" t="s">
        <v>15</v>
      </c>
      <c r="F28" s="332">
        <f ca="1">IF(C1="",'数据-取费表'!Q16,INDIRECT("'数据-取费表'!q"&amp;$K$1))</f>
        <v>0.17</v>
      </c>
      <c r="G28" s="992"/>
      <c r="H28" s="993"/>
      <c r="I28" s="993"/>
      <c r="J28" s="993"/>
      <c r="K28" s="994"/>
    </row>
    <row r="29" spans="1:33" s="335" customFormat="1" ht="13.5" customHeight="1">
      <c r="A29" s="974" t="s">
        <v>803</v>
      </c>
      <c r="B29" s="997" t="s">
        <v>2500</v>
      </c>
      <c r="C29" s="328">
        <f ca="1">ROUND((1+C24)*F28*'数据-取费表'!B24/'数据-取费表'!B20,4)</f>
        <v>0</v>
      </c>
      <c r="D29" s="328"/>
      <c r="E29" s="329"/>
      <c r="F29" s="334"/>
      <c r="G29" s="140" t="s">
        <v>2501</v>
      </c>
      <c r="H29" s="982"/>
      <c r="I29" s="982"/>
      <c r="J29" s="982"/>
      <c r="K29" s="983"/>
    </row>
    <row r="30" spans="1:33" s="335" customFormat="1" ht="13.5" customHeight="1">
      <c r="A30" s="974" t="s">
        <v>804</v>
      </c>
      <c r="B30" s="997" t="s">
        <v>2502</v>
      </c>
      <c r="C30" s="336">
        <f ca="1">ROUND((C21+C22+C23)*F28,0)</f>
        <v>0</v>
      </c>
      <c r="D30" s="328"/>
      <c r="E30" s="329"/>
      <c r="F30" s="334"/>
      <c r="G30" s="140"/>
      <c r="H30" s="982"/>
      <c r="I30" s="982"/>
      <c r="J30" s="982"/>
      <c r="K30" s="983"/>
    </row>
    <row r="31" spans="1:33" s="978" customFormat="1" ht="13.5" customHeight="1" thickBot="1">
      <c r="A31" s="2562" t="s">
        <v>2503</v>
      </c>
      <c r="B31" s="1008" t="s">
        <v>2504</v>
      </c>
      <c r="C31" s="1009">
        <f>ROUND(C4*F31/(1+'数据-取费表'!C42),0)</f>
        <v>0</v>
      </c>
      <c r="D31" s="1010"/>
      <c r="E31" s="1011"/>
      <c r="F31" s="1012">
        <f>'数据-取费表'!B41</f>
        <v>5.5000000000000007E-2</v>
      </c>
      <c r="G31" s="1013" t="s">
        <v>2505</v>
      </c>
      <c r="H31" s="1014"/>
      <c r="I31" s="1014"/>
      <c r="J31" s="1014"/>
      <c r="K31" s="1015"/>
    </row>
    <row r="32" spans="1:33" s="973" customFormat="1" ht="13.5" customHeight="1" thickBot="1">
      <c r="A32" s="1003" t="s">
        <v>2506</v>
      </c>
      <c r="B32" s="1004"/>
      <c r="C32" s="1005">
        <f ca="1">ROUND((C4-C21-C22-C23-C25-C28-C31)/(1+C24+D25+D28),0)</f>
        <v>0</v>
      </c>
      <c r="D32" s="1004"/>
      <c r="E32" s="1004"/>
      <c r="F32" s="1004"/>
      <c r="G32" s="1006" t="s">
        <v>2507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topLeftCell="A27" zoomScale="80" zoomScaleNormal="80" workbookViewId="0">
      <selection activeCell="F66" sqref="F6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2733</v>
      </c>
      <c r="B1" s="395"/>
      <c r="C1" s="396" t="s">
        <v>2734</v>
      </c>
      <c r="D1" s="755"/>
      <c r="E1" s="755"/>
      <c r="F1" s="754" t="s">
        <v>2632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2316</v>
      </c>
      <c r="B2" s="671">
        <f>F66</f>
        <v>209560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2318</v>
      </c>
      <c r="B3" s="609">
        <f>ROUND(IF(D3="",B2*10000/'数据-汇总表'!E3,B2*10000/D3),0)</f>
        <v>9934</v>
      </c>
      <c r="C3" s="247" t="s">
        <v>2735</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56" t="s">
        <v>2637</v>
      </c>
      <c r="AC4" s="3155" t="s">
        <v>2638</v>
      </c>
    </row>
    <row r="5" spans="1:30" ht="34.5" customHeight="1">
      <c r="A5" s="404"/>
      <c r="B5" s="405"/>
      <c r="C5" s="3166" t="s">
        <v>3137</v>
      </c>
      <c r="D5" s="3167"/>
      <c r="E5" s="3164" t="str">
        <f>土地案例!A4</f>
        <v>大兴区北臧村生物医药基地DX00-0502-0008地块</v>
      </c>
      <c r="F5" s="3165"/>
      <c r="G5" s="3170" t="str">
        <f>土地案例!A7</f>
        <v>大兴区北臧村生物医药基地DX00-0501-6003地块</v>
      </c>
      <c r="H5" s="3167"/>
      <c r="I5" s="3170" t="str">
        <f>土地案例!A10</f>
        <v>大兴区北臧村生物医药基地DX00-0501-0009地块</v>
      </c>
      <c r="J5" s="3167"/>
      <c r="K5" s="610"/>
      <c r="L5" s="1133"/>
      <c r="M5" s="1134"/>
      <c r="N5" s="1134"/>
      <c r="O5" s="1134"/>
      <c r="P5" s="3180"/>
      <c r="Q5" s="3181"/>
      <c r="R5" s="3162"/>
      <c r="S5" s="3163"/>
      <c r="T5" s="3162"/>
      <c r="U5" s="3163"/>
      <c r="V5" s="3186"/>
      <c r="W5" s="3186"/>
      <c r="X5" s="1815"/>
      <c r="Y5" s="3162"/>
      <c r="Z5" s="3163"/>
      <c r="AA5" s="3156"/>
      <c r="AB5" s="3156"/>
      <c r="AC5" s="3156"/>
    </row>
    <row r="6" spans="1:30" ht="15.75" thickBot="1">
      <c r="A6" s="406"/>
      <c r="B6" s="407"/>
      <c r="C6" s="3168" t="s">
        <v>2782</v>
      </c>
      <c r="D6" s="3169"/>
      <c r="E6" s="3171" t="s">
        <v>2782</v>
      </c>
      <c r="F6" s="3172"/>
      <c r="G6" s="3168" t="s">
        <v>2782</v>
      </c>
      <c r="H6" s="3169"/>
      <c r="I6" s="3168" t="s">
        <v>2782</v>
      </c>
      <c r="J6" s="3169"/>
      <c r="K6" s="610" t="s">
        <v>2536</v>
      </c>
      <c r="L6" s="1133"/>
      <c r="M6" s="1134"/>
      <c r="N6" s="1134"/>
      <c r="O6" s="1134"/>
      <c r="P6" s="3182"/>
      <c r="Q6" s="3183"/>
      <c r="R6" s="3162"/>
      <c r="S6" s="3163"/>
      <c r="T6" s="3184"/>
      <c r="U6" s="3185"/>
      <c r="V6" s="3186"/>
      <c r="W6" s="3186"/>
      <c r="X6" s="1815"/>
      <c r="Y6" s="3184"/>
      <c r="Z6" s="3185"/>
      <c r="AA6" s="3157"/>
      <c r="AB6" s="3157"/>
      <c r="AC6" s="3157"/>
    </row>
    <row r="7" spans="1:30" s="117" customFormat="1" ht="15.75" thickBot="1">
      <c r="A7" s="408" t="s">
        <v>2537</v>
      </c>
      <c r="B7" s="409"/>
      <c r="C7" s="2955">
        <f>'数据-取费表'!B2</f>
        <v>43235</v>
      </c>
      <c r="D7" s="2956">
        <v>100</v>
      </c>
      <c r="E7" s="2957" t="str">
        <f>土地案例!H4</f>
        <v>2017-03-30</v>
      </c>
      <c r="F7" s="2958">
        <f>SUMIF(70:70,YEAR(E7)&amp;"-"&amp;INT((MONTH(E7)+2)/3),71:71)</f>
        <v>95</v>
      </c>
      <c r="G7" s="2959" t="str">
        <f>土地案例!H7</f>
        <v>2016-02-26</v>
      </c>
      <c r="H7" s="2956">
        <f>SUMIF(70:70,YEAR(G7)&amp;"-"&amp;INT((MONTH(G7)+2)/3),71:71)</f>
        <v>91</v>
      </c>
      <c r="I7" s="2959" t="str">
        <f>土地案例!H10</f>
        <v>2015-12-23</v>
      </c>
      <c r="J7" s="2956">
        <f>SUMIF(70:70,YEAR(I7)&amp;"-"&amp;INT((MONTH(I7)+2)/3),71:71)</f>
        <v>90</v>
      </c>
      <c r="K7" s="611"/>
      <c r="L7" s="1135"/>
      <c r="M7" s="1136"/>
      <c r="N7" s="1136"/>
      <c r="O7" s="1136"/>
      <c r="P7" s="3158" t="s">
        <v>2538</v>
      </c>
      <c r="Q7" s="3187"/>
      <c r="R7" s="770" t="s">
        <v>17</v>
      </c>
      <c r="S7" s="771">
        <f t="shared" ref="S7:S15" si="0">F7</f>
        <v>95</v>
      </c>
      <c r="T7" s="770" t="s">
        <v>17</v>
      </c>
      <c r="U7" s="771">
        <f t="shared" ref="U7:U15" si="1">H7</f>
        <v>91</v>
      </c>
      <c r="V7" s="770" t="s">
        <v>17</v>
      </c>
      <c r="W7" s="771">
        <f t="shared" ref="W7:W15" si="2">J7</f>
        <v>90</v>
      </c>
      <c r="X7" s="772"/>
      <c r="Y7" s="3158" t="s">
        <v>2538</v>
      </c>
      <c r="Z7" s="3159"/>
      <c r="AA7" s="773">
        <f>D7/F7</f>
        <v>1.0526315789473684</v>
      </c>
      <c r="AB7" s="773">
        <f>D7/H7</f>
        <v>1.098901098901099</v>
      </c>
      <c r="AC7" s="773">
        <f>D7/J7</f>
        <v>1.1111111111111112</v>
      </c>
    </row>
    <row r="8" spans="1:30" s="117" customFormat="1" ht="15.75" thickBot="1">
      <c r="A8" s="408" t="s">
        <v>2539</v>
      </c>
      <c r="B8" s="409"/>
      <c r="C8" s="414" t="s">
        <v>2540</v>
      </c>
      <c r="D8" s="411">
        <v>100</v>
      </c>
      <c r="E8" s="414" t="s">
        <v>3139</v>
      </c>
      <c r="F8" s="413">
        <f>SUMIF(73:73,E8,74:74)-SUMIF(73:73,C8,74:74)+100</f>
        <v>105</v>
      </c>
      <c r="G8" s="414" t="s">
        <v>3138</v>
      </c>
      <c r="H8" s="411">
        <f>SUMIF(73:73,G8,74:74)-SUMIF(73:73,C8,74:74)+100</f>
        <v>110</v>
      </c>
      <c r="I8" s="414" t="s">
        <v>3138</v>
      </c>
      <c r="J8" s="411">
        <f>SUMIF(73:73,I8,74:74)-SUMIF(73:73,C8,74:74)+100</f>
        <v>110</v>
      </c>
      <c r="K8" s="611"/>
      <c r="L8" s="1135"/>
      <c r="M8" s="1136"/>
      <c r="N8" s="1136"/>
      <c r="O8" s="1136"/>
      <c r="P8" s="3158" t="s">
        <v>2541</v>
      </c>
      <c r="Q8" s="3159"/>
      <c r="R8" s="770" t="s">
        <v>17</v>
      </c>
      <c r="S8" s="771">
        <f t="shared" si="0"/>
        <v>105</v>
      </c>
      <c r="T8" s="770" t="s">
        <v>17</v>
      </c>
      <c r="U8" s="771">
        <f t="shared" si="1"/>
        <v>110</v>
      </c>
      <c r="V8" s="770" t="s">
        <v>17</v>
      </c>
      <c r="W8" s="771">
        <f t="shared" si="2"/>
        <v>110</v>
      </c>
      <c r="X8" s="772"/>
      <c r="Y8" s="3158" t="s">
        <v>2541</v>
      </c>
      <c r="Z8" s="3159"/>
      <c r="AA8" s="773">
        <f t="shared" ref="AA8:AA45" si="3">D8/F8</f>
        <v>0.95238095238095233</v>
      </c>
      <c r="AB8" s="773">
        <f t="shared" ref="AB8:AB45" si="4">D8/H8</f>
        <v>0.90909090909090906</v>
      </c>
      <c r="AC8" s="773">
        <f t="shared" ref="AC8:AC45" si="5">D8/J8</f>
        <v>0.90909090909090906</v>
      </c>
    </row>
    <row r="9" spans="1:30" s="117" customFormat="1">
      <c r="A9" s="415" t="s">
        <v>2542</v>
      </c>
      <c r="B9" s="71" t="s">
        <v>2543</v>
      </c>
      <c r="C9" s="2701" t="s">
        <v>1377</v>
      </c>
      <c r="D9" s="135">
        <v>100</v>
      </c>
      <c r="E9" s="2701" t="s">
        <v>3143</v>
      </c>
      <c r="F9" s="135">
        <f>SUMIF(75:75,E9,76:76)-SUMIF(75:75,C9,76:76)+100</f>
        <v>98</v>
      </c>
      <c r="G9" s="2701" t="s">
        <v>3143</v>
      </c>
      <c r="H9" s="135">
        <f>SUMIF(75:75,G9,76:76)-SUMIF(75:75,C9,76:76)+100</f>
        <v>98</v>
      </c>
      <c r="I9" s="2701" t="s">
        <v>3143</v>
      </c>
      <c r="J9" s="135">
        <f>SUMIF(75:75,I9,76:76)-SUMIF(75:75,C9,76:76)+100</f>
        <v>98</v>
      </c>
      <c r="K9" s="611"/>
      <c r="L9" s="1135"/>
      <c r="M9" s="1136"/>
      <c r="N9" s="1136"/>
      <c r="O9" s="1137"/>
      <c r="P9" s="3173" t="s">
        <v>2544</v>
      </c>
      <c r="Q9" s="1797" t="str">
        <f t="shared" ref="Q9:Q15" si="6">B9</f>
        <v>用途</v>
      </c>
      <c r="R9" s="770" t="s">
        <v>17</v>
      </c>
      <c r="S9" s="771">
        <f t="shared" si="0"/>
        <v>98</v>
      </c>
      <c r="T9" s="770" t="s">
        <v>17</v>
      </c>
      <c r="U9" s="771">
        <f t="shared" si="1"/>
        <v>98</v>
      </c>
      <c r="V9" s="770" t="s">
        <v>17</v>
      </c>
      <c r="W9" s="771">
        <f t="shared" si="2"/>
        <v>98</v>
      </c>
      <c r="X9" s="772"/>
      <c r="Y9" s="3032" t="s">
        <v>2545</v>
      </c>
      <c r="Z9" s="55" t="str">
        <f t="shared" ref="Z9:Z15" si="7">Q9</f>
        <v>用途</v>
      </c>
      <c r="AA9" s="773">
        <f t="shared" si="3"/>
        <v>1.0204081632653061</v>
      </c>
      <c r="AB9" s="773">
        <f t="shared" si="4"/>
        <v>1.0204081632653061</v>
      </c>
      <c r="AC9" s="773">
        <f t="shared" si="5"/>
        <v>1.0204081632653061</v>
      </c>
    </row>
    <row r="10" spans="1:30" s="427" customFormat="1" ht="28.5">
      <c r="A10" s="421"/>
      <c r="B10" s="422" t="s">
        <v>2546</v>
      </c>
      <c r="C10" s="432" t="str">
        <f>项目基本情况!F16</f>
        <v>商业、地下商业32.6，车库42.6</v>
      </c>
      <c r="D10" s="136">
        <v>100</v>
      </c>
      <c r="E10" s="465" t="s">
        <v>3164</v>
      </c>
      <c r="F10" s="136">
        <f>ROUND(100/'数据-取费表'!G16,0)</f>
        <v>107</v>
      </c>
      <c r="G10" s="463" t="s">
        <v>3164</v>
      </c>
      <c r="H10" s="136">
        <f>ROUND(100/'数据-取费表'!G16,0)</f>
        <v>107</v>
      </c>
      <c r="I10" s="463" t="s">
        <v>3164</v>
      </c>
      <c r="J10" s="136">
        <f>ROUND(100/'数据-取费表'!G16,0)</f>
        <v>107</v>
      </c>
      <c r="K10" s="672"/>
      <c r="L10" s="1138"/>
      <c r="M10" s="1139"/>
      <c r="N10" s="1139"/>
      <c r="O10" s="1140"/>
      <c r="P10" s="3173"/>
      <c r="Q10" s="1797" t="str">
        <f t="shared" si="6"/>
        <v>土地使用年限（年）</v>
      </c>
      <c r="R10" s="770" t="s">
        <v>17</v>
      </c>
      <c r="S10" s="771">
        <f t="shared" si="0"/>
        <v>107</v>
      </c>
      <c r="T10" s="770" t="s">
        <v>17</v>
      </c>
      <c r="U10" s="771">
        <f t="shared" si="1"/>
        <v>107</v>
      </c>
      <c r="V10" s="770" t="s">
        <v>17</v>
      </c>
      <c r="W10" s="771">
        <f t="shared" si="2"/>
        <v>107</v>
      </c>
      <c r="X10" s="772"/>
      <c r="Y10" s="3032"/>
      <c r="Z10" s="55" t="str">
        <f t="shared" si="7"/>
        <v>土地使用年限（年）</v>
      </c>
      <c r="AA10" s="773">
        <f t="shared" si="3"/>
        <v>0.93457943925233644</v>
      </c>
      <c r="AB10" s="773">
        <f t="shared" si="4"/>
        <v>0.93457943925233644</v>
      </c>
      <c r="AC10" s="773">
        <f t="shared" si="5"/>
        <v>0.93457943925233644</v>
      </c>
    </row>
    <row r="11" spans="1:30" ht="15">
      <c r="A11" s="428"/>
      <c r="B11" s="422" t="s">
        <v>2547</v>
      </c>
      <c r="C11" s="429">
        <f>'数据-汇总表'!I4</f>
        <v>2.27</v>
      </c>
      <c r="D11" s="136">
        <v>100</v>
      </c>
      <c r="E11" s="429">
        <f>土地案例!F4</f>
        <v>2.5</v>
      </c>
      <c r="F11" s="136">
        <f>LOOKUP(E11,80:80,81:81)-LOOKUP(C11,80:80,81:81)+100</f>
        <v>100</v>
      </c>
      <c r="G11" s="430">
        <f>土地案例!F7</f>
        <v>1.5</v>
      </c>
      <c r="H11" s="136">
        <f>LOOKUP(G11,80:80,81:81)-LOOKUP(C11,80:80,81:81)+100</f>
        <v>105</v>
      </c>
      <c r="I11" s="429">
        <f>土地案例!F10</f>
        <v>1.8</v>
      </c>
      <c r="J11" s="136">
        <f>LOOKUP(I11,80:80,81:81)-LOOKUP(C11,80:80,81:81)+100</f>
        <v>105</v>
      </c>
      <c r="K11" s="673">
        <v>5</v>
      </c>
      <c r="L11" s="1141"/>
      <c r="M11" s="1134"/>
      <c r="N11" s="1134"/>
      <c r="O11" s="1142"/>
      <c r="P11" s="3173"/>
      <c r="Q11" s="1797" t="str">
        <f t="shared" si="6"/>
        <v>容积率</v>
      </c>
      <c r="R11" s="770" t="s">
        <v>17</v>
      </c>
      <c r="S11" s="771">
        <f t="shared" si="0"/>
        <v>100</v>
      </c>
      <c r="T11" s="770" t="s">
        <v>17</v>
      </c>
      <c r="U11" s="771">
        <f t="shared" si="1"/>
        <v>105</v>
      </c>
      <c r="V11" s="770" t="s">
        <v>17</v>
      </c>
      <c r="W11" s="771">
        <f t="shared" si="2"/>
        <v>105</v>
      </c>
      <c r="X11" s="772"/>
      <c r="Y11" s="3032"/>
      <c r="Z11" s="55" t="str">
        <f t="shared" si="7"/>
        <v>容积率</v>
      </c>
      <c r="AA11" s="773">
        <f t="shared" si="3"/>
        <v>1</v>
      </c>
      <c r="AB11" s="773">
        <f t="shared" si="4"/>
        <v>0.95238095238095233</v>
      </c>
      <c r="AC11" s="773">
        <f t="shared" si="5"/>
        <v>0.95238095238095233</v>
      </c>
    </row>
    <row r="12" spans="1:30" s="117" customFormat="1" ht="15" hidden="1">
      <c r="A12" s="431"/>
      <c r="B12" s="2602"/>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3"/>
      <c r="Q12" s="1797">
        <f t="shared" si="6"/>
        <v>0</v>
      </c>
      <c r="R12" s="770" t="s">
        <v>17</v>
      </c>
      <c r="S12" s="771">
        <f t="shared" si="0"/>
        <v>100</v>
      </c>
      <c r="T12" s="770" t="s">
        <v>17</v>
      </c>
      <c r="U12" s="771">
        <f t="shared" si="1"/>
        <v>100</v>
      </c>
      <c r="V12" s="770" t="s">
        <v>17</v>
      </c>
      <c r="W12" s="771">
        <f t="shared" si="2"/>
        <v>100</v>
      </c>
      <c r="X12" s="772"/>
      <c r="Y12" s="3032"/>
      <c r="Z12" s="55">
        <f t="shared" si="7"/>
        <v>0</v>
      </c>
      <c r="AA12" s="773">
        <f>D12/F12</f>
        <v>1</v>
      </c>
      <c r="AB12" s="773">
        <f>D12/H12</f>
        <v>1</v>
      </c>
      <c r="AC12" s="773">
        <f>D12/J12</f>
        <v>1</v>
      </c>
    </row>
    <row r="13" spans="1:30" ht="15" hidden="1">
      <c r="A13" s="428"/>
      <c r="B13" s="2602"/>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3"/>
      <c r="Q13" s="1797">
        <f t="shared" si="6"/>
        <v>0</v>
      </c>
      <c r="R13" s="770" t="s">
        <v>17</v>
      </c>
      <c r="S13" s="771">
        <f t="shared" si="0"/>
        <v>100</v>
      </c>
      <c r="T13" s="770" t="s">
        <v>17</v>
      </c>
      <c r="U13" s="771">
        <f t="shared" si="1"/>
        <v>100</v>
      </c>
      <c r="V13" s="770" t="s">
        <v>17</v>
      </c>
      <c r="W13" s="771">
        <f t="shared" si="2"/>
        <v>100</v>
      </c>
      <c r="X13" s="772"/>
      <c r="Y13" s="3032"/>
      <c r="Z13" s="55">
        <f t="shared" si="7"/>
        <v>0</v>
      </c>
      <c r="AA13" s="773">
        <f>D13/F13</f>
        <v>1</v>
      </c>
      <c r="AB13" s="773">
        <f>D13/H13</f>
        <v>1</v>
      </c>
      <c r="AC13" s="773">
        <f>D13/J13</f>
        <v>1</v>
      </c>
    </row>
    <row r="14" spans="1:30" ht="15.75" hidden="1" thickBot="1">
      <c r="A14" s="436"/>
      <c r="B14" s="2604"/>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3"/>
      <c r="Q14" s="1797">
        <f t="shared" si="6"/>
        <v>0</v>
      </c>
      <c r="R14" s="770" t="s">
        <v>17</v>
      </c>
      <c r="S14" s="771">
        <f t="shared" si="0"/>
        <v>100</v>
      </c>
      <c r="T14" s="770" t="s">
        <v>17</v>
      </c>
      <c r="U14" s="771">
        <f t="shared" si="1"/>
        <v>100</v>
      </c>
      <c r="V14" s="770" t="s">
        <v>17</v>
      </c>
      <c r="W14" s="771">
        <f t="shared" si="2"/>
        <v>100</v>
      </c>
      <c r="X14" s="772"/>
      <c r="Y14" s="3032"/>
      <c r="Z14" s="55">
        <f t="shared" si="7"/>
        <v>0</v>
      </c>
      <c r="AA14" s="773">
        <f>D14/F14</f>
        <v>1</v>
      </c>
      <c r="AB14" s="773">
        <f>D14/H14</f>
        <v>1</v>
      </c>
      <c r="AC14" s="773">
        <f>D14/J14</f>
        <v>1</v>
      </c>
    </row>
    <row r="15" spans="1:30" ht="15" hidden="1">
      <c r="A15" s="440" t="s">
        <v>2548</v>
      </c>
      <c r="B15" s="69" t="s">
        <v>2086</v>
      </c>
      <c r="C15" s="2605">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8" t="s">
        <v>2549</v>
      </c>
      <c r="Q15" s="1812" t="str">
        <f t="shared" si="6"/>
        <v>居住社区成熟度</v>
      </c>
      <c r="R15" s="774" t="s">
        <v>17</v>
      </c>
      <c r="S15" s="775">
        <f t="shared" si="0"/>
        <v>100</v>
      </c>
      <c r="T15" s="774" t="s">
        <v>17</v>
      </c>
      <c r="U15" s="775">
        <f t="shared" si="1"/>
        <v>100</v>
      </c>
      <c r="V15" s="774" t="s">
        <v>17</v>
      </c>
      <c r="W15" s="775">
        <f t="shared" si="2"/>
        <v>100</v>
      </c>
      <c r="X15" s="1815"/>
      <c r="Y15" s="3188" t="s">
        <v>2549</v>
      </c>
      <c r="Z15" s="1816" t="str">
        <f t="shared" si="7"/>
        <v>居住社区成熟度</v>
      </c>
      <c r="AA15" s="1813">
        <f t="shared" si="3"/>
        <v>1</v>
      </c>
      <c r="AB15" s="1813">
        <f t="shared" si="4"/>
        <v>1</v>
      </c>
      <c r="AC15" s="1813">
        <f t="shared" si="5"/>
        <v>1</v>
      </c>
    </row>
    <row r="16" spans="1:30" ht="15" hidden="1">
      <c r="A16" s="428"/>
      <c r="B16" s="446"/>
      <c r="C16" s="447"/>
      <c r="D16" s="448"/>
      <c r="E16" s="2607"/>
      <c r="F16" s="448"/>
      <c r="G16" s="2607"/>
      <c r="H16" s="450"/>
      <c r="I16" s="2606"/>
      <c r="J16" s="448"/>
      <c r="K16" s="672"/>
      <c r="L16" s="1143"/>
      <c r="M16" s="1134"/>
      <c r="N16" s="1134"/>
      <c r="O16" s="1142"/>
      <c r="P16" s="3189"/>
      <c r="Q16" s="1812"/>
      <c r="R16" s="774"/>
      <c r="S16" s="775"/>
      <c r="T16" s="774"/>
      <c r="U16" s="775"/>
      <c r="V16" s="774"/>
      <c r="W16" s="775"/>
      <c r="X16" s="1815"/>
      <c r="Y16" s="3189"/>
      <c r="Z16" s="1816"/>
      <c r="AA16" s="1813">
        <v>1</v>
      </c>
      <c r="AB16" s="1813">
        <v>1</v>
      </c>
      <c r="AC16" s="1813">
        <v>1</v>
      </c>
    </row>
    <row r="17" spans="1:29" ht="99.75">
      <c r="A17" s="428"/>
      <c r="B17" s="451" t="s">
        <v>2642</v>
      </c>
      <c r="C17" s="2666" t="str">
        <f>估价对象房地状况!C16</f>
        <v>估价对象位于大兴区生物医药基地地区，周边商业氛围成熟度一般，人流量较大，商业繁华度一般。</v>
      </c>
      <c r="D17" s="450">
        <v>100</v>
      </c>
      <c r="E17" s="452"/>
      <c r="F17" s="450">
        <f>SUMIF(90:90,E18,91:91)-SUMIF(90:90,C18,91:91)+100</f>
        <v>98</v>
      </c>
      <c r="G17" s="452"/>
      <c r="H17" s="455">
        <f>SUMIF(90:90,G18,91:91)-SUMIF(90:90,C18,91:91)+100</f>
        <v>98</v>
      </c>
      <c r="I17" s="454"/>
      <c r="J17" s="455">
        <f>SUMIF(90:90,I18,91:91)-SUMIF(90:90,C18,91:91)+100</f>
        <v>98</v>
      </c>
      <c r="K17" s="673">
        <v>2</v>
      </c>
      <c r="L17" s="1143"/>
      <c r="M17" s="1134"/>
      <c r="N17" s="1134"/>
      <c r="O17" s="1142"/>
      <c r="P17" s="3189"/>
      <c r="Q17" s="1812" t="str">
        <f>B17</f>
        <v>商业繁华度</v>
      </c>
      <c r="R17" s="774" t="s">
        <v>17</v>
      </c>
      <c r="S17" s="775">
        <f>F17</f>
        <v>98</v>
      </c>
      <c r="T17" s="774" t="s">
        <v>17</v>
      </c>
      <c r="U17" s="775">
        <f>H17</f>
        <v>98</v>
      </c>
      <c r="V17" s="774" t="s">
        <v>17</v>
      </c>
      <c r="W17" s="775">
        <f>J17</f>
        <v>98</v>
      </c>
      <c r="X17" s="1815"/>
      <c r="Y17" s="3189"/>
      <c r="Z17" s="1816" t="str">
        <f>Q17</f>
        <v>商业繁华度</v>
      </c>
      <c r="AA17" s="1813">
        <f t="shared" si="3"/>
        <v>1.0204081632653061</v>
      </c>
      <c r="AB17" s="1813">
        <f t="shared" si="4"/>
        <v>1.0204081632653061</v>
      </c>
      <c r="AC17" s="1813">
        <f t="shared" si="5"/>
        <v>1.0204081632653061</v>
      </c>
    </row>
    <row r="18" spans="1:29" ht="15">
      <c r="A18" s="428"/>
      <c r="B18" s="456"/>
      <c r="C18" s="2610" t="s">
        <v>3145</v>
      </c>
      <c r="D18" s="450"/>
      <c r="E18" s="2612" t="s">
        <v>3157</v>
      </c>
      <c r="F18" s="450"/>
      <c r="G18" s="2612" t="s">
        <v>3157</v>
      </c>
      <c r="H18" s="448"/>
      <c r="I18" s="2611" t="s">
        <v>3157</v>
      </c>
      <c r="J18" s="448"/>
      <c r="K18" s="672"/>
      <c r="L18" s="1143"/>
      <c r="M18" s="1134"/>
      <c r="N18" s="1134"/>
      <c r="O18" s="1142"/>
      <c r="P18" s="3189"/>
      <c r="Q18" s="1812"/>
      <c r="R18" s="774"/>
      <c r="S18" s="775"/>
      <c r="T18" s="774"/>
      <c r="U18" s="775"/>
      <c r="V18" s="774"/>
      <c r="W18" s="775"/>
      <c r="X18" s="1815"/>
      <c r="Y18" s="3189"/>
      <c r="Z18" s="1816"/>
      <c r="AA18" s="1813">
        <v>1</v>
      </c>
      <c r="AB18" s="1813">
        <v>1</v>
      </c>
      <c r="AC18" s="1813">
        <v>1</v>
      </c>
    </row>
    <row r="19" spans="1:29" ht="15" hidden="1">
      <c r="A19" s="428"/>
      <c r="B19" s="451" t="s">
        <v>2676</v>
      </c>
      <c r="C19" s="2666">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9"/>
      <c r="Q19" s="1812" t="str">
        <f>B19</f>
        <v>办公集聚程度</v>
      </c>
      <c r="R19" s="774" t="s">
        <v>17</v>
      </c>
      <c r="S19" s="775">
        <f>F19</f>
        <v>100</v>
      </c>
      <c r="T19" s="774" t="s">
        <v>17</v>
      </c>
      <c r="U19" s="775">
        <f>H19</f>
        <v>100</v>
      </c>
      <c r="V19" s="774" t="s">
        <v>17</v>
      </c>
      <c r="W19" s="775">
        <f>J19</f>
        <v>100</v>
      </c>
      <c r="X19" s="1815"/>
      <c r="Y19" s="3189"/>
      <c r="Z19" s="1816" t="str">
        <f>Q19</f>
        <v>办公集聚程度</v>
      </c>
      <c r="AA19" s="1813">
        <f t="shared" si="3"/>
        <v>1</v>
      </c>
      <c r="AB19" s="1813">
        <f t="shared" si="4"/>
        <v>1</v>
      </c>
      <c r="AC19" s="1813">
        <f t="shared" si="5"/>
        <v>1</v>
      </c>
    </row>
    <row r="20" spans="1:29" ht="15" hidden="1">
      <c r="A20" s="428"/>
      <c r="B20" s="456"/>
      <c r="C20" s="447"/>
      <c r="D20" s="448"/>
      <c r="E20" s="2607"/>
      <c r="F20" s="448"/>
      <c r="G20" s="2607"/>
      <c r="H20" s="448"/>
      <c r="I20" s="2606"/>
      <c r="J20" s="448"/>
      <c r="K20" s="672"/>
      <c r="L20" s="1143"/>
      <c r="M20" s="1134"/>
      <c r="N20" s="1134"/>
      <c r="O20" s="1142"/>
      <c r="P20" s="3189"/>
      <c r="Q20" s="1812"/>
      <c r="R20" s="774"/>
      <c r="S20" s="775"/>
      <c r="T20" s="774"/>
      <c r="U20" s="775"/>
      <c r="V20" s="774"/>
      <c r="W20" s="775"/>
      <c r="X20" s="1815"/>
      <c r="Y20" s="3189"/>
      <c r="Z20" s="1816"/>
      <c r="AA20" s="1813">
        <v>1</v>
      </c>
      <c r="AB20" s="1813">
        <v>1</v>
      </c>
      <c r="AC20" s="1813">
        <v>1</v>
      </c>
    </row>
    <row r="21" spans="1:29" ht="85.5">
      <c r="A21" s="428"/>
      <c r="B21" s="451" t="s">
        <v>2698</v>
      </c>
      <c r="C21" s="2609" t="str">
        <f>估价对象房地状况!C18</f>
        <v>估价对象周边路网密集、公共交通通达情况较好、停车便捷程度好，综合评价交通便捷度较好。</v>
      </c>
      <c r="D21" s="450">
        <v>100</v>
      </c>
      <c r="E21" s="452"/>
      <c r="F21" s="455">
        <f>SUMIF(94:94,E22,95:95)-SUMIF(94:94,C22,95:95)+100</f>
        <v>98</v>
      </c>
      <c r="G21" s="452"/>
      <c r="H21" s="450">
        <f>SUMIF(94:94,G22,95:95)-SUMIF(94:94,C22,95:95)+100</f>
        <v>98</v>
      </c>
      <c r="I21" s="454"/>
      <c r="J21" s="450">
        <f>SUMIF(94:94,I22,95:95)-SUMIF(94:94,C22,95:95)+100</f>
        <v>98</v>
      </c>
      <c r="K21" s="673">
        <v>2</v>
      </c>
      <c r="L21" s="1143"/>
      <c r="M21" s="1134"/>
      <c r="N21" s="1134"/>
      <c r="O21" s="1142"/>
      <c r="P21" s="3189"/>
      <c r="Q21" s="1812" t="str">
        <f>B21</f>
        <v>交通便捷度</v>
      </c>
      <c r="R21" s="774" t="s">
        <v>17</v>
      </c>
      <c r="S21" s="775">
        <f>F21</f>
        <v>98</v>
      </c>
      <c r="T21" s="774" t="s">
        <v>17</v>
      </c>
      <c r="U21" s="775">
        <f>H21</f>
        <v>98</v>
      </c>
      <c r="V21" s="774" t="s">
        <v>17</v>
      </c>
      <c r="W21" s="775">
        <f>J21</f>
        <v>98</v>
      </c>
      <c r="X21" s="1815"/>
      <c r="Y21" s="3189"/>
      <c r="Z21" s="1816" t="str">
        <f>Q21</f>
        <v>交通便捷度</v>
      </c>
      <c r="AA21" s="1813">
        <f t="shared" si="3"/>
        <v>1.0204081632653061</v>
      </c>
      <c r="AB21" s="1813">
        <f t="shared" si="4"/>
        <v>1.0204081632653061</v>
      </c>
      <c r="AC21" s="1813">
        <f t="shared" si="5"/>
        <v>1.0204081632653061</v>
      </c>
    </row>
    <row r="22" spans="1:29" ht="15">
      <c r="A22" s="428"/>
      <c r="B22" s="1387"/>
      <c r="C22" s="447" t="s">
        <v>3146</v>
      </c>
      <c r="D22" s="450"/>
      <c r="E22" s="2607" t="s">
        <v>3145</v>
      </c>
      <c r="F22" s="448"/>
      <c r="G22" s="2607" t="s">
        <v>3145</v>
      </c>
      <c r="H22" s="448"/>
      <c r="I22" s="2606" t="s">
        <v>3145</v>
      </c>
      <c r="J22" s="448"/>
      <c r="K22" s="672"/>
      <c r="L22" s="1143"/>
      <c r="M22" s="1134"/>
      <c r="N22" s="1134"/>
      <c r="O22" s="1142"/>
      <c r="P22" s="3189"/>
      <c r="Q22" s="1812"/>
      <c r="R22" s="774"/>
      <c r="S22" s="775"/>
      <c r="T22" s="774"/>
      <c r="U22" s="775"/>
      <c r="V22" s="774"/>
      <c r="W22" s="775"/>
      <c r="X22" s="1815"/>
      <c r="Y22" s="3189"/>
      <c r="Z22" s="1816"/>
      <c r="AA22" s="1813">
        <v>1</v>
      </c>
      <c r="AB22" s="1813">
        <v>1</v>
      </c>
      <c r="AC22" s="1813">
        <v>1</v>
      </c>
    </row>
    <row r="23" spans="1:29" ht="15">
      <c r="A23" s="404"/>
      <c r="B23" s="451" t="s">
        <v>2736</v>
      </c>
      <c r="C23" s="1392" t="str">
        <f>估价对象房地状况!C19</f>
        <v>一致</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89"/>
      <c r="Q23" s="1812" t="str">
        <f t="shared" ref="Q23:Q37" si="8">B23</f>
        <v>区域土地利用方向</v>
      </c>
      <c r="R23" s="774" t="s">
        <v>17</v>
      </c>
      <c r="S23" s="775">
        <f>F23</f>
        <v>100</v>
      </c>
      <c r="T23" s="774" t="s">
        <v>17</v>
      </c>
      <c r="U23" s="775">
        <f>H23</f>
        <v>100</v>
      </c>
      <c r="V23" s="774" t="s">
        <v>17</v>
      </c>
      <c r="W23" s="775">
        <f>J23</f>
        <v>100</v>
      </c>
      <c r="X23" s="1815"/>
      <c r="Y23" s="3189"/>
      <c r="Z23" s="1816" t="str">
        <f>Q23</f>
        <v>区域土地利用方向</v>
      </c>
      <c r="AA23" s="1813">
        <f t="shared" si="3"/>
        <v>1</v>
      </c>
      <c r="AB23" s="1813">
        <f t="shared" si="4"/>
        <v>1</v>
      </c>
      <c r="AC23" s="1813">
        <f t="shared" si="5"/>
        <v>1</v>
      </c>
    </row>
    <row r="24" spans="1:29" ht="15">
      <c r="A24" s="404"/>
      <c r="B24" s="456"/>
      <c r="C24" s="616" t="s">
        <v>3145</v>
      </c>
      <c r="D24" s="448"/>
      <c r="E24" s="2607" t="s">
        <v>3145</v>
      </c>
      <c r="F24" s="448"/>
      <c r="G24" s="2606" t="s">
        <v>3145</v>
      </c>
      <c r="H24" s="448"/>
      <c r="I24" s="2606" t="s">
        <v>3145</v>
      </c>
      <c r="J24" s="448"/>
      <c r="K24" s="812"/>
      <c r="L24" s="1143"/>
      <c r="M24" s="1134"/>
      <c r="N24" s="1134"/>
      <c r="O24" s="1142"/>
      <c r="P24" s="3189"/>
      <c r="Q24" s="1812"/>
      <c r="R24" s="774"/>
      <c r="S24" s="775"/>
      <c r="T24" s="774"/>
      <c r="U24" s="775"/>
      <c r="V24" s="774"/>
      <c r="W24" s="775"/>
      <c r="X24" s="1815"/>
      <c r="Y24" s="3189"/>
      <c r="Z24" s="1816"/>
      <c r="AA24" s="1813"/>
      <c r="AB24" s="1813"/>
      <c r="AC24" s="1813"/>
    </row>
    <row r="25" spans="1:29" ht="114">
      <c r="A25" s="404"/>
      <c r="B25" s="1387" t="s">
        <v>2737</v>
      </c>
      <c r="C25" s="2666" t="str">
        <f>估价对象房地状况!C20</f>
        <v>估价对象所处区域自然环境及人文环境：有念坛公园、绿化条件一般，缺乏图书馆、博物馆等设施；综合评价环境状况一般。</v>
      </c>
      <c r="D25" s="450">
        <v>100</v>
      </c>
      <c r="E25" s="452"/>
      <c r="F25" s="450">
        <f>SUMIF(98:98,E26,99:99)-SUMIF(98:98,C26,99:99)+100</f>
        <v>98</v>
      </c>
      <c r="G25" s="452"/>
      <c r="H25" s="450">
        <f>SUMIF(98:98,G26,99:99)-SUMIF(98:98,C26,99:99)+100</f>
        <v>98</v>
      </c>
      <c r="I25" s="454"/>
      <c r="J25" s="450">
        <f>SUMIF(98:98,I26,99:99)-SUMIF(98:98,C26,99:99)+100</f>
        <v>98</v>
      </c>
      <c r="K25" s="673">
        <v>2</v>
      </c>
      <c r="L25" s="1143"/>
      <c r="M25" s="1134"/>
      <c r="N25" s="1134"/>
      <c r="O25" s="1142"/>
      <c r="P25" s="3189"/>
      <c r="Q25" s="1812" t="str">
        <f t="shared" si="8"/>
        <v>自然及人文环境状况</v>
      </c>
      <c r="R25" s="774" t="s">
        <v>17</v>
      </c>
      <c r="S25" s="775">
        <f>F25</f>
        <v>98</v>
      </c>
      <c r="T25" s="774" t="s">
        <v>17</v>
      </c>
      <c r="U25" s="775">
        <f>H25</f>
        <v>98</v>
      </c>
      <c r="V25" s="774" t="s">
        <v>17</v>
      </c>
      <c r="W25" s="775">
        <f>J25</f>
        <v>98</v>
      </c>
      <c r="X25" s="1815"/>
      <c r="Y25" s="3189"/>
      <c r="Z25" s="1816" t="str">
        <f>Q25</f>
        <v>自然及人文环境状况</v>
      </c>
      <c r="AA25" s="1813">
        <f t="shared" si="3"/>
        <v>1.0204081632653061</v>
      </c>
      <c r="AB25" s="1813">
        <f t="shared" si="4"/>
        <v>1.0204081632653061</v>
      </c>
      <c r="AC25" s="1813">
        <f t="shared" si="5"/>
        <v>1.0204081632653061</v>
      </c>
    </row>
    <row r="26" spans="1:29" ht="15">
      <c r="A26" s="404"/>
      <c r="B26" s="456"/>
      <c r="C26" s="447" t="s">
        <v>3145</v>
      </c>
      <c r="D26" s="448"/>
      <c r="E26" s="2613" t="s">
        <v>3157</v>
      </c>
      <c r="F26" s="448"/>
      <c r="G26" s="2613" t="s">
        <v>3157</v>
      </c>
      <c r="H26" s="448"/>
      <c r="I26" s="447" t="s">
        <v>3157</v>
      </c>
      <c r="J26" s="448"/>
      <c r="K26" s="672"/>
      <c r="L26" s="1143"/>
      <c r="M26" s="1134"/>
      <c r="N26" s="1134"/>
      <c r="O26" s="1142"/>
      <c r="P26" s="3189"/>
      <c r="Q26" s="1812"/>
      <c r="R26" s="774"/>
      <c r="S26" s="775"/>
      <c r="T26" s="774"/>
      <c r="U26" s="775"/>
      <c r="V26" s="774"/>
      <c r="W26" s="775"/>
      <c r="X26" s="1815"/>
      <c r="Y26" s="3189"/>
      <c r="Z26" s="1816"/>
      <c r="AA26" s="1813">
        <v>1</v>
      </c>
      <c r="AB26" s="1813">
        <v>1</v>
      </c>
      <c r="AC26" s="1813">
        <v>1</v>
      </c>
    </row>
    <row r="27" spans="1:29" s="117" customFormat="1" ht="114">
      <c r="A27" s="649"/>
      <c r="B27" s="1387" t="s">
        <v>2643</v>
      </c>
      <c r="C27" s="2609" t="str">
        <f>估价对象房地状况!C21</f>
        <v>估价对象所在区域有北京市农村商业银行(北臧村支行)、北京市大兴区向阳希望学校、华联超市等公共配套设施齐备情况较好。</v>
      </c>
      <c r="D27" s="450">
        <v>100</v>
      </c>
      <c r="E27" s="452"/>
      <c r="F27" s="450">
        <f>SUMIF(100:100,E28,101:101)-SUMIF(100:100,C28,101:101)+100</f>
        <v>98</v>
      </c>
      <c r="G27" s="452"/>
      <c r="H27" s="450">
        <f>SUMIF(100:100,G28,101:101)-SUMIF(100:100,C28,101:101)+100</f>
        <v>98</v>
      </c>
      <c r="I27" s="454"/>
      <c r="J27" s="450">
        <f>SUMIF(100:100,I28,101:101)-SUMIF(100:100,C28,101:101)+100</f>
        <v>98</v>
      </c>
      <c r="K27" s="673">
        <v>2</v>
      </c>
      <c r="L27" s="1135"/>
      <c r="M27" s="1136"/>
      <c r="N27" s="1136"/>
      <c r="O27" s="1137"/>
      <c r="P27" s="3189"/>
      <c r="Q27" s="1797" t="str">
        <f t="shared" si="8"/>
        <v>公共配套设施</v>
      </c>
      <c r="R27" s="770" t="s">
        <v>17</v>
      </c>
      <c r="S27" s="771">
        <f>F27</f>
        <v>98</v>
      </c>
      <c r="T27" s="770" t="s">
        <v>17</v>
      </c>
      <c r="U27" s="771">
        <f>H27</f>
        <v>98</v>
      </c>
      <c r="V27" s="770" t="s">
        <v>17</v>
      </c>
      <c r="W27" s="771">
        <f>J27</f>
        <v>98</v>
      </c>
      <c r="X27" s="772"/>
      <c r="Y27" s="3189"/>
      <c r="Z27" s="55" t="str">
        <f>Q27</f>
        <v>公共配套设施</v>
      </c>
      <c r="AA27" s="1813">
        <f>D27/F27</f>
        <v>1.0204081632653061</v>
      </c>
      <c r="AB27" s="1813">
        <f>D27/H27</f>
        <v>1.0204081632653061</v>
      </c>
      <c r="AC27" s="1813">
        <f>D27/J27</f>
        <v>1.0204081632653061</v>
      </c>
    </row>
    <row r="28" spans="1:29" s="117" customFormat="1" ht="15">
      <c r="A28" s="649"/>
      <c r="B28" s="456"/>
      <c r="C28" s="2702" t="s">
        <v>3146</v>
      </c>
      <c r="D28" s="448"/>
      <c r="E28" s="2613" t="s">
        <v>3145</v>
      </c>
      <c r="F28" s="448"/>
      <c r="G28" s="2613" t="s">
        <v>3145</v>
      </c>
      <c r="H28" s="448"/>
      <c r="I28" s="447" t="s">
        <v>3145</v>
      </c>
      <c r="J28" s="448"/>
      <c r="K28" s="672"/>
      <c r="L28" s="1135"/>
      <c r="M28" s="1136"/>
      <c r="N28" s="1136"/>
      <c r="O28" s="1137"/>
      <c r="P28" s="3189"/>
      <c r="Q28" s="1797"/>
      <c r="R28" s="770"/>
      <c r="S28" s="771"/>
      <c r="T28" s="770"/>
      <c r="U28" s="771"/>
      <c r="V28" s="770"/>
      <c r="W28" s="771"/>
      <c r="X28" s="772"/>
      <c r="Y28" s="3189"/>
      <c r="Z28" s="55"/>
      <c r="AA28" s="1813">
        <v>1</v>
      </c>
      <c r="AB28" s="1813">
        <v>1</v>
      </c>
      <c r="AC28" s="1813">
        <v>1</v>
      </c>
    </row>
    <row r="29" spans="1:29" s="117" customFormat="1" ht="15">
      <c r="A29" s="649"/>
      <c r="B29" s="1387" t="s">
        <v>2644</v>
      </c>
      <c r="C29" s="2609"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189"/>
      <c r="Q29" s="1797" t="str">
        <f t="shared" ref="Q29" si="9">B29</f>
        <v>基础设施水平</v>
      </c>
      <c r="R29" s="770" t="s">
        <v>17</v>
      </c>
      <c r="S29" s="771">
        <f>F29</f>
        <v>100</v>
      </c>
      <c r="T29" s="770" t="s">
        <v>17</v>
      </c>
      <c r="U29" s="771">
        <f>H29</f>
        <v>100</v>
      </c>
      <c r="V29" s="770" t="s">
        <v>17</v>
      </c>
      <c r="W29" s="771">
        <f>J29</f>
        <v>100</v>
      </c>
      <c r="X29" s="772"/>
      <c r="Y29" s="3189"/>
      <c r="Z29" s="55" t="str">
        <f>Q29</f>
        <v>基础设施水平</v>
      </c>
      <c r="AA29" s="1813">
        <f>D29/F29</f>
        <v>1</v>
      </c>
      <c r="AB29" s="1813">
        <f>D29/H29</f>
        <v>1</v>
      </c>
      <c r="AC29" s="1813">
        <f>D29/J29</f>
        <v>1</v>
      </c>
    </row>
    <row r="30" spans="1:29" s="117" customFormat="1" ht="15">
      <c r="A30" s="649"/>
      <c r="B30" s="456"/>
      <c r="C30" s="2702" t="s">
        <v>3147</v>
      </c>
      <c r="D30" s="448"/>
      <c r="E30" s="2703" t="s">
        <v>3147</v>
      </c>
      <c r="F30" s="448"/>
      <c r="G30" s="2703" t="s">
        <v>3147</v>
      </c>
      <c r="H30" s="448"/>
      <c r="I30" s="2703" t="s">
        <v>3147</v>
      </c>
      <c r="J30" s="448"/>
      <c r="K30" s="672"/>
      <c r="L30" s="1135"/>
      <c r="M30" s="1136"/>
      <c r="N30" s="1136"/>
      <c r="O30" s="1137"/>
      <c r="P30" s="3189"/>
      <c r="Q30" s="1797"/>
      <c r="R30" s="770"/>
      <c r="S30" s="771"/>
      <c r="T30" s="770"/>
      <c r="U30" s="771"/>
      <c r="V30" s="770"/>
      <c r="W30" s="771"/>
      <c r="X30" s="772"/>
      <c r="Y30" s="3189"/>
      <c r="Z30" s="55"/>
      <c r="AA30" s="1813">
        <v>1</v>
      </c>
      <c r="AB30" s="1813">
        <v>1</v>
      </c>
      <c r="AC30" s="1813">
        <v>1</v>
      </c>
    </row>
    <row r="31" spans="1:29" ht="15">
      <c r="A31" s="428"/>
      <c r="B31" s="456" t="s">
        <v>2645</v>
      </c>
      <c r="C31" s="616" t="s">
        <v>3172</v>
      </c>
      <c r="D31" s="435">
        <v>100</v>
      </c>
      <c r="E31" s="634" t="s">
        <v>3172</v>
      </c>
      <c r="F31" s="435">
        <f>SUMIF(104:104,E31,105:105)-SUMIF(104:104,C31,105:105)+100</f>
        <v>100</v>
      </c>
      <c r="G31" s="634" t="s">
        <v>3172</v>
      </c>
      <c r="H31" s="435">
        <f>SUMIF(104:104,G31,105:105)-SUMIF(104:104,C31,105:105)+100</f>
        <v>100</v>
      </c>
      <c r="I31" s="634" t="s">
        <v>3172</v>
      </c>
      <c r="J31" s="435">
        <f>SUMIF(104:104,I31,105:105)-SUMIF(104:104,C31,105:105)+100</f>
        <v>100</v>
      </c>
      <c r="K31" s="673">
        <v>2</v>
      </c>
      <c r="L31" s="1143"/>
      <c r="M31" s="1134"/>
      <c r="N31" s="1134"/>
      <c r="O31" s="1142"/>
      <c r="P31" s="3189"/>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89"/>
      <c r="Z31" s="1816" t="str">
        <f t="shared" ref="Z31:Z45" si="13">Q31</f>
        <v>临街状况</v>
      </c>
      <c r="AA31" s="1813">
        <f t="shared" si="3"/>
        <v>1</v>
      </c>
      <c r="AB31" s="1813">
        <f t="shared" si="4"/>
        <v>1</v>
      </c>
      <c r="AC31" s="1813">
        <f t="shared" si="5"/>
        <v>1</v>
      </c>
    </row>
    <row r="32" spans="1:29" ht="27.75">
      <c r="A32" s="428"/>
      <c r="B32" s="1387" t="s">
        <v>2680</v>
      </c>
      <c r="C32" s="454" t="s">
        <v>3166</v>
      </c>
      <c r="D32" s="450">
        <v>100</v>
      </c>
      <c r="E32" s="452"/>
      <c r="F32" s="450">
        <f>SUMIF(106:106,E33,107:107)-SUMIF(106:106,C33,107:107)+100</f>
        <v>100</v>
      </c>
      <c r="G32" s="452"/>
      <c r="H32" s="450">
        <f>SUMIF(106:106,G33,107:107)-SUMIF(106:106,C33,107:107)+100</f>
        <v>98</v>
      </c>
      <c r="I32" s="454"/>
      <c r="J32" s="450">
        <f>SUMIF(106:106,I33,107:107)-SUMIF(106:106,C33,107:107)+100</f>
        <v>100</v>
      </c>
      <c r="K32" s="673">
        <v>2</v>
      </c>
      <c r="L32" s="1143"/>
      <c r="M32" s="1134"/>
      <c r="N32" s="1134"/>
      <c r="O32" s="1142"/>
      <c r="P32" s="3189"/>
      <c r="Q32" s="1812" t="str">
        <f t="shared" si="8"/>
        <v>毗邻道路的类型与等级</v>
      </c>
      <c r="R32" s="774" t="s">
        <v>17</v>
      </c>
      <c r="S32" s="775">
        <f t="shared" si="10"/>
        <v>100</v>
      </c>
      <c r="T32" s="774" t="s">
        <v>17</v>
      </c>
      <c r="U32" s="775">
        <f t="shared" si="11"/>
        <v>98</v>
      </c>
      <c r="V32" s="774" t="s">
        <v>17</v>
      </c>
      <c r="W32" s="775">
        <f t="shared" si="12"/>
        <v>100</v>
      </c>
      <c r="X32" s="1815"/>
      <c r="Y32" s="3189"/>
      <c r="Z32" s="1816" t="str">
        <f t="shared" si="13"/>
        <v>毗邻道路的类型与等级</v>
      </c>
      <c r="AA32" s="1813">
        <f t="shared" si="3"/>
        <v>1</v>
      </c>
      <c r="AB32" s="1813">
        <f t="shared" si="4"/>
        <v>1.0204081632653061</v>
      </c>
      <c r="AC32" s="1813">
        <f t="shared" si="5"/>
        <v>1</v>
      </c>
    </row>
    <row r="33" spans="1:29" ht="15.75" thickBot="1">
      <c r="A33" s="428"/>
      <c r="B33" s="456"/>
      <c r="C33" s="447" t="s">
        <v>3150</v>
      </c>
      <c r="D33" s="448"/>
      <c r="E33" s="2613" t="s">
        <v>3150</v>
      </c>
      <c r="F33" s="448"/>
      <c r="G33" s="2613" t="s">
        <v>3152</v>
      </c>
      <c r="H33" s="448"/>
      <c r="I33" s="447" t="s">
        <v>3150</v>
      </c>
      <c r="J33" s="448"/>
      <c r="K33" s="613"/>
      <c r="L33" s="1143"/>
      <c r="M33" s="1134"/>
      <c r="N33" s="1134"/>
      <c r="O33" s="1142"/>
      <c r="P33" s="3189"/>
      <c r="Q33" s="1812"/>
      <c r="R33" s="774"/>
      <c r="S33" s="775"/>
      <c r="T33" s="774"/>
      <c r="U33" s="775"/>
      <c r="V33" s="774"/>
      <c r="W33" s="775"/>
      <c r="X33" s="1815"/>
      <c r="Y33" s="3189"/>
      <c r="Z33" s="1816"/>
      <c r="AA33" s="1813">
        <v>1</v>
      </c>
      <c r="AB33" s="1813">
        <v>1</v>
      </c>
      <c r="AC33" s="1813">
        <v>1</v>
      </c>
    </row>
    <row r="34" spans="1:29" ht="15" hidden="1">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9"/>
      <c r="Q34" s="1812" t="str">
        <f t="shared" si="8"/>
        <v>土地级别</v>
      </c>
      <c r="R34" s="774" t="s">
        <v>17</v>
      </c>
      <c r="S34" s="775">
        <f t="shared" si="10"/>
        <v>100</v>
      </c>
      <c r="T34" s="774" t="s">
        <v>17</v>
      </c>
      <c r="U34" s="775">
        <f t="shared" si="11"/>
        <v>100</v>
      </c>
      <c r="V34" s="774" t="s">
        <v>17</v>
      </c>
      <c r="W34" s="775">
        <f t="shared" si="12"/>
        <v>100</v>
      </c>
      <c r="X34" s="1815"/>
      <c r="Y34" s="3189"/>
      <c r="Z34" s="1816" t="str">
        <f t="shared" si="13"/>
        <v>土地级别</v>
      </c>
      <c r="AA34" s="1813">
        <f t="shared" si="3"/>
        <v>1</v>
      </c>
      <c r="AB34" s="1813">
        <f t="shared" si="4"/>
        <v>1</v>
      </c>
      <c r="AC34" s="1813">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9"/>
      <c r="Q35" s="1812">
        <f t="shared" si="8"/>
        <v>111</v>
      </c>
      <c r="R35" s="774" t="s">
        <v>17</v>
      </c>
      <c r="S35" s="775">
        <f t="shared" si="10"/>
        <v>100</v>
      </c>
      <c r="T35" s="774" t="s">
        <v>17</v>
      </c>
      <c r="U35" s="775">
        <f t="shared" si="11"/>
        <v>100</v>
      </c>
      <c r="V35" s="774" t="s">
        <v>17</v>
      </c>
      <c r="W35" s="775">
        <f t="shared" si="12"/>
        <v>100</v>
      </c>
      <c r="X35" s="1815"/>
      <c r="Y35" s="3189"/>
      <c r="Z35" s="1816">
        <f t="shared" si="13"/>
        <v>111</v>
      </c>
      <c r="AA35" s="1813">
        <f t="shared" si="3"/>
        <v>1</v>
      </c>
      <c r="AB35" s="1813">
        <f t="shared" si="4"/>
        <v>1</v>
      </c>
      <c r="AC35" s="1813">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90" t="s">
        <v>2554</v>
      </c>
      <c r="Q36" s="1812">
        <f t="shared" si="8"/>
        <v>111</v>
      </c>
      <c r="R36" s="774" t="s">
        <v>17</v>
      </c>
      <c r="S36" s="775">
        <f t="shared" si="10"/>
        <v>100</v>
      </c>
      <c r="T36" s="774" t="s">
        <v>17</v>
      </c>
      <c r="U36" s="775">
        <f t="shared" si="11"/>
        <v>100</v>
      </c>
      <c r="V36" s="774" t="s">
        <v>17</v>
      </c>
      <c r="W36" s="775">
        <f t="shared" si="12"/>
        <v>100</v>
      </c>
      <c r="X36" s="1815"/>
      <c r="Y36" s="3191" t="s">
        <v>2554</v>
      </c>
      <c r="Z36" s="1816">
        <f t="shared" si="13"/>
        <v>111</v>
      </c>
      <c r="AA36" s="1813">
        <f t="shared" si="3"/>
        <v>1</v>
      </c>
      <c r="AB36" s="1813">
        <f t="shared" si="4"/>
        <v>1</v>
      </c>
      <c r="AC36" s="1813">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1"/>
      <c r="Q37" s="1812">
        <f t="shared" si="8"/>
        <v>111</v>
      </c>
      <c r="R37" s="777" t="s">
        <v>17</v>
      </c>
      <c r="S37" s="778">
        <f t="shared" si="10"/>
        <v>100</v>
      </c>
      <c r="T37" s="777" t="s">
        <v>17</v>
      </c>
      <c r="U37" s="778">
        <f t="shared" si="11"/>
        <v>100</v>
      </c>
      <c r="V37" s="777" t="s">
        <v>17</v>
      </c>
      <c r="W37" s="778">
        <f t="shared" si="12"/>
        <v>100</v>
      </c>
      <c r="X37" s="779"/>
      <c r="Y37" s="3191"/>
      <c r="Z37" s="780">
        <f t="shared" si="13"/>
        <v>111</v>
      </c>
      <c r="AA37" s="1813">
        <f t="shared" si="3"/>
        <v>1</v>
      </c>
      <c r="AB37" s="1813">
        <f t="shared" si="4"/>
        <v>1</v>
      </c>
      <c r="AC37" s="1813">
        <f t="shared" si="5"/>
        <v>1</v>
      </c>
    </row>
    <row r="38" spans="1:29" ht="15">
      <c r="A38" s="472" t="s">
        <v>2552</v>
      </c>
      <c r="B38" s="456" t="s">
        <v>2739</v>
      </c>
      <c r="C38" s="679">
        <v>73172.06</v>
      </c>
      <c r="D38" s="467">
        <v>100</v>
      </c>
      <c r="E38" s="679">
        <f>ROUND(土地案例!D4,0)</f>
        <v>29184</v>
      </c>
      <c r="F38" s="467">
        <f>LOOKUP(E38,117:117,118:118)-LOOKUP(C38,117:117,118:118)+100</f>
        <v>96</v>
      </c>
      <c r="G38" s="679">
        <f>ROUND(土地案例!D7,0)</f>
        <v>71917</v>
      </c>
      <c r="H38" s="467">
        <f>LOOKUP(G38,117:117,118:118)-LOOKUP(C38,117:117,118:118)+100</f>
        <v>100</v>
      </c>
      <c r="I38" s="530">
        <f>ROUND(土地案例!D10,0)</f>
        <v>66595</v>
      </c>
      <c r="J38" s="467">
        <f>LOOKUP(I38,117:117,118:118)-LOOKUP(C38,117:117,118:118)+100</f>
        <v>100</v>
      </c>
      <c r="K38" s="613"/>
      <c r="L38" s="1143"/>
      <c r="M38" s="1134"/>
      <c r="N38" s="1134"/>
      <c r="O38" s="1142"/>
      <c r="P38" s="3191"/>
      <c r="Q38" s="1812" t="str">
        <f>B38</f>
        <v>宗地面积</v>
      </c>
      <c r="R38" s="774" t="s">
        <v>17</v>
      </c>
      <c r="S38" s="775">
        <f t="shared" si="10"/>
        <v>96</v>
      </c>
      <c r="T38" s="774" t="s">
        <v>17</v>
      </c>
      <c r="U38" s="775">
        <f t="shared" si="11"/>
        <v>100</v>
      </c>
      <c r="V38" s="774" t="s">
        <v>17</v>
      </c>
      <c r="W38" s="775">
        <f t="shared" si="12"/>
        <v>100</v>
      </c>
      <c r="X38" s="1815"/>
      <c r="Y38" s="3191"/>
      <c r="Z38" s="1816" t="str">
        <f t="shared" si="13"/>
        <v>宗地面积</v>
      </c>
      <c r="AA38" s="1813">
        <f t="shared" si="3"/>
        <v>1.0416666666666667</v>
      </c>
      <c r="AB38" s="1813">
        <f t="shared" si="4"/>
        <v>1</v>
      </c>
      <c r="AC38" s="1813">
        <f t="shared" si="5"/>
        <v>1</v>
      </c>
    </row>
    <row r="39" spans="1:29" ht="15">
      <c r="A39" s="472"/>
      <c r="B39" s="422" t="s">
        <v>2740</v>
      </c>
      <c r="C39" s="2615" t="s">
        <v>3159</v>
      </c>
      <c r="D39" s="435">
        <v>100</v>
      </c>
      <c r="E39" s="2615" t="s">
        <v>3159</v>
      </c>
      <c r="F39" s="435">
        <f>SUMIF(119:119,E39,120:120)-SUMIF(119:119,C39,120:120)+100</f>
        <v>100</v>
      </c>
      <c r="G39" s="2615" t="s">
        <v>3159</v>
      </c>
      <c r="H39" s="435">
        <f>SUMIF(119:119,G39,120:120)-SUMIF(119:119,C39,120:120)+100</f>
        <v>100</v>
      </c>
      <c r="I39" s="2615" t="s">
        <v>3159</v>
      </c>
      <c r="J39" s="435">
        <f>SUMIF(119:119,I39,120:120)-SUMIF(119:119,C39,120:120)+100</f>
        <v>100</v>
      </c>
      <c r="K39" s="612">
        <v>2</v>
      </c>
      <c r="L39" s="1143"/>
      <c r="M39" s="1134"/>
      <c r="N39" s="1134"/>
      <c r="O39" s="1142"/>
      <c r="P39" s="3191"/>
      <c r="Q39" s="1812" t="str">
        <f t="shared" ref="Q39:Q45" si="14">B39</f>
        <v>宗地形状</v>
      </c>
      <c r="R39" s="774" t="s">
        <v>17</v>
      </c>
      <c r="S39" s="775">
        <f t="shared" si="10"/>
        <v>100</v>
      </c>
      <c r="T39" s="774" t="s">
        <v>17</v>
      </c>
      <c r="U39" s="775">
        <f t="shared" si="11"/>
        <v>100</v>
      </c>
      <c r="V39" s="774" t="s">
        <v>17</v>
      </c>
      <c r="W39" s="775">
        <f t="shared" si="12"/>
        <v>100</v>
      </c>
      <c r="X39" s="1815"/>
      <c r="Y39" s="3191"/>
      <c r="Z39" s="1816" t="str">
        <f t="shared" si="13"/>
        <v>宗地形状</v>
      </c>
      <c r="AA39" s="1813">
        <f t="shared" si="3"/>
        <v>1</v>
      </c>
      <c r="AB39" s="1813">
        <f t="shared" si="4"/>
        <v>1</v>
      </c>
      <c r="AC39" s="1813">
        <f t="shared" si="5"/>
        <v>1</v>
      </c>
    </row>
    <row r="40" spans="1:29" ht="15" hidden="1">
      <c r="A40" s="472"/>
      <c r="B40" s="422" t="s">
        <v>2741</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191"/>
      <c r="Q40" s="1812" t="str">
        <f t="shared" si="14"/>
        <v>临街宽度及深度</v>
      </c>
      <c r="R40" s="774" t="s">
        <v>17</v>
      </c>
      <c r="S40" s="775">
        <f t="shared" si="10"/>
        <v>100</v>
      </c>
      <c r="T40" s="774" t="s">
        <v>17</v>
      </c>
      <c r="U40" s="775">
        <f t="shared" si="11"/>
        <v>100</v>
      </c>
      <c r="V40" s="774" t="s">
        <v>17</v>
      </c>
      <c r="W40" s="775">
        <f t="shared" si="12"/>
        <v>100</v>
      </c>
      <c r="X40" s="1815"/>
      <c r="Y40" s="3191"/>
      <c r="Z40" s="1816" t="str">
        <f t="shared" si="13"/>
        <v>临街宽度及深度</v>
      </c>
      <c r="AA40" s="1813">
        <f t="shared" si="3"/>
        <v>1</v>
      </c>
      <c r="AB40" s="1813">
        <f t="shared" si="4"/>
        <v>1</v>
      </c>
      <c r="AC40" s="1813">
        <f t="shared" si="5"/>
        <v>1</v>
      </c>
    </row>
    <row r="41" spans="1:29" s="117" customFormat="1" ht="15">
      <c r="A41" s="473"/>
      <c r="B41" s="422" t="s">
        <v>2742</v>
      </c>
      <c r="C41" s="2704" t="s">
        <v>3085</v>
      </c>
      <c r="D41" s="136">
        <v>100</v>
      </c>
      <c r="E41" s="2704" t="s">
        <v>3167</v>
      </c>
      <c r="F41" s="435">
        <f>SUMIF(123:123,E41,124:124)-SUMIF(123:123,C41,124:124)+100</f>
        <v>101</v>
      </c>
      <c r="G41" s="2704" t="s">
        <v>3167</v>
      </c>
      <c r="H41" s="435">
        <f>SUMIF(123:123,G41,124:124)-SUMIF(123:123,C41,124:124)+100</f>
        <v>101</v>
      </c>
      <c r="I41" s="2704" t="s">
        <v>3167</v>
      </c>
      <c r="J41" s="435">
        <f>SUMIF(123:123,I41,124:124)-SUMIF(123:123,C41,124:124)+100</f>
        <v>101</v>
      </c>
      <c r="K41" s="612">
        <v>1</v>
      </c>
      <c r="L41" s="1135"/>
      <c r="M41" s="1136"/>
      <c r="N41" s="1136"/>
      <c r="O41" s="1137"/>
      <c r="P41" s="3191"/>
      <c r="Q41" s="1812" t="str">
        <f t="shared" si="14"/>
        <v>宗地开发程度</v>
      </c>
      <c r="R41" s="770" t="s">
        <v>17</v>
      </c>
      <c r="S41" s="771">
        <f t="shared" si="10"/>
        <v>101</v>
      </c>
      <c r="T41" s="770" t="s">
        <v>17</v>
      </c>
      <c r="U41" s="771">
        <f t="shared" si="11"/>
        <v>101</v>
      </c>
      <c r="V41" s="770" t="s">
        <v>17</v>
      </c>
      <c r="W41" s="771">
        <f t="shared" si="12"/>
        <v>101</v>
      </c>
      <c r="X41" s="772"/>
      <c r="Y41" s="3191"/>
      <c r="Z41" s="55" t="str">
        <f t="shared" si="13"/>
        <v>宗地开发程度</v>
      </c>
      <c r="AA41" s="773">
        <f t="shared" si="3"/>
        <v>0.99009900990099009</v>
      </c>
      <c r="AB41" s="773">
        <f t="shared" si="4"/>
        <v>0.99009900990099009</v>
      </c>
      <c r="AC41" s="773">
        <f t="shared" si="5"/>
        <v>0.99009900990099009</v>
      </c>
    </row>
    <row r="42" spans="1:29" ht="15.75" thickBot="1">
      <c r="A42" s="472"/>
      <c r="B42" s="422" t="s">
        <v>2743</v>
      </c>
      <c r="C42" s="2615" t="s">
        <v>3154</v>
      </c>
      <c r="D42" s="435">
        <v>100</v>
      </c>
      <c r="E42" s="2615" t="s">
        <v>3154</v>
      </c>
      <c r="F42" s="435">
        <f>SUMIF(125:125,E42,126:126)-SUMIF(125:125,C42,126:126)+100</f>
        <v>100</v>
      </c>
      <c r="G42" s="2615" t="s">
        <v>3154</v>
      </c>
      <c r="H42" s="435">
        <f>SUMIF(125:125,G42,126:126)-SUMIF(125:125,C42,126:126)+100</f>
        <v>100</v>
      </c>
      <c r="I42" s="2615" t="s">
        <v>3154</v>
      </c>
      <c r="J42" s="435">
        <f>SUMIF(125:125,I42,126:126)-SUMIF(125:125,C42,126:126)+100</f>
        <v>100</v>
      </c>
      <c r="K42" s="612">
        <v>2</v>
      </c>
      <c r="L42" s="1143"/>
      <c r="M42" s="1134"/>
      <c r="N42" s="1134"/>
      <c r="O42" s="1142"/>
      <c r="P42" s="3191" t="s">
        <v>2554</v>
      </c>
      <c r="Q42" s="1812" t="str">
        <f t="shared" si="14"/>
        <v>工程地质条件</v>
      </c>
      <c r="R42" s="774" t="s">
        <v>17</v>
      </c>
      <c r="S42" s="775">
        <f t="shared" si="10"/>
        <v>100</v>
      </c>
      <c r="T42" s="774" t="s">
        <v>17</v>
      </c>
      <c r="U42" s="775">
        <f t="shared" si="11"/>
        <v>100</v>
      </c>
      <c r="V42" s="774" t="s">
        <v>17</v>
      </c>
      <c r="W42" s="775">
        <f t="shared" si="12"/>
        <v>100</v>
      </c>
      <c r="X42" s="1815"/>
      <c r="Y42" s="3191" t="s">
        <v>2554</v>
      </c>
      <c r="Z42" s="1816" t="str">
        <f t="shared" si="13"/>
        <v>工程地质条件</v>
      </c>
      <c r="AA42" s="1813">
        <f t="shared" si="3"/>
        <v>1</v>
      </c>
      <c r="AB42" s="1813">
        <f t="shared" si="4"/>
        <v>1</v>
      </c>
      <c r="AC42" s="1813">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1"/>
      <c r="Q43" s="1812">
        <f t="shared" si="14"/>
        <v>111</v>
      </c>
      <c r="R43" s="774" t="s">
        <v>17</v>
      </c>
      <c r="S43" s="775">
        <f t="shared" si="10"/>
        <v>100</v>
      </c>
      <c r="T43" s="774" t="s">
        <v>17</v>
      </c>
      <c r="U43" s="775">
        <f t="shared" si="11"/>
        <v>100</v>
      </c>
      <c r="V43" s="774" t="s">
        <v>17</v>
      </c>
      <c r="W43" s="775">
        <f t="shared" si="12"/>
        <v>100</v>
      </c>
      <c r="X43" s="1815"/>
      <c r="Y43" s="3191"/>
      <c r="Z43" s="1816">
        <f t="shared" si="13"/>
        <v>111</v>
      </c>
      <c r="AA43" s="1813">
        <f t="shared" si="3"/>
        <v>1</v>
      </c>
      <c r="AB43" s="1813">
        <f t="shared" si="4"/>
        <v>1</v>
      </c>
      <c r="AC43" s="1813">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1"/>
      <c r="Q44" s="1812">
        <f t="shared" si="14"/>
        <v>111</v>
      </c>
      <c r="R44" s="774" t="s">
        <v>17</v>
      </c>
      <c r="S44" s="775">
        <f t="shared" si="10"/>
        <v>100</v>
      </c>
      <c r="T44" s="774" t="s">
        <v>17</v>
      </c>
      <c r="U44" s="775">
        <f t="shared" si="11"/>
        <v>100</v>
      </c>
      <c r="V44" s="774" t="s">
        <v>17</v>
      </c>
      <c r="W44" s="775">
        <f t="shared" si="12"/>
        <v>100</v>
      </c>
      <c r="X44" s="1815"/>
      <c r="Y44" s="3191"/>
      <c r="Z44" s="1816">
        <f t="shared" si="13"/>
        <v>111</v>
      </c>
      <c r="AA44" s="1813">
        <f t="shared" si="3"/>
        <v>1</v>
      </c>
      <c r="AB44" s="1813">
        <f t="shared" si="4"/>
        <v>1</v>
      </c>
      <c r="AC44" s="1813">
        <f t="shared" si="5"/>
        <v>1</v>
      </c>
    </row>
    <row r="45" spans="1:29" s="471" customFormat="1" ht="15.75" hidden="1"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1"/>
      <c r="Q45" s="1812">
        <f t="shared" si="14"/>
        <v>111</v>
      </c>
      <c r="R45" s="777" t="s">
        <v>17</v>
      </c>
      <c r="S45" s="778">
        <f t="shared" si="10"/>
        <v>100</v>
      </c>
      <c r="T45" s="777" t="s">
        <v>17</v>
      </c>
      <c r="U45" s="778">
        <f t="shared" si="11"/>
        <v>100</v>
      </c>
      <c r="V45" s="777" t="s">
        <v>17</v>
      </c>
      <c r="W45" s="778">
        <f t="shared" si="12"/>
        <v>100</v>
      </c>
      <c r="X45" s="779"/>
      <c r="Y45" s="3191"/>
      <c r="Z45" s="780">
        <f t="shared" si="13"/>
        <v>111</v>
      </c>
      <c r="AA45" s="1813">
        <f t="shared" si="3"/>
        <v>1</v>
      </c>
      <c r="AB45" s="1813">
        <f t="shared" si="4"/>
        <v>1</v>
      </c>
      <c r="AC45" s="1813">
        <f t="shared" si="5"/>
        <v>1</v>
      </c>
    </row>
    <row r="46" spans="1:29" ht="15">
      <c r="A46" s="479" t="s">
        <v>2709</v>
      </c>
      <c r="B46" s="2706" t="s">
        <v>3165</v>
      </c>
      <c r="C46" s="682" t="s">
        <v>1</v>
      </c>
      <c r="D46" s="481"/>
      <c r="E46" s="482">
        <f>ROUND(土地案例!K4,0)</f>
        <v>14529</v>
      </c>
      <c r="F46" s="483"/>
      <c r="G46" s="484">
        <f>ROUND(土地案例!K7,0)</f>
        <v>16779</v>
      </c>
      <c r="H46" s="485"/>
      <c r="I46" s="482">
        <f>ROUND(土地案例!K10,0)</f>
        <v>16351</v>
      </c>
      <c r="J46" s="485"/>
      <c r="K46" s="783"/>
      <c r="L46" s="1146"/>
      <c r="M46" s="1147"/>
      <c r="N46" s="1134"/>
      <c r="O46" s="1147"/>
      <c r="P46" s="3173" t="str">
        <f>A46</f>
        <v>成交单价</v>
      </c>
      <c r="Q46" s="3173"/>
      <c r="R46" s="3186">
        <f>E46</f>
        <v>14529</v>
      </c>
      <c r="S46" s="3186"/>
      <c r="T46" s="3186">
        <f>G46</f>
        <v>16779</v>
      </c>
      <c r="U46" s="3186"/>
      <c r="V46" s="3186">
        <f>I46</f>
        <v>16351</v>
      </c>
      <c r="W46" s="3186"/>
      <c r="X46" s="759"/>
      <c r="Y46" s="781"/>
      <c r="Z46" s="759"/>
      <c r="AA46" s="759"/>
      <c r="AB46" s="759"/>
      <c r="AC46" s="759"/>
    </row>
    <row r="47" spans="1:29" ht="15.75" thickBot="1">
      <c r="A47" s="486" t="s">
        <v>2658</v>
      </c>
      <c r="B47" s="683"/>
      <c r="C47" s="490">
        <f>R48</f>
        <v>16103</v>
      </c>
      <c r="D47" s="489"/>
      <c r="E47" s="490">
        <f>R47</f>
        <v>15532</v>
      </c>
      <c r="F47" s="491"/>
      <c r="G47" s="488">
        <f>T47</f>
        <v>16676</v>
      </c>
      <c r="H47" s="489"/>
      <c r="I47" s="490">
        <f>V47</f>
        <v>16102</v>
      </c>
      <c r="J47" s="489"/>
      <c r="K47" s="784"/>
      <c r="L47" s="1146"/>
      <c r="M47" s="1147"/>
      <c r="N47" s="1147"/>
      <c r="O47" s="1147"/>
      <c r="P47" s="3173" t="str">
        <f>A47</f>
        <v>比较价值（元/平方米）</v>
      </c>
      <c r="Q47" s="3173"/>
      <c r="R47" s="3192">
        <f>ROUND(PRODUCT(R46,AA7:AA45),0)</f>
        <v>15532</v>
      </c>
      <c r="S47" s="3192"/>
      <c r="T47" s="3192">
        <f>ROUND(PRODUCT(T46,AB7:AB45),0)</f>
        <v>16676</v>
      </c>
      <c r="U47" s="3192"/>
      <c r="V47" s="3192">
        <f>ROUND(PRODUCT(V46,AC7:AC45),0)</f>
        <v>16102</v>
      </c>
      <c r="W47" s="3192"/>
      <c r="X47" s="759"/>
      <c r="Y47" s="759"/>
      <c r="Z47" s="759"/>
      <c r="AA47" s="759"/>
      <c r="AB47" s="759"/>
      <c r="AC47" s="759"/>
    </row>
    <row r="48" spans="1:29" ht="15.75" thickBot="1">
      <c r="A48" s="492" t="s">
        <v>3173</v>
      </c>
      <c r="B48" s="493"/>
      <c r="C48" s="494">
        <f>R48</f>
        <v>16103</v>
      </c>
      <c r="D48" s="494"/>
      <c r="E48" s="494"/>
      <c r="F48" s="494"/>
      <c r="G48" s="494"/>
      <c r="H48" s="494"/>
      <c r="I48" s="494"/>
      <c r="J48" s="494"/>
      <c r="K48" s="785"/>
      <c r="L48" s="1146"/>
      <c r="M48" s="1147"/>
      <c r="N48" s="1147"/>
      <c r="O48" s="1147"/>
      <c r="P48" s="3193" t="str">
        <f>A48</f>
        <v>估价对象商业用地的比较价值（楼面单价，元/平方米）</v>
      </c>
      <c r="Q48" s="3194"/>
      <c r="R48" s="3195">
        <f>ROUND(AVERAGE(R47:V47),0)</f>
        <v>16103</v>
      </c>
      <c r="S48" s="3195"/>
      <c r="T48" s="3195"/>
      <c r="U48" s="3195"/>
      <c r="V48" s="3195"/>
      <c r="W48" s="3195"/>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2660</v>
      </c>
      <c r="D51" s="498"/>
      <c r="E51" s="499">
        <f>IF(E46&lt;E47,E47/E46-1,E46/E47-1)</f>
        <v>6.9034345102897632E-2</v>
      </c>
      <c r="F51" s="500" t="str">
        <f>IF(OR(E51&gt;=0.3,E51&lt;=-0.3),"超过30%","")</f>
        <v/>
      </c>
      <c r="G51" s="499">
        <f>IF(G46&lt;G47,G47/G46-1,G46/G47-1)</f>
        <v>6.1765411369631984E-3</v>
      </c>
      <c r="H51" s="500" t="str">
        <f>IF(OR(G51&gt;=0.3,G51&lt;=-0.3),"超过30%","")</f>
        <v/>
      </c>
      <c r="I51" s="499">
        <f>IF(I46&lt;I47,I47/I46-1,I46/I47-1)</f>
        <v>1.5463917525773141E-2</v>
      </c>
      <c r="J51" s="500" t="str">
        <f>IF(OR(I51&gt;=0.3,I51&lt;=-0.3),"超过30%","")</f>
        <v/>
      </c>
      <c r="K51" s="1108"/>
      <c r="L51" s="1109"/>
      <c r="M51" s="1147"/>
      <c r="N51" s="1147"/>
      <c r="O51" s="1147"/>
    </row>
    <row r="52" spans="1:15" ht="13.5" customHeight="1">
      <c r="A52" s="1147"/>
      <c r="B52" s="1147"/>
      <c r="C52" s="497" t="s">
        <v>2661</v>
      </c>
      <c r="D52" s="501"/>
      <c r="E52" s="499">
        <f>IF(E47&lt;G47,G47/E47-1,E47/G47-1)</f>
        <v>7.3654390934844161E-2</v>
      </c>
      <c r="F52" s="500" t="str">
        <f>IF(OR(E52&gt;=0.2,E52&lt;=-0.2),"超过20%","")</f>
        <v/>
      </c>
      <c r="G52" s="499">
        <f>IF(G47&lt;I47,I47/G47-1,G47/I47-1)</f>
        <v>3.5647745621661953E-2</v>
      </c>
      <c r="H52" s="500" t="str">
        <f>IF(OR(G52&gt;=0.2,G52&lt;=-0.2),"超过20%","")</f>
        <v/>
      </c>
      <c r="I52" s="499">
        <f>IF(I47&lt;E47,E47/I47-1,I47/E47-1)</f>
        <v>3.6698429049703885E-2</v>
      </c>
      <c r="J52" s="500" t="str">
        <f>IF(OR(I52&gt;=0.2,I52&lt;=-0.2),"超过20%","")</f>
        <v/>
      </c>
      <c r="K52" s="1108"/>
      <c r="L52" s="1109"/>
      <c r="M52" s="1147"/>
      <c r="N52" s="1147"/>
      <c r="O52" s="1147"/>
    </row>
    <row r="53" spans="1:15" s="502" customFormat="1" ht="13.5" customHeight="1">
      <c r="A53" s="1148"/>
      <c r="B53" s="1148"/>
      <c r="C53" s="497" t="s">
        <v>2662</v>
      </c>
      <c r="D53" s="501"/>
      <c r="E53" s="499">
        <f>IF(E46&lt;G46,G46/E46-1,E46/G46-1)</f>
        <v>0.15486268841627093</v>
      </c>
      <c r="F53" s="500" t="str">
        <f>IF(OR(E53&gt;=0.3,E53&lt;=-0.3),"超过30%","")</f>
        <v/>
      </c>
      <c r="G53" s="499">
        <f>IF(G46&lt;I46,I46/G46-1,G46/I46-1)</f>
        <v>2.6175769066112187E-2</v>
      </c>
      <c r="H53" s="500" t="str">
        <f>IF(OR(G53&gt;=0.3,G53&lt;=-0.3),"超过30%","")</f>
        <v/>
      </c>
      <c r="I53" s="499">
        <f>IF(I46&lt;E46,E46/I46-1,I46/E46-1)</f>
        <v>0.12540436368642016</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2744</v>
      </c>
      <c r="B55" s="685" t="s">
        <v>2745</v>
      </c>
      <c r="C55" s="2707" t="s">
        <v>2746</v>
      </c>
      <c r="D55" s="2708" t="s">
        <v>2747</v>
      </c>
      <c r="E55" s="686" t="s">
        <v>2748</v>
      </c>
      <c r="F55" s="1110" t="s">
        <v>2749</v>
      </c>
      <c r="G55" s="3174" t="s">
        <v>2750</v>
      </c>
      <c r="H55" s="3196"/>
      <c r="I55" s="144" t="s">
        <v>2751</v>
      </c>
      <c r="J55" s="2709">
        <f>项目基本情况!F35</f>
        <v>0</v>
      </c>
      <c r="K55" s="2710" t="s">
        <v>2752</v>
      </c>
      <c r="L55" s="1109"/>
      <c r="M55" s="1147"/>
      <c r="N55" s="1147"/>
      <c r="O55" s="1147"/>
    </row>
    <row r="56" spans="1:15" s="692" customFormat="1">
      <c r="A56" s="688" t="s">
        <v>2753</v>
      </c>
      <c r="B56" s="689">
        <f>C48</f>
        <v>16103</v>
      </c>
      <c r="C56" s="690">
        <v>1</v>
      </c>
      <c r="D56" s="1166">
        <v>1</v>
      </c>
      <c r="E56" s="690">
        <f>'数据-汇总表'!E8+'数据-汇总表'!E9</f>
        <v>125418.93</v>
      </c>
      <c r="F56" s="1106">
        <f t="shared" ref="F56:F65" si="15">ROUND(B56*E56/10000,0)</f>
        <v>201962</v>
      </c>
      <c r="G56" s="3197"/>
      <c r="H56" s="3173"/>
      <c r="I56" s="1111">
        <v>1</v>
      </c>
      <c r="J56" s="1114">
        <v>1</v>
      </c>
      <c r="K56" s="1148"/>
      <c r="L56" s="944"/>
      <c r="M56" s="944"/>
      <c r="N56" s="944"/>
      <c r="O56" s="944"/>
    </row>
    <row r="57" spans="1:15" s="692" customFormat="1">
      <c r="A57" s="693" t="s">
        <v>2754</v>
      </c>
      <c r="B57" s="262">
        <f>ROUND($C$48*C57*D57,0)</f>
        <v>2415</v>
      </c>
      <c r="C57" s="200">
        <f t="shared" ref="C57:C65" si="16">IF($C$55="北京市系数",I57,J57)</f>
        <v>0.6</v>
      </c>
      <c r="D57" s="1167">
        <v>0.25</v>
      </c>
      <c r="E57" s="694">
        <f>'数据-汇总表'!E10</f>
        <v>19300.580000000002</v>
      </c>
      <c r="F57" s="1106">
        <f t="shared" si="15"/>
        <v>4661</v>
      </c>
      <c r="G57" s="3198" t="s">
        <v>2755</v>
      </c>
      <c r="H57" s="1107" t="str">
        <f>项目基本情况!B37</f>
        <v>八级</v>
      </c>
      <c r="I57" s="1111">
        <f>SUMIF(修正!A45:A56,H57,修正!B45:B56)</f>
        <v>0.6</v>
      </c>
      <c r="J57" s="1115"/>
      <c r="K57" s="1147"/>
      <c r="L57" s="944"/>
      <c r="M57" s="944"/>
      <c r="N57" s="944"/>
      <c r="O57" s="944"/>
    </row>
    <row r="58" spans="1:15" s="692" customFormat="1">
      <c r="A58" s="693" t="s">
        <v>2756</v>
      </c>
      <c r="B58" s="262">
        <f t="shared" ref="B58:B65" si="17">ROUND($C$48*C58*D58,0)</f>
        <v>1208</v>
      </c>
      <c r="C58" s="200">
        <f t="shared" si="16"/>
        <v>0.3</v>
      </c>
      <c r="D58" s="1167">
        <v>0.25</v>
      </c>
      <c r="E58" s="694"/>
      <c r="F58" s="1106">
        <f t="shared" si="15"/>
        <v>0</v>
      </c>
      <c r="G58" s="3198"/>
      <c r="H58" s="1107" t="str">
        <f>项目基本情况!B37</f>
        <v>八级</v>
      </c>
      <c r="I58" s="1111">
        <f>SUMIF(修正!A45:A56,H58,修正!C45:C56)</f>
        <v>0.3</v>
      </c>
      <c r="J58" s="1115"/>
      <c r="K58" s="1148"/>
      <c r="L58" s="944"/>
      <c r="M58" s="944"/>
      <c r="N58" s="944"/>
      <c r="O58" s="944"/>
    </row>
    <row r="59" spans="1:15" s="692" customFormat="1">
      <c r="A59" s="693" t="s">
        <v>2757</v>
      </c>
      <c r="B59" s="262">
        <f t="shared" si="17"/>
        <v>805</v>
      </c>
      <c r="C59" s="200">
        <f t="shared" si="16"/>
        <v>0.2</v>
      </c>
      <c r="D59" s="1167">
        <v>0.25</v>
      </c>
      <c r="E59" s="694"/>
      <c r="F59" s="1106">
        <f t="shared" si="15"/>
        <v>0</v>
      </c>
      <c r="G59" s="3198"/>
      <c r="H59" s="1107" t="str">
        <f>项目基本情况!B37</f>
        <v>八级</v>
      </c>
      <c r="I59" s="1111">
        <f>SUMIF(修正!A45:A56,H59,修正!D45:D56)</f>
        <v>0.2</v>
      </c>
      <c r="J59" s="1115"/>
      <c r="K59" s="1147"/>
      <c r="L59" s="944"/>
      <c r="M59" s="944"/>
      <c r="N59" s="944"/>
      <c r="O59" s="944"/>
    </row>
    <row r="60" spans="1:15" s="692" customFormat="1">
      <c r="A60" s="693" t="s">
        <v>2758</v>
      </c>
      <c r="B60" s="262">
        <f t="shared" si="17"/>
        <v>805</v>
      </c>
      <c r="C60" s="200">
        <f t="shared" si="16"/>
        <v>0.2</v>
      </c>
      <c r="D60" s="1167">
        <v>0.25</v>
      </c>
      <c r="E60" s="694"/>
      <c r="F60" s="1106">
        <f t="shared" si="15"/>
        <v>0</v>
      </c>
      <c r="G60" s="3198"/>
      <c r="H60" s="1107" t="str">
        <f>项目基本情况!B37</f>
        <v>八级</v>
      </c>
      <c r="I60" s="1111">
        <f>SUMIF(修正!A45:A56,H60,修正!E45:E56)</f>
        <v>0.2</v>
      </c>
      <c r="J60" s="1115"/>
      <c r="K60" s="1148"/>
      <c r="L60" s="944"/>
      <c r="M60" s="944"/>
      <c r="N60" s="944"/>
      <c r="O60" s="944"/>
    </row>
    <row r="61" spans="1:15" s="692" customFormat="1">
      <c r="A61" s="693" t="s">
        <v>2759</v>
      </c>
      <c r="B61" s="262">
        <f t="shared" si="17"/>
        <v>0</v>
      </c>
      <c r="C61" s="200">
        <f t="shared" si="16"/>
        <v>0</v>
      </c>
      <c r="D61" s="1167">
        <v>0.25</v>
      </c>
      <c r="E61" s="261">
        <f>'数据-汇总表'!E11</f>
        <v>0</v>
      </c>
      <c r="F61" s="1106">
        <f t="shared" si="15"/>
        <v>0</v>
      </c>
      <c r="G61" s="2711" t="s">
        <v>2760</v>
      </c>
      <c r="H61" s="1107">
        <f>项目基本情况!C37</f>
        <v>0</v>
      </c>
      <c r="I61" s="1111">
        <f>SUMIF(修正!A45:A56,H61,修正!F45:F56)</f>
        <v>0</v>
      </c>
      <c r="J61" s="1115"/>
      <c r="K61" s="1147"/>
      <c r="L61" s="944"/>
      <c r="M61" s="944"/>
      <c r="N61" s="944"/>
      <c r="O61" s="944"/>
    </row>
    <row r="62" spans="1:15" s="692" customFormat="1">
      <c r="A62" s="693" t="s">
        <v>2761</v>
      </c>
      <c r="B62" s="262">
        <f t="shared" si="17"/>
        <v>0</v>
      </c>
      <c r="C62" s="200">
        <f t="shared" si="16"/>
        <v>0</v>
      </c>
      <c r="D62" s="1167">
        <v>0.25</v>
      </c>
      <c r="E62" s="261">
        <f>'数据-汇总表'!E12</f>
        <v>0</v>
      </c>
      <c r="F62" s="1106">
        <f t="shared" si="15"/>
        <v>0</v>
      </c>
      <c r="G62" s="1112" t="s">
        <v>2762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2763</v>
      </c>
      <c r="B63" s="262">
        <f t="shared" si="17"/>
        <v>0</v>
      </c>
      <c r="C63" s="200">
        <f t="shared" si="16"/>
        <v>0</v>
      </c>
      <c r="D63" s="1167">
        <v>0.25</v>
      </c>
      <c r="E63" s="261">
        <f>'数据-汇总表'!E13</f>
        <v>0</v>
      </c>
      <c r="F63" s="1106">
        <f t="shared" si="15"/>
        <v>0</v>
      </c>
      <c r="G63" s="1112" t="s">
        <v>2764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2765</v>
      </c>
      <c r="B64" s="262">
        <f t="shared" si="17"/>
        <v>604</v>
      </c>
      <c r="C64" s="200">
        <f t="shared" si="16"/>
        <v>0.15</v>
      </c>
      <c r="D64" s="1167">
        <v>0.25</v>
      </c>
      <c r="E64" s="261">
        <f>'数据-汇总表'!E14</f>
        <v>48625.24</v>
      </c>
      <c r="F64" s="1106">
        <f t="shared" si="15"/>
        <v>2937</v>
      </c>
      <c r="G64" s="2711" t="s">
        <v>2755</v>
      </c>
      <c r="H64" s="1107" t="str">
        <f>项目基本情况!B37</f>
        <v>八级</v>
      </c>
      <c r="I64" s="1111">
        <f>SUMIF(修正!A45:A56,H64,修正!H45:H56)</f>
        <v>0.15</v>
      </c>
      <c r="J64" s="1115"/>
      <c r="K64" s="1148"/>
      <c r="L64" s="944"/>
      <c r="M64" s="944"/>
      <c r="N64" s="944"/>
      <c r="O64" s="944"/>
    </row>
    <row r="65" spans="1:17" s="692" customFormat="1" ht="15" thickBot="1">
      <c r="A65" s="693" t="s">
        <v>2766</v>
      </c>
      <c r="B65" s="262">
        <f t="shared" si="17"/>
        <v>0</v>
      </c>
      <c r="C65" s="200">
        <f t="shared" si="16"/>
        <v>0</v>
      </c>
      <c r="D65" s="1167">
        <v>0.25</v>
      </c>
      <c r="E65" s="261">
        <f>'数据-汇总表'!E15</f>
        <v>0</v>
      </c>
      <c r="F65" s="1106">
        <f t="shared" si="15"/>
        <v>0</v>
      </c>
      <c r="G65" s="2712" t="s">
        <v>2760</v>
      </c>
      <c r="H65" s="1117">
        <f>项目基本情况!C37</f>
        <v>0</v>
      </c>
      <c r="I65" s="1113">
        <f>SUMIF(修正!A45:A56,H65,修正!H45:H56)</f>
        <v>0</v>
      </c>
      <c r="J65" s="1116"/>
      <c r="K65" s="1147"/>
      <c r="L65" s="944"/>
      <c r="M65" s="944"/>
      <c r="N65" s="944"/>
      <c r="O65" s="944"/>
    </row>
    <row r="66" spans="1:17" s="692" customFormat="1" ht="13.5" thickBot="1">
      <c r="A66" s="695" t="s">
        <v>2767</v>
      </c>
      <c r="B66" s="696" t="s">
        <v>28</v>
      </c>
      <c r="C66" s="696" t="s">
        <v>29</v>
      </c>
      <c r="D66" s="696" t="s">
        <v>1029</v>
      </c>
      <c r="E66" s="696">
        <f>IF(B46="楼面地价",SUM(E56:E65),'数据-汇总表'!D3)</f>
        <v>193344.75</v>
      </c>
      <c r="F66" s="697">
        <f>IF(B46="楼面地价",SUM(F56:F65),ROUND(C48*E66/10000,0))</f>
        <v>209560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2018-5-1</v>
      </c>
      <c r="D68" s="761">
        <f>EDATE(C68,-3)</f>
        <v>43132</v>
      </c>
      <c r="E68" s="761">
        <f>EDATE(D68,-3)</f>
        <v>43040</v>
      </c>
      <c r="F68" s="761">
        <f t="shared" ref="F68:O68" si="18">EDATE(E68,-3)</f>
        <v>42948</v>
      </c>
      <c r="G68" s="761">
        <f t="shared" si="18"/>
        <v>42856</v>
      </c>
      <c r="H68" s="761">
        <f t="shared" si="18"/>
        <v>42767</v>
      </c>
      <c r="I68" s="761">
        <f t="shared" si="18"/>
        <v>42675</v>
      </c>
      <c r="J68" s="761">
        <f t="shared" si="18"/>
        <v>42583</v>
      </c>
      <c r="K68" s="761">
        <f t="shared" si="18"/>
        <v>42491</v>
      </c>
      <c r="L68" s="761">
        <f t="shared" si="18"/>
        <v>42401</v>
      </c>
      <c r="M68" s="761">
        <f t="shared" si="18"/>
        <v>42309</v>
      </c>
      <c r="N68" s="761">
        <f t="shared" si="18"/>
        <v>42217</v>
      </c>
      <c r="O68" s="761">
        <f t="shared" si="18"/>
        <v>42125</v>
      </c>
    </row>
    <row r="69" spans="1:17" ht="21.75" thickBot="1">
      <c r="A69" s="763" t="s">
        <v>2663</v>
      </c>
      <c r="B69" s="759"/>
      <c r="C69" s="764"/>
      <c r="D69" s="764"/>
      <c r="E69" s="764"/>
      <c r="F69" s="765"/>
      <c r="G69" s="765"/>
      <c r="H69" s="764"/>
      <c r="I69" s="764"/>
      <c r="J69" s="1162"/>
      <c r="K69" s="1163"/>
      <c r="L69" s="1164"/>
      <c r="M69" s="1162"/>
      <c r="N69" s="1162"/>
      <c r="O69" s="1162"/>
      <c r="P69" s="503"/>
      <c r="Q69" s="504"/>
    </row>
    <row r="70" spans="1:17" s="508" customFormat="1" ht="15">
      <c r="A70" s="2713" t="s">
        <v>2768</v>
      </c>
      <c r="B70" s="1362"/>
      <c r="C70" s="1574" t="str">
        <f>YEAR(C68)&amp;"-"&amp;ROUNDUP(MONTH(C68)/3,0)</f>
        <v>2018-2</v>
      </c>
      <c r="D70" s="1574" t="str">
        <f>YEAR(D68)&amp;"-"&amp;ROUNDUP(MONTH(D68)/3,0)</f>
        <v>2018-1</v>
      </c>
      <c r="E70" s="1574" t="str">
        <f t="shared" ref="E70:O70" si="19">YEAR(E68)&amp;"-"&amp;ROUNDUP(MONTH(E68)/3,0)</f>
        <v>2017-4</v>
      </c>
      <c r="F70" s="1574" t="str">
        <f t="shared" si="19"/>
        <v>2017-3</v>
      </c>
      <c r="G70" s="1574" t="str">
        <f t="shared" si="19"/>
        <v>2017-2</v>
      </c>
      <c r="H70" s="1574" t="str">
        <f t="shared" si="19"/>
        <v>2017-1</v>
      </c>
      <c r="I70" s="1574" t="str">
        <f t="shared" si="19"/>
        <v>2016-4</v>
      </c>
      <c r="J70" s="1574" t="str">
        <f t="shared" si="19"/>
        <v>2016-3</v>
      </c>
      <c r="K70" s="1574" t="str">
        <f t="shared" si="19"/>
        <v>2016-2</v>
      </c>
      <c r="L70" s="1574" t="str">
        <f t="shared" si="19"/>
        <v>2016-1</v>
      </c>
      <c r="M70" s="1574" t="str">
        <f t="shared" si="19"/>
        <v>2015-4</v>
      </c>
      <c r="N70" s="1574" t="str">
        <f t="shared" si="19"/>
        <v>2015-3</v>
      </c>
      <c r="O70" s="1574" t="str">
        <f t="shared" si="19"/>
        <v>2015-2</v>
      </c>
      <c r="P70" s="507"/>
    </row>
    <row r="71" spans="1:17" s="117" customFormat="1" ht="30" customHeight="1">
      <c r="A71" s="2714" t="s">
        <v>1377</v>
      </c>
      <c r="B71" s="332" t="str">
        <f>"北京市平均增长率"&amp;TEXT(SUMIF(基准地价修正!N21:N25,A71,基准地价修正!P21:P25),"0.00%")</f>
        <v>北京市平均增长率1.57%</v>
      </c>
      <c r="C71" s="603">
        <v>100</v>
      </c>
      <c r="D71" s="595">
        <f>C71-$C$72</f>
        <v>99</v>
      </c>
      <c r="E71" s="595">
        <f t="shared" ref="E71:O71" si="20">D71-$C$72</f>
        <v>98</v>
      </c>
      <c r="F71" s="595">
        <f t="shared" si="20"/>
        <v>97</v>
      </c>
      <c r="G71" s="595">
        <f t="shared" si="20"/>
        <v>96</v>
      </c>
      <c r="H71" s="595">
        <f t="shared" si="20"/>
        <v>95</v>
      </c>
      <c r="I71" s="595">
        <f t="shared" si="20"/>
        <v>94</v>
      </c>
      <c r="J71" s="595">
        <f t="shared" si="20"/>
        <v>93</v>
      </c>
      <c r="K71" s="595">
        <f t="shared" si="20"/>
        <v>92</v>
      </c>
      <c r="L71" s="595">
        <f t="shared" si="20"/>
        <v>91</v>
      </c>
      <c r="M71" s="595">
        <f t="shared" si="20"/>
        <v>90</v>
      </c>
      <c r="N71" s="595">
        <f t="shared" si="20"/>
        <v>89</v>
      </c>
      <c r="O71" s="595">
        <f t="shared" si="20"/>
        <v>88</v>
      </c>
      <c r="P71" s="504"/>
    </row>
    <row r="72" spans="1:17" s="117" customFormat="1" ht="15.75" thickBot="1">
      <c r="A72" s="515" t="s">
        <v>2574</v>
      </c>
      <c r="B72" s="516"/>
      <c r="C72" s="517">
        <v>1</v>
      </c>
      <c r="D72" s="518"/>
      <c r="E72" s="518"/>
      <c r="F72" s="518"/>
      <c r="G72" s="518"/>
      <c r="H72" s="518"/>
      <c r="I72" s="518"/>
      <c r="J72" s="518"/>
      <c r="K72" s="518"/>
      <c r="L72" s="518"/>
      <c r="M72" s="519"/>
      <c r="N72" s="518"/>
      <c r="O72" s="1165"/>
      <c r="P72" s="504"/>
      <c r="Q72" s="504"/>
    </row>
    <row r="73" spans="1:17" s="117" customFormat="1" ht="15">
      <c r="A73" s="521" t="s">
        <v>2539</v>
      </c>
      <c r="B73" s="510"/>
      <c r="C73" s="522" t="s">
        <v>2641</v>
      </c>
      <c r="D73" s="2960" t="s">
        <v>3140</v>
      </c>
      <c r="E73" s="2960" t="s">
        <v>3141</v>
      </c>
      <c r="F73" s="523"/>
      <c r="G73" s="523"/>
      <c r="H73" s="523"/>
      <c r="I73" s="523"/>
      <c r="J73" s="523"/>
      <c r="K73" s="523"/>
      <c r="L73" s="524"/>
      <c r="M73" s="525"/>
      <c r="N73" s="1154"/>
      <c r="O73" s="1154"/>
      <c r="P73" s="526"/>
      <c r="Q73" s="504"/>
    </row>
    <row r="74" spans="1:17" s="117" customFormat="1" ht="15.75" thickBot="1">
      <c r="A74" s="521"/>
      <c r="B74" s="510"/>
      <c r="C74" s="639">
        <v>100</v>
      </c>
      <c r="D74" s="512">
        <v>105</v>
      </c>
      <c r="E74" s="512">
        <v>110</v>
      </c>
      <c r="F74" s="512"/>
      <c r="G74" s="512"/>
      <c r="H74" s="512"/>
      <c r="I74" s="512"/>
      <c r="J74" s="512"/>
      <c r="K74" s="512"/>
      <c r="L74" s="512"/>
      <c r="M74" s="514"/>
      <c r="N74" s="1154"/>
      <c r="O74" s="1154"/>
      <c r="P74" s="504"/>
      <c r="Q74" s="504"/>
    </row>
    <row r="75" spans="1:17">
      <c r="A75" s="527" t="s">
        <v>2577</v>
      </c>
      <c r="B75" s="528" t="s">
        <v>2543</v>
      </c>
      <c r="C75" s="2961" t="s">
        <v>3142</v>
      </c>
      <c r="D75" s="2961" t="s">
        <v>3144</v>
      </c>
      <c r="E75" s="530"/>
      <c r="F75" s="530"/>
      <c r="G75" s="530"/>
      <c r="H75" s="530"/>
      <c r="I75" s="530"/>
      <c r="J75" s="530"/>
      <c r="K75" s="531"/>
      <c r="L75" s="532"/>
      <c r="M75" s="533"/>
      <c r="N75" s="1155"/>
      <c r="O75" s="1155"/>
      <c r="P75" s="45"/>
      <c r="Q75" s="504"/>
    </row>
    <row r="76" spans="1:17" ht="15.75" thickBot="1">
      <c r="A76" s="534"/>
      <c r="B76" s="535"/>
      <c r="C76" s="536">
        <v>100</v>
      </c>
      <c r="D76" s="536">
        <v>98</v>
      </c>
      <c r="E76" s="536"/>
      <c r="F76" s="536"/>
      <c r="G76" s="536"/>
      <c r="H76" s="536"/>
      <c r="I76" s="536"/>
      <c r="J76" s="536"/>
      <c r="K76" s="536"/>
      <c r="L76" s="536"/>
      <c r="M76" s="537"/>
      <c r="N76" s="1156"/>
      <c r="O76" s="1156"/>
      <c r="P76" s="45"/>
      <c r="Q76" s="504"/>
    </row>
    <row r="77" spans="1:17" ht="27.75" thickTop="1">
      <c r="A77" s="534"/>
      <c r="B77" s="538" t="s">
        <v>2546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2547</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v>
      </c>
      <c r="I79" s="547" t="str">
        <f t="shared" si="21"/>
        <v>（含）-</v>
      </c>
      <c r="J79" s="547" t="str">
        <f t="shared" si="21"/>
        <v>（含）-</v>
      </c>
      <c r="K79" s="547" t="str">
        <f t="shared" si="21"/>
        <v>（含）-</v>
      </c>
      <c r="L79" s="547" t="str">
        <f t="shared" si="21"/>
        <v>（含）-</v>
      </c>
      <c r="M79" s="448" t="str">
        <f>M80&amp;"（含）"&amp;"-"&amp;P80</f>
        <v>（含）-</v>
      </c>
      <c r="N79" s="1156"/>
      <c r="O79" s="1156"/>
      <c r="P79" s="45"/>
      <c r="Q79" s="504"/>
    </row>
    <row r="80" spans="1:17" ht="15">
      <c r="A80" s="534"/>
      <c r="B80" s="548"/>
      <c r="C80" s="549">
        <v>0</v>
      </c>
      <c r="D80" s="549">
        <v>1</v>
      </c>
      <c r="E80" s="549">
        <v>2</v>
      </c>
      <c r="F80" s="549">
        <v>3</v>
      </c>
      <c r="G80" s="549">
        <v>4</v>
      </c>
      <c r="H80" s="549">
        <v>5</v>
      </c>
      <c r="I80" s="549"/>
      <c r="J80" s="549"/>
      <c r="K80" s="550"/>
      <c r="L80" s="551"/>
      <c r="M80" s="552"/>
      <c r="N80" s="1155"/>
      <c r="O80" s="1155"/>
      <c r="P80" s="45"/>
      <c r="Q80" s="504"/>
    </row>
    <row r="81" spans="1:17" ht="15.75" thickBot="1">
      <c r="A81" s="534"/>
      <c r="B81" s="535"/>
      <c r="C81" s="544">
        <v>100</v>
      </c>
      <c r="D81" s="544">
        <f t="shared" ref="D81:M81" si="22">IF($B$46="单位面积地价",C81+$K11,C81-$K11)</f>
        <v>95</v>
      </c>
      <c r="E81" s="544">
        <f t="shared" si="22"/>
        <v>90</v>
      </c>
      <c r="F81" s="544">
        <f t="shared" si="22"/>
        <v>85</v>
      </c>
      <c r="G81" s="544">
        <f t="shared" si="22"/>
        <v>80</v>
      </c>
      <c r="H81" s="544">
        <f t="shared" si="22"/>
        <v>75</v>
      </c>
      <c r="I81" s="544">
        <f t="shared" si="22"/>
        <v>70</v>
      </c>
      <c r="J81" s="544">
        <f t="shared" si="22"/>
        <v>65</v>
      </c>
      <c r="K81" s="544">
        <f t="shared" si="22"/>
        <v>60</v>
      </c>
      <c r="L81" s="544">
        <f t="shared" si="22"/>
        <v>55</v>
      </c>
      <c r="M81" s="544">
        <f t="shared" si="22"/>
        <v>50</v>
      </c>
      <c r="N81" s="1156"/>
      <c r="O81" s="1156"/>
      <c r="P81" s="45"/>
      <c r="Q81" s="504"/>
    </row>
    <row r="82" spans="1:17" s="471" customFormat="1" ht="15.75" hidden="1" thickTop="1">
      <c r="A82" s="553"/>
      <c r="B82" s="538">
        <f>B12</f>
        <v>0</v>
      </c>
      <c r="C82" s="554"/>
      <c r="D82" s="554"/>
      <c r="E82" s="554"/>
      <c r="F82" s="554"/>
      <c r="G82" s="554"/>
      <c r="H82" s="555"/>
      <c r="I82" s="555"/>
      <c r="J82" s="555"/>
      <c r="K82" s="555"/>
      <c r="L82" s="556"/>
      <c r="M82" s="557"/>
      <c r="N82" s="1157"/>
      <c r="O82" s="1157"/>
      <c r="P82" s="558"/>
      <c r="Q82" s="559"/>
    </row>
    <row r="83" spans="1:17" s="471" customFormat="1" ht="15.75" hidden="1" thickBot="1">
      <c r="A83" s="553"/>
      <c r="B83" s="543"/>
      <c r="C83" s="560"/>
      <c r="D83" s="536"/>
      <c r="E83" s="536"/>
      <c r="F83" s="536"/>
      <c r="G83" s="536"/>
      <c r="H83" s="536"/>
      <c r="I83" s="536"/>
      <c r="J83" s="536"/>
      <c r="K83" s="536"/>
      <c r="L83" s="536"/>
      <c r="M83" s="537"/>
      <c r="N83" s="1156"/>
      <c r="O83" s="1156"/>
      <c r="P83" s="558"/>
      <c r="Q83" s="559"/>
    </row>
    <row r="84" spans="1:17" s="471" customFormat="1" ht="15.75" hidden="1" thickTop="1">
      <c r="A84" s="553"/>
      <c r="B84" s="538">
        <f>B13</f>
        <v>0</v>
      </c>
      <c r="C84" s="554"/>
      <c r="D84" s="554"/>
      <c r="E84" s="554"/>
      <c r="F84" s="554"/>
      <c r="G84" s="554"/>
      <c r="H84" s="555"/>
      <c r="I84" s="555"/>
      <c r="J84" s="555"/>
      <c r="K84" s="555"/>
      <c r="L84" s="556"/>
      <c r="M84" s="557"/>
      <c r="N84" s="1157"/>
      <c r="O84" s="1157"/>
      <c r="P84" s="470"/>
      <c r="Q84" s="561"/>
    </row>
    <row r="85" spans="1:17" s="471" customFormat="1" ht="15.75" hidden="1" thickBot="1">
      <c r="A85" s="553"/>
      <c r="B85" s="543"/>
      <c r="C85" s="560"/>
      <c r="D85" s="560"/>
      <c r="E85" s="560"/>
      <c r="F85" s="560"/>
      <c r="G85" s="560"/>
      <c r="H85" s="562"/>
      <c r="I85" s="562"/>
      <c r="J85" s="562"/>
      <c r="K85" s="562"/>
      <c r="L85" s="562"/>
      <c r="M85" s="563"/>
      <c r="N85" s="1157"/>
      <c r="O85" s="1157"/>
      <c r="P85" s="558"/>
      <c r="Q85" s="559"/>
    </row>
    <row r="86" spans="1:17" s="471" customFormat="1" ht="15.75" hidden="1" thickTop="1">
      <c r="A86" s="553"/>
      <c r="B86" s="546">
        <f>B14</f>
        <v>0</v>
      </c>
      <c r="C86" s="523"/>
      <c r="D86" s="523"/>
      <c r="E86" s="523"/>
      <c r="F86" s="523"/>
      <c r="G86" s="523"/>
      <c r="H86" s="564"/>
      <c r="I86" s="564"/>
      <c r="J86" s="564"/>
      <c r="K86" s="564"/>
      <c r="L86" s="565"/>
      <c r="M86" s="566"/>
      <c r="N86" s="1157"/>
      <c r="O86" s="1157"/>
      <c r="P86" s="567"/>
      <c r="Q86" s="559"/>
    </row>
    <row r="87" spans="1:17" s="471" customFormat="1" ht="15.75" hidden="1" thickBot="1">
      <c r="A87" s="568"/>
      <c r="B87" s="569"/>
      <c r="C87" s="570"/>
      <c r="D87" s="570"/>
      <c r="E87" s="570"/>
      <c r="F87" s="570"/>
      <c r="G87" s="570"/>
      <c r="H87" s="571"/>
      <c r="I87" s="571"/>
      <c r="J87" s="571"/>
      <c r="K87" s="571"/>
      <c r="L87" s="571"/>
      <c r="M87" s="572"/>
      <c r="N87" s="1157"/>
      <c r="O87" s="1157"/>
      <c r="P87" s="558"/>
      <c r="Q87" s="559"/>
    </row>
    <row r="88" spans="1:17" ht="15" thickTop="1">
      <c r="A88" s="527" t="s">
        <v>2548</v>
      </c>
      <c r="B88" s="528" t="s">
        <v>2585</v>
      </c>
      <c r="C88" s="573" t="s">
        <v>2586</v>
      </c>
      <c r="D88" s="573" t="s">
        <v>2587</v>
      </c>
      <c r="E88" s="573" t="s">
        <v>2588</v>
      </c>
      <c r="F88" s="573" t="s">
        <v>2589</v>
      </c>
      <c r="G88" s="573" t="s">
        <v>2590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2769</v>
      </c>
      <c r="C90" s="578" t="s">
        <v>2586</v>
      </c>
      <c r="D90" s="578" t="s">
        <v>2587</v>
      </c>
      <c r="E90" s="578" t="s">
        <v>2588</v>
      </c>
      <c r="F90" s="578" t="s">
        <v>2589</v>
      </c>
      <c r="G90" s="578" t="s">
        <v>2590</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2686</v>
      </c>
      <c r="C92" s="578" t="s">
        <v>2586</v>
      </c>
      <c r="D92" s="578" t="s">
        <v>2587</v>
      </c>
      <c r="E92" s="578" t="s">
        <v>2588</v>
      </c>
      <c r="F92" s="578" t="s">
        <v>2589</v>
      </c>
      <c r="G92" s="578" t="s">
        <v>2590</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2591</v>
      </c>
      <c r="C94" s="578" t="s">
        <v>2586</v>
      </c>
      <c r="D94" s="578" t="s">
        <v>2587</v>
      </c>
      <c r="E94" s="578" t="s">
        <v>2588</v>
      </c>
      <c r="F94" s="578" t="s">
        <v>2589</v>
      </c>
      <c r="G94" s="578" t="s">
        <v>2590</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2770</v>
      </c>
      <c r="C96" s="578" t="s">
        <v>2586</v>
      </c>
      <c r="D96" s="578" t="s">
        <v>2587</v>
      </c>
      <c r="E96" s="578" t="s">
        <v>2588</v>
      </c>
      <c r="F96" s="578" t="s">
        <v>2589</v>
      </c>
      <c r="G96" s="578" t="s">
        <v>2590</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2771</v>
      </c>
      <c r="C98" s="573" t="s">
        <v>2586</v>
      </c>
      <c r="D98" s="573" t="s">
        <v>2587</v>
      </c>
      <c r="E98" s="573" t="s">
        <v>2588</v>
      </c>
      <c r="F98" s="573" t="s">
        <v>2589</v>
      </c>
      <c r="G98" s="573" t="s">
        <v>2590</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2643</v>
      </c>
      <c r="C100" s="573" t="s">
        <v>2586</v>
      </c>
      <c r="D100" s="573" t="s">
        <v>2587</v>
      </c>
      <c r="E100" s="573" t="s">
        <v>2588</v>
      </c>
      <c r="F100" s="573" t="s">
        <v>2589</v>
      </c>
      <c r="G100" s="573" t="s">
        <v>2590</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2644</v>
      </c>
      <c r="C102" s="660" t="s">
        <v>2664</v>
      </c>
      <c r="D102" s="660" t="s">
        <v>2665</v>
      </c>
      <c r="E102" s="660" t="s">
        <v>2666</v>
      </c>
      <c r="F102" s="660" t="s">
        <v>2667</v>
      </c>
      <c r="G102" s="660" t="s">
        <v>2668</v>
      </c>
      <c r="H102" s="600"/>
      <c r="I102" s="600"/>
      <c r="J102" s="600"/>
      <c r="K102" s="600"/>
      <c r="L102" s="600"/>
      <c r="M102" s="1388"/>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8"/>
      <c r="N103" s="1157"/>
      <c r="O103" s="1157"/>
      <c r="P103" s="558"/>
      <c r="Q103" s="559"/>
    </row>
    <row r="104" spans="1:17" ht="15.75" thickTop="1">
      <c r="A104" s="534"/>
      <c r="B104" s="538" t="str">
        <f>B31</f>
        <v>临街状况</v>
      </c>
      <c r="C104" s="539" t="s">
        <v>2772</v>
      </c>
      <c r="D104" s="539" t="s">
        <v>2773</v>
      </c>
      <c r="E104" s="539" t="s">
        <v>2774</v>
      </c>
      <c r="F104" s="539" t="s">
        <v>2775</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3">D105-$K31</f>
        <v>96</v>
      </c>
      <c r="F105" s="544">
        <f t="shared" si="23"/>
        <v>94</v>
      </c>
      <c r="G105" s="544">
        <f t="shared" si="23"/>
        <v>92</v>
      </c>
      <c r="H105" s="544">
        <f t="shared" si="23"/>
        <v>90</v>
      </c>
      <c r="I105" s="544">
        <f t="shared" si="23"/>
        <v>88</v>
      </c>
      <c r="J105" s="544">
        <f t="shared" si="23"/>
        <v>86</v>
      </c>
      <c r="K105" s="544">
        <f t="shared" si="23"/>
        <v>84</v>
      </c>
      <c r="L105" s="544">
        <f t="shared" si="23"/>
        <v>82</v>
      </c>
      <c r="M105" s="544">
        <f t="shared" si="23"/>
        <v>80</v>
      </c>
      <c r="N105" s="1156"/>
      <c r="O105" s="1156"/>
      <c r="P105" s="45"/>
      <c r="Q105" s="504"/>
    </row>
    <row r="106" spans="1:17" ht="27.75" thickTop="1">
      <c r="A106" s="534"/>
      <c r="B106" s="538" t="s">
        <v>2680</v>
      </c>
      <c r="C106" s="2962" t="s">
        <v>3148</v>
      </c>
      <c r="D106" s="2962" t="s">
        <v>3149</v>
      </c>
      <c r="E106" s="2962" t="s">
        <v>3151</v>
      </c>
      <c r="F106" s="2962" t="s">
        <v>3153</v>
      </c>
      <c r="G106" s="554"/>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6"/>
      <c r="O107" s="1156"/>
      <c r="P107" s="45"/>
      <c r="Q107" s="504"/>
    </row>
    <row r="108" spans="1:17" ht="15.75" hidden="1" thickTop="1">
      <c r="A108" s="534"/>
      <c r="B108" s="538" t="s">
        <v>2738</v>
      </c>
      <c r="C108" s="583"/>
      <c r="D108" s="583"/>
      <c r="E108" s="583"/>
      <c r="F108" s="583"/>
      <c r="G108" s="583"/>
      <c r="H108" s="583"/>
      <c r="I108" s="583"/>
      <c r="J108" s="583"/>
      <c r="K108" s="584"/>
      <c r="L108" s="585"/>
      <c r="M108" s="586"/>
      <c r="N108" s="1155"/>
      <c r="O108" s="1155"/>
      <c r="P108" s="45"/>
      <c r="Q108" s="504"/>
    </row>
    <row r="109" spans="1:17" ht="15.75" hidden="1"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6"/>
      <c r="O109" s="1156"/>
      <c r="P109" s="45"/>
      <c r="Q109" s="504"/>
    </row>
    <row r="110" spans="1:17" ht="15.75" hidden="1" thickTop="1">
      <c r="A110" s="534"/>
      <c r="B110" s="546">
        <f>B35</f>
        <v>111</v>
      </c>
      <c r="C110" s="554"/>
      <c r="D110" s="554"/>
      <c r="E110" s="554"/>
      <c r="F110" s="554"/>
      <c r="G110" s="587"/>
      <c r="H110" s="587"/>
      <c r="I110" s="587"/>
      <c r="J110" s="587"/>
      <c r="K110" s="588"/>
      <c r="L110" s="589"/>
      <c r="M110" s="590"/>
      <c r="N110" s="1155"/>
      <c r="O110" s="1155"/>
      <c r="P110" s="45"/>
      <c r="Q110" s="504"/>
    </row>
    <row r="111" spans="1:17" ht="15.75" hidden="1" thickBot="1">
      <c r="A111" s="534"/>
      <c r="B111" s="569"/>
      <c r="C111" s="560"/>
      <c r="D111" s="560"/>
      <c r="E111" s="560"/>
      <c r="F111" s="560"/>
      <c r="G111" s="591"/>
      <c r="H111" s="591"/>
      <c r="I111" s="591"/>
      <c r="J111" s="591"/>
      <c r="K111" s="591"/>
      <c r="L111" s="591"/>
      <c r="M111" s="592"/>
      <c r="N111" s="1156"/>
      <c r="O111" s="1156"/>
      <c r="P111" s="45"/>
      <c r="Q111" s="504"/>
    </row>
    <row r="112" spans="1:17" ht="15" hidden="1" thickTop="1">
      <c r="A112" s="675"/>
      <c r="B112" s="538">
        <f>B36</f>
        <v>111</v>
      </c>
      <c r="C112" s="523"/>
      <c r="D112" s="523"/>
      <c r="E112" s="523"/>
      <c r="F112" s="523"/>
      <c r="G112" s="583"/>
      <c r="H112" s="583"/>
      <c r="I112" s="583"/>
      <c r="J112" s="583"/>
      <c r="K112" s="584"/>
      <c r="L112" s="585"/>
      <c r="M112" s="586"/>
      <c r="N112" s="1155"/>
      <c r="O112" s="1155"/>
      <c r="P112" s="45"/>
      <c r="Q112" s="504"/>
    </row>
    <row r="113" spans="1:17" ht="15.75" hidden="1" thickBot="1">
      <c r="A113" s="534"/>
      <c r="B113" s="543"/>
      <c r="C113" s="570"/>
      <c r="D113" s="570"/>
      <c r="E113" s="570"/>
      <c r="F113" s="570"/>
      <c r="G113" s="536"/>
      <c r="H113" s="536"/>
      <c r="I113" s="536"/>
      <c r="J113" s="536"/>
      <c r="K113" s="536"/>
      <c r="L113" s="536"/>
      <c r="M113" s="537"/>
      <c r="N113" s="1156"/>
      <c r="O113" s="1156"/>
      <c r="P113" s="45"/>
      <c r="Q113" s="504"/>
    </row>
    <row r="114" spans="1:17" s="471" customFormat="1" ht="15" hidden="1"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hidden="1" thickBot="1">
      <c r="A115" s="553"/>
      <c r="B115" s="546"/>
      <c r="C115" s="512"/>
      <c r="D115" s="677"/>
      <c r="E115" s="677"/>
      <c r="F115" s="677"/>
      <c r="G115" s="677"/>
      <c r="H115" s="677"/>
      <c r="I115" s="677"/>
      <c r="J115" s="677"/>
      <c r="K115" s="677"/>
      <c r="L115" s="677"/>
      <c r="M115" s="699"/>
      <c r="N115" s="1156"/>
      <c r="O115" s="1156"/>
      <c r="P115" s="558"/>
      <c r="Q115" s="559"/>
    </row>
    <row r="116" spans="1:17" ht="29.25" thickTop="1">
      <c r="A116" s="527" t="s">
        <v>2552</v>
      </c>
      <c r="B116" s="528" t="s">
        <v>2776</v>
      </c>
      <c r="C116" s="529" t="str">
        <f>C117&amp;"(含)"&amp;"-"&amp;D117</f>
        <v>0(含)-20000</v>
      </c>
      <c r="D116" s="529" t="str">
        <f t="shared" ref="D116:M116" si="26">D117&amp;"(含)"&amp;"-"&amp;E117</f>
        <v>20000(含)-40000</v>
      </c>
      <c r="E116" s="529" t="str">
        <f t="shared" si="26"/>
        <v>40000(含)-60000</v>
      </c>
      <c r="F116" s="529" t="str">
        <f t="shared" si="26"/>
        <v>60000(含)-80000</v>
      </c>
      <c r="G116" s="529" t="str">
        <f t="shared" si="26"/>
        <v>80000(含)-100000</v>
      </c>
      <c r="H116" s="529" t="str">
        <f t="shared" si="26"/>
        <v>100000(含)-</v>
      </c>
      <c r="I116" s="529" t="str">
        <f t="shared" si="26"/>
        <v>(含)-</v>
      </c>
      <c r="J116" s="529" t="str">
        <f t="shared" si="26"/>
        <v>(含)-</v>
      </c>
      <c r="K116" s="529" t="str">
        <f t="shared" si="26"/>
        <v>(含)-</v>
      </c>
      <c r="L116" s="529" t="str">
        <f t="shared" si="26"/>
        <v>(含)-</v>
      </c>
      <c r="M116" s="529" t="str">
        <f t="shared" si="26"/>
        <v>(含)-</v>
      </c>
      <c r="N116" s="1155"/>
      <c r="O116" s="1155"/>
      <c r="P116" s="45"/>
      <c r="Q116" s="504"/>
    </row>
    <row r="117" spans="1:17" ht="15">
      <c r="A117" s="534"/>
      <c r="B117" s="546"/>
      <c r="C117" s="595">
        <v>0</v>
      </c>
      <c r="D117" s="595">
        <v>20000</v>
      </c>
      <c r="E117" s="595">
        <v>40000</v>
      </c>
      <c r="F117" s="595">
        <v>60000</v>
      </c>
      <c r="G117" s="595">
        <v>80000</v>
      </c>
      <c r="H117" s="595">
        <v>100000</v>
      </c>
      <c r="I117" s="595"/>
      <c r="J117" s="596"/>
      <c r="K117" s="596"/>
      <c r="L117" s="597"/>
      <c r="M117" s="598"/>
      <c r="N117" s="1155"/>
      <c r="O117" s="1155"/>
      <c r="P117" s="45"/>
      <c r="Q117" s="504"/>
    </row>
    <row r="118" spans="1:17" ht="15.75" thickBot="1">
      <c r="A118" s="534"/>
      <c r="B118" s="543"/>
      <c r="C118" s="570">
        <v>100</v>
      </c>
      <c r="D118" s="591">
        <v>102</v>
      </c>
      <c r="E118" s="591">
        <v>104</v>
      </c>
      <c r="F118" s="591">
        <v>106</v>
      </c>
      <c r="G118" s="591">
        <v>108</v>
      </c>
      <c r="H118" s="591">
        <v>110</v>
      </c>
      <c r="I118" s="591"/>
      <c r="J118" s="591"/>
      <c r="K118" s="591"/>
      <c r="L118" s="591"/>
      <c r="M118" s="592"/>
      <c r="N118" s="1156"/>
      <c r="O118" s="1156"/>
      <c r="P118" s="45"/>
      <c r="Q118" s="504"/>
    </row>
    <row r="119" spans="1:17" ht="15" thickTop="1">
      <c r="A119" s="599"/>
      <c r="B119" s="538" t="s">
        <v>2777</v>
      </c>
      <c r="C119" s="2963" t="s">
        <v>3160</v>
      </c>
      <c r="D119" s="2963" t="s">
        <v>3161</v>
      </c>
      <c r="E119" s="2963" t="s">
        <v>3162</v>
      </c>
      <c r="F119" s="2963" t="s">
        <v>3163</v>
      </c>
      <c r="G119" s="583"/>
      <c r="H119" s="583"/>
      <c r="I119" s="583"/>
      <c r="J119" s="583"/>
      <c r="K119" s="584"/>
      <c r="L119" s="585"/>
      <c r="M119" s="586"/>
      <c r="N119" s="1155"/>
      <c r="O119" s="1155"/>
      <c r="P119" s="45"/>
      <c r="Q119" s="504"/>
    </row>
    <row r="120" spans="1:17" ht="15.75" thickBot="1">
      <c r="A120" s="534"/>
      <c r="B120" s="543"/>
      <c r="C120" s="544">
        <v>100</v>
      </c>
      <c r="D120" s="544">
        <f t="shared" ref="D120:M120" si="27">C120-$K39</f>
        <v>98</v>
      </c>
      <c r="E120" s="544">
        <f t="shared" si="27"/>
        <v>96</v>
      </c>
      <c r="F120" s="544">
        <f t="shared" si="27"/>
        <v>94</v>
      </c>
      <c r="G120" s="544">
        <f t="shared" si="27"/>
        <v>92</v>
      </c>
      <c r="H120" s="544">
        <f t="shared" si="27"/>
        <v>90</v>
      </c>
      <c r="I120" s="544">
        <f t="shared" si="27"/>
        <v>88</v>
      </c>
      <c r="J120" s="544">
        <f t="shared" si="27"/>
        <v>86</v>
      </c>
      <c r="K120" s="544">
        <f t="shared" si="27"/>
        <v>84</v>
      </c>
      <c r="L120" s="544">
        <f t="shared" si="27"/>
        <v>82</v>
      </c>
      <c r="M120" s="545">
        <f t="shared" si="27"/>
        <v>80</v>
      </c>
      <c r="N120" s="1156"/>
      <c r="O120" s="1156"/>
      <c r="P120" s="45"/>
      <c r="Q120" s="504"/>
    </row>
    <row r="121" spans="1:17" ht="15" hidden="1" thickTop="1">
      <c r="A121" s="599"/>
      <c r="B121" s="538" t="s">
        <v>2778</v>
      </c>
      <c r="C121" s="554"/>
      <c r="D121" s="554"/>
      <c r="E121" s="554"/>
      <c r="F121" s="583"/>
      <c r="G121" s="583"/>
      <c r="H121" s="583"/>
      <c r="I121" s="583"/>
      <c r="J121" s="583"/>
      <c r="K121" s="584"/>
      <c r="L121" s="585"/>
      <c r="M121" s="586"/>
      <c r="N121" s="1155"/>
      <c r="O121" s="1155"/>
      <c r="P121" s="45"/>
      <c r="Q121" s="504"/>
    </row>
    <row r="122" spans="1:17" ht="15.75" hidden="1" thickBot="1">
      <c r="A122" s="534"/>
      <c r="B122" s="543"/>
      <c r="C122" s="544">
        <v>100</v>
      </c>
      <c r="D122" s="544">
        <f t="shared" ref="D122:M122" si="28">C122-$K40</f>
        <v>100</v>
      </c>
      <c r="E122" s="544">
        <f t="shared" si="28"/>
        <v>100</v>
      </c>
      <c r="F122" s="544">
        <f t="shared" si="28"/>
        <v>100</v>
      </c>
      <c r="G122" s="544">
        <f t="shared" si="28"/>
        <v>100</v>
      </c>
      <c r="H122" s="544">
        <f t="shared" si="28"/>
        <v>100</v>
      </c>
      <c r="I122" s="544">
        <f t="shared" si="28"/>
        <v>100</v>
      </c>
      <c r="J122" s="544">
        <f t="shared" si="28"/>
        <v>100</v>
      </c>
      <c r="K122" s="544">
        <f t="shared" si="28"/>
        <v>100</v>
      </c>
      <c r="L122" s="544">
        <f t="shared" si="28"/>
        <v>100</v>
      </c>
      <c r="M122" s="545">
        <f t="shared" si="28"/>
        <v>100</v>
      </c>
      <c r="N122" s="1156"/>
      <c r="O122" s="1156"/>
      <c r="P122" s="45"/>
      <c r="Q122" s="504"/>
    </row>
    <row r="123" spans="1:17" s="471" customFormat="1" ht="15" thickTop="1">
      <c r="A123" s="593"/>
      <c r="B123" s="538" t="s">
        <v>2779</v>
      </c>
      <c r="C123" s="2962" t="s">
        <v>3168</v>
      </c>
      <c r="D123" s="2962" t="s">
        <v>3169</v>
      </c>
      <c r="E123" s="2962" t="s">
        <v>3170</v>
      </c>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9">D124-$K41</f>
        <v>98</v>
      </c>
      <c r="F124" s="544">
        <f t="shared" si="29"/>
        <v>97</v>
      </c>
      <c r="G124" s="544">
        <f t="shared" si="29"/>
        <v>96</v>
      </c>
      <c r="H124" s="544">
        <f t="shared" si="29"/>
        <v>95</v>
      </c>
      <c r="I124" s="544">
        <f t="shared" si="29"/>
        <v>94</v>
      </c>
      <c r="J124" s="544">
        <f t="shared" si="29"/>
        <v>93</v>
      </c>
      <c r="K124" s="544">
        <f t="shared" si="29"/>
        <v>92</v>
      </c>
      <c r="L124" s="544">
        <f t="shared" si="29"/>
        <v>91</v>
      </c>
      <c r="M124" s="545">
        <f t="shared" si="29"/>
        <v>90</v>
      </c>
      <c r="N124" s="1157"/>
      <c r="O124" s="1157"/>
      <c r="P124" s="558"/>
      <c r="Q124" s="559"/>
    </row>
    <row r="125" spans="1:17" ht="15" thickTop="1">
      <c r="A125" s="599"/>
      <c r="B125" s="538" t="s">
        <v>2780</v>
      </c>
      <c r="C125" s="2962" t="s">
        <v>3155</v>
      </c>
      <c r="D125" s="2962" t="s">
        <v>3156</v>
      </c>
      <c r="E125" s="2963" t="s">
        <v>3158</v>
      </c>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30">C126-$K42</f>
        <v>98</v>
      </c>
      <c r="E126" s="544">
        <f t="shared" si="30"/>
        <v>96</v>
      </c>
      <c r="F126" s="544">
        <f t="shared" si="30"/>
        <v>94</v>
      </c>
      <c r="G126" s="544">
        <f t="shared" si="30"/>
        <v>92</v>
      </c>
      <c r="H126" s="544">
        <f t="shared" si="30"/>
        <v>90</v>
      </c>
      <c r="I126" s="544">
        <f t="shared" si="30"/>
        <v>88</v>
      </c>
      <c r="J126" s="544">
        <f t="shared" si="30"/>
        <v>86</v>
      </c>
      <c r="K126" s="544">
        <f t="shared" si="30"/>
        <v>84</v>
      </c>
      <c r="L126" s="544">
        <f t="shared" si="30"/>
        <v>82</v>
      </c>
      <c r="M126" s="545">
        <f t="shared" si="30"/>
        <v>80</v>
      </c>
      <c r="N126" s="1156"/>
      <c r="O126" s="1156"/>
      <c r="P126" s="45"/>
      <c r="Q126" s="504"/>
    </row>
    <row r="127" spans="1:17" ht="15" hidden="1" thickTop="1">
      <c r="A127" s="599"/>
      <c r="B127" s="538">
        <f>B43</f>
        <v>111</v>
      </c>
      <c r="C127" s="554"/>
      <c r="D127" s="554"/>
      <c r="E127" s="554"/>
      <c r="F127" s="554"/>
      <c r="G127" s="554"/>
      <c r="H127" s="583"/>
      <c r="I127" s="583"/>
      <c r="J127" s="583"/>
      <c r="K127" s="584"/>
      <c r="L127" s="585"/>
      <c r="M127" s="586"/>
      <c r="N127" s="1155"/>
      <c r="O127" s="1155"/>
      <c r="P127" s="45"/>
      <c r="Q127" s="504"/>
    </row>
    <row r="128" spans="1:17" ht="15.75" hidden="1" thickBot="1">
      <c r="A128" s="534"/>
      <c r="B128" s="543"/>
      <c r="C128" s="560"/>
      <c r="D128" s="560"/>
      <c r="E128" s="560"/>
      <c r="F128" s="560"/>
      <c r="G128" s="536"/>
      <c r="H128" s="536"/>
      <c r="I128" s="536"/>
      <c r="J128" s="536"/>
      <c r="K128" s="536"/>
      <c r="L128" s="536"/>
      <c r="M128" s="537"/>
      <c r="N128" s="1156"/>
      <c r="O128" s="1156"/>
      <c r="P128" s="45"/>
      <c r="Q128" s="504"/>
    </row>
    <row r="129" spans="1:17" ht="15" hidden="1" thickTop="1">
      <c r="A129" s="599"/>
      <c r="B129" s="538">
        <f>B44</f>
        <v>111</v>
      </c>
      <c r="C129" s="523"/>
      <c r="D129" s="523"/>
      <c r="E129" s="523"/>
      <c r="F129" s="523"/>
      <c r="G129" s="583"/>
      <c r="H129" s="583"/>
      <c r="I129" s="583"/>
      <c r="J129" s="583"/>
      <c r="K129" s="584"/>
      <c r="L129" s="585"/>
      <c r="M129" s="586"/>
      <c r="N129" s="1155"/>
      <c r="O129" s="1155"/>
      <c r="P129" s="45"/>
      <c r="Q129" s="504"/>
    </row>
    <row r="130" spans="1:17" ht="15.75" hidden="1" thickBot="1">
      <c r="A130" s="534"/>
      <c r="B130" s="543"/>
      <c r="C130" s="570"/>
      <c r="D130" s="570"/>
      <c r="E130" s="570"/>
      <c r="F130" s="570"/>
      <c r="G130" s="536"/>
      <c r="H130" s="536"/>
      <c r="I130" s="536"/>
      <c r="J130" s="536"/>
      <c r="K130" s="536"/>
      <c r="L130" s="536"/>
      <c r="M130" s="537"/>
      <c r="N130" s="1156"/>
      <c r="O130" s="1156"/>
      <c r="P130" s="45"/>
      <c r="Q130" s="504"/>
    </row>
    <row r="131" spans="1:17" s="471" customFormat="1" ht="15" hidden="1"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hidden="1" thickBot="1">
      <c r="A132" s="568"/>
      <c r="B132" s="700"/>
      <c r="C132" s="570"/>
      <c r="D132" s="570"/>
      <c r="E132" s="570"/>
      <c r="F132" s="570"/>
      <c r="G132" s="591"/>
      <c r="H132" s="591"/>
      <c r="I132" s="591"/>
      <c r="J132" s="591"/>
      <c r="K132" s="591"/>
      <c r="L132" s="591"/>
      <c r="M132" s="592"/>
      <c r="N132" s="1157"/>
      <c r="O132" s="1157"/>
      <c r="P132" s="558"/>
      <c r="Q132" s="559"/>
    </row>
    <row r="133" spans="1:17" ht="15" thickTop="1"/>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65"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9" sqref="A19"/>
    </sheetView>
  </sheetViews>
  <sheetFormatPr defaultRowHeight="13.5"/>
  <cols>
    <col min="1" max="1" width="80.75" style="1637" customWidth="1"/>
    <col min="2" max="2" width="6.25" style="1637" customWidth="1"/>
    <col min="3" max="3" width="11.75" style="1637" customWidth="1"/>
    <col min="4" max="5" width="13.875" style="1637" customWidth="1"/>
    <col min="6" max="6" width="6.25" style="1637" customWidth="1"/>
    <col min="7" max="7" width="7.875" style="1637" customWidth="1"/>
    <col min="8" max="8" width="12.5" style="1637" customWidth="1"/>
    <col min="9" max="10" width="10.625" style="1637" customWidth="1"/>
    <col min="11" max="11" width="14.375" style="1637" customWidth="1"/>
    <col min="12" max="12" width="6.25" style="1637" customWidth="1"/>
    <col min="13" max="13" width="47.625" style="1637" customWidth="1"/>
    <col min="14" max="256" width="9" style="1637"/>
    <col min="257" max="257" width="80.75" style="1637" customWidth="1"/>
    <col min="258" max="258" width="6.25" style="1637" customWidth="1"/>
    <col min="259" max="259" width="11.75" style="1637" customWidth="1"/>
    <col min="260" max="261" width="13.875" style="1637" customWidth="1"/>
    <col min="262" max="262" width="6.25" style="1637" customWidth="1"/>
    <col min="263" max="263" width="7.875" style="1637" customWidth="1"/>
    <col min="264" max="264" width="9" style="1637" customWidth="1"/>
    <col min="265" max="266" width="10.625" style="1637" customWidth="1"/>
    <col min="267" max="267" width="14.375" style="1637" customWidth="1"/>
    <col min="268" max="268" width="6.25" style="1637" customWidth="1"/>
    <col min="269" max="269" width="47.625" style="1637" customWidth="1"/>
    <col min="270" max="512" width="9" style="1637"/>
    <col min="513" max="513" width="80.75" style="1637" customWidth="1"/>
    <col min="514" max="514" width="6.25" style="1637" customWidth="1"/>
    <col min="515" max="515" width="11.75" style="1637" customWidth="1"/>
    <col min="516" max="517" width="13.875" style="1637" customWidth="1"/>
    <col min="518" max="518" width="6.25" style="1637" customWidth="1"/>
    <col min="519" max="519" width="7.875" style="1637" customWidth="1"/>
    <col min="520" max="520" width="9" style="1637" customWidth="1"/>
    <col min="521" max="522" width="10.625" style="1637" customWidth="1"/>
    <col min="523" max="523" width="14.375" style="1637" customWidth="1"/>
    <col min="524" max="524" width="6.25" style="1637" customWidth="1"/>
    <col min="525" max="525" width="47.625" style="1637" customWidth="1"/>
    <col min="526" max="768" width="9" style="1637"/>
    <col min="769" max="769" width="80.75" style="1637" customWidth="1"/>
    <col min="770" max="770" width="6.25" style="1637" customWidth="1"/>
    <col min="771" max="771" width="11.75" style="1637" customWidth="1"/>
    <col min="772" max="773" width="13.875" style="1637" customWidth="1"/>
    <col min="774" max="774" width="6.25" style="1637" customWidth="1"/>
    <col min="775" max="775" width="7.875" style="1637" customWidth="1"/>
    <col min="776" max="776" width="9" style="1637" customWidth="1"/>
    <col min="777" max="778" width="10.625" style="1637" customWidth="1"/>
    <col min="779" max="779" width="14.375" style="1637" customWidth="1"/>
    <col min="780" max="780" width="6.25" style="1637" customWidth="1"/>
    <col min="781" max="781" width="47.625" style="1637" customWidth="1"/>
    <col min="782" max="1024" width="9" style="1637"/>
    <col min="1025" max="1025" width="80.75" style="1637" customWidth="1"/>
    <col min="1026" max="1026" width="6.25" style="1637" customWidth="1"/>
    <col min="1027" max="1027" width="11.75" style="1637" customWidth="1"/>
    <col min="1028" max="1029" width="13.875" style="1637" customWidth="1"/>
    <col min="1030" max="1030" width="6.25" style="1637" customWidth="1"/>
    <col min="1031" max="1031" width="7.875" style="1637" customWidth="1"/>
    <col min="1032" max="1032" width="9" style="1637" customWidth="1"/>
    <col min="1033" max="1034" width="10.625" style="1637" customWidth="1"/>
    <col min="1035" max="1035" width="14.375" style="1637" customWidth="1"/>
    <col min="1036" max="1036" width="6.25" style="1637" customWidth="1"/>
    <col min="1037" max="1037" width="47.625" style="1637" customWidth="1"/>
    <col min="1038" max="1280" width="9" style="1637"/>
    <col min="1281" max="1281" width="80.75" style="1637" customWidth="1"/>
    <col min="1282" max="1282" width="6.25" style="1637" customWidth="1"/>
    <col min="1283" max="1283" width="11.75" style="1637" customWidth="1"/>
    <col min="1284" max="1285" width="13.875" style="1637" customWidth="1"/>
    <col min="1286" max="1286" width="6.25" style="1637" customWidth="1"/>
    <col min="1287" max="1287" width="7.875" style="1637" customWidth="1"/>
    <col min="1288" max="1288" width="9" style="1637" customWidth="1"/>
    <col min="1289" max="1290" width="10.625" style="1637" customWidth="1"/>
    <col min="1291" max="1291" width="14.375" style="1637" customWidth="1"/>
    <col min="1292" max="1292" width="6.25" style="1637" customWidth="1"/>
    <col min="1293" max="1293" width="47.625" style="1637" customWidth="1"/>
    <col min="1294" max="1536" width="9" style="1637"/>
    <col min="1537" max="1537" width="80.75" style="1637" customWidth="1"/>
    <col min="1538" max="1538" width="6.25" style="1637" customWidth="1"/>
    <col min="1539" max="1539" width="11.75" style="1637" customWidth="1"/>
    <col min="1540" max="1541" width="13.875" style="1637" customWidth="1"/>
    <col min="1542" max="1542" width="6.25" style="1637" customWidth="1"/>
    <col min="1543" max="1543" width="7.875" style="1637" customWidth="1"/>
    <col min="1544" max="1544" width="9" style="1637" customWidth="1"/>
    <col min="1545" max="1546" width="10.625" style="1637" customWidth="1"/>
    <col min="1547" max="1547" width="14.375" style="1637" customWidth="1"/>
    <col min="1548" max="1548" width="6.25" style="1637" customWidth="1"/>
    <col min="1549" max="1549" width="47.625" style="1637" customWidth="1"/>
    <col min="1550" max="1792" width="9" style="1637"/>
    <col min="1793" max="1793" width="80.75" style="1637" customWidth="1"/>
    <col min="1794" max="1794" width="6.25" style="1637" customWidth="1"/>
    <col min="1795" max="1795" width="11.75" style="1637" customWidth="1"/>
    <col min="1796" max="1797" width="13.875" style="1637" customWidth="1"/>
    <col min="1798" max="1798" width="6.25" style="1637" customWidth="1"/>
    <col min="1799" max="1799" width="7.875" style="1637" customWidth="1"/>
    <col min="1800" max="1800" width="9" style="1637" customWidth="1"/>
    <col min="1801" max="1802" width="10.625" style="1637" customWidth="1"/>
    <col min="1803" max="1803" width="14.375" style="1637" customWidth="1"/>
    <col min="1804" max="1804" width="6.25" style="1637" customWidth="1"/>
    <col min="1805" max="1805" width="47.625" style="1637" customWidth="1"/>
    <col min="1806" max="2048" width="9" style="1637"/>
    <col min="2049" max="2049" width="80.75" style="1637" customWidth="1"/>
    <col min="2050" max="2050" width="6.25" style="1637" customWidth="1"/>
    <col min="2051" max="2051" width="11.75" style="1637" customWidth="1"/>
    <col min="2052" max="2053" width="13.875" style="1637" customWidth="1"/>
    <col min="2054" max="2054" width="6.25" style="1637" customWidth="1"/>
    <col min="2055" max="2055" width="7.875" style="1637" customWidth="1"/>
    <col min="2056" max="2056" width="9" style="1637" customWidth="1"/>
    <col min="2057" max="2058" width="10.625" style="1637" customWidth="1"/>
    <col min="2059" max="2059" width="14.375" style="1637" customWidth="1"/>
    <col min="2060" max="2060" width="6.25" style="1637" customWidth="1"/>
    <col min="2061" max="2061" width="47.625" style="1637" customWidth="1"/>
    <col min="2062" max="2304" width="9" style="1637"/>
    <col min="2305" max="2305" width="80.75" style="1637" customWidth="1"/>
    <col min="2306" max="2306" width="6.25" style="1637" customWidth="1"/>
    <col min="2307" max="2307" width="11.75" style="1637" customWidth="1"/>
    <col min="2308" max="2309" width="13.875" style="1637" customWidth="1"/>
    <col min="2310" max="2310" width="6.25" style="1637" customWidth="1"/>
    <col min="2311" max="2311" width="7.875" style="1637" customWidth="1"/>
    <col min="2312" max="2312" width="9" style="1637" customWidth="1"/>
    <col min="2313" max="2314" width="10.625" style="1637" customWidth="1"/>
    <col min="2315" max="2315" width="14.375" style="1637" customWidth="1"/>
    <col min="2316" max="2316" width="6.25" style="1637" customWidth="1"/>
    <col min="2317" max="2317" width="47.625" style="1637" customWidth="1"/>
    <col min="2318" max="2560" width="9" style="1637"/>
    <col min="2561" max="2561" width="80.75" style="1637" customWidth="1"/>
    <col min="2562" max="2562" width="6.25" style="1637" customWidth="1"/>
    <col min="2563" max="2563" width="11.75" style="1637" customWidth="1"/>
    <col min="2564" max="2565" width="13.875" style="1637" customWidth="1"/>
    <col min="2566" max="2566" width="6.25" style="1637" customWidth="1"/>
    <col min="2567" max="2567" width="7.875" style="1637" customWidth="1"/>
    <col min="2568" max="2568" width="9" style="1637" customWidth="1"/>
    <col min="2569" max="2570" width="10.625" style="1637" customWidth="1"/>
    <col min="2571" max="2571" width="14.375" style="1637" customWidth="1"/>
    <col min="2572" max="2572" width="6.25" style="1637" customWidth="1"/>
    <col min="2573" max="2573" width="47.625" style="1637" customWidth="1"/>
    <col min="2574" max="2816" width="9" style="1637"/>
    <col min="2817" max="2817" width="80.75" style="1637" customWidth="1"/>
    <col min="2818" max="2818" width="6.25" style="1637" customWidth="1"/>
    <col min="2819" max="2819" width="11.75" style="1637" customWidth="1"/>
    <col min="2820" max="2821" width="13.875" style="1637" customWidth="1"/>
    <col min="2822" max="2822" width="6.25" style="1637" customWidth="1"/>
    <col min="2823" max="2823" width="7.875" style="1637" customWidth="1"/>
    <col min="2824" max="2824" width="9" style="1637" customWidth="1"/>
    <col min="2825" max="2826" width="10.625" style="1637" customWidth="1"/>
    <col min="2827" max="2827" width="14.375" style="1637" customWidth="1"/>
    <col min="2828" max="2828" width="6.25" style="1637" customWidth="1"/>
    <col min="2829" max="2829" width="47.625" style="1637" customWidth="1"/>
    <col min="2830" max="3072" width="9" style="1637"/>
    <col min="3073" max="3073" width="80.75" style="1637" customWidth="1"/>
    <col min="3074" max="3074" width="6.25" style="1637" customWidth="1"/>
    <col min="3075" max="3075" width="11.75" style="1637" customWidth="1"/>
    <col min="3076" max="3077" width="13.875" style="1637" customWidth="1"/>
    <col min="3078" max="3078" width="6.25" style="1637" customWidth="1"/>
    <col min="3079" max="3079" width="7.875" style="1637" customWidth="1"/>
    <col min="3080" max="3080" width="9" style="1637" customWidth="1"/>
    <col min="3081" max="3082" width="10.625" style="1637" customWidth="1"/>
    <col min="3083" max="3083" width="14.375" style="1637" customWidth="1"/>
    <col min="3084" max="3084" width="6.25" style="1637" customWidth="1"/>
    <col min="3085" max="3085" width="47.625" style="1637" customWidth="1"/>
    <col min="3086" max="3328" width="9" style="1637"/>
    <col min="3329" max="3329" width="80.75" style="1637" customWidth="1"/>
    <col min="3330" max="3330" width="6.25" style="1637" customWidth="1"/>
    <col min="3331" max="3331" width="11.75" style="1637" customWidth="1"/>
    <col min="3332" max="3333" width="13.875" style="1637" customWidth="1"/>
    <col min="3334" max="3334" width="6.25" style="1637" customWidth="1"/>
    <col min="3335" max="3335" width="7.875" style="1637" customWidth="1"/>
    <col min="3336" max="3336" width="9" style="1637" customWidth="1"/>
    <col min="3337" max="3338" width="10.625" style="1637" customWidth="1"/>
    <col min="3339" max="3339" width="14.375" style="1637" customWidth="1"/>
    <col min="3340" max="3340" width="6.25" style="1637" customWidth="1"/>
    <col min="3341" max="3341" width="47.625" style="1637" customWidth="1"/>
    <col min="3342" max="3584" width="9" style="1637"/>
    <col min="3585" max="3585" width="80.75" style="1637" customWidth="1"/>
    <col min="3586" max="3586" width="6.25" style="1637" customWidth="1"/>
    <col min="3587" max="3587" width="11.75" style="1637" customWidth="1"/>
    <col min="3588" max="3589" width="13.875" style="1637" customWidth="1"/>
    <col min="3590" max="3590" width="6.25" style="1637" customWidth="1"/>
    <col min="3591" max="3591" width="7.875" style="1637" customWidth="1"/>
    <col min="3592" max="3592" width="9" style="1637" customWidth="1"/>
    <col min="3593" max="3594" width="10.625" style="1637" customWidth="1"/>
    <col min="3595" max="3595" width="14.375" style="1637" customWidth="1"/>
    <col min="3596" max="3596" width="6.25" style="1637" customWidth="1"/>
    <col min="3597" max="3597" width="47.625" style="1637" customWidth="1"/>
    <col min="3598" max="3840" width="9" style="1637"/>
    <col min="3841" max="3841" width="80.75" style="1637" customWidth="1"/>
    <col min="3842" max="3842" width="6.25" style="1637" customWidth="1"/>
    <col min="3843" max="3843" width="11.75" style="1637" customWidth="1"/>
    <col min="3844" max="3845" width="13.875" style="1637" customWidth="1"/>
    <col min="3846" max="3846" width="6.25" style="1637" customWidth="1"/>
    <col min="3847" max="3847" width="7.875" style="1637" customWidth="1"/>
    <col min="3848" max="3848" width="9" style="1637" customWidth="1"/>
    <col min="3849" max="3850" width="10.625" style="1637" customWidth="1"/>
    <col min="3851" max="3851" width="14.375" style="1637" customWidth="1"/>
    <col min="3852" max="3852" width="6.25" style="1637" customWidth="1"/>
    <col min="3853" max="3853" width="47.625" style="1637" customWidth="1"/>
    <col min="3854" max="4096" width="9" style="1637"/>
    <col min="4097" max="4097" width="80.75" style="1637" customWidth="1"/>
    <col min="4098" max="4098" width="6.25" style="1637" customWidth="1"/>
    <col min="4099" max="4099" width="11.75" style="1637" customWidth="1"/>
    <col min="4100" max="4101" width="13.875" style="1637" customWidth="1"/>
    <col min="4102" max="4102" width="6.25" style="1637" customWidth="1"/>
    <col min="4103" max="4103" width="7.875" style="1637" customWidth="1"/>
    <col min="4104" max="4104" width="9" style="1637" customWidth="1"/>
    <col min="4105" max="4106" width="10.625" style="1637" customWidth="1"/>
    <col min="4107" max="4107" width="14.375" style="1637" customWidth="1"/>
    <col min="4108" max="4108" width="6.25" style="1637" customWidth="1"/>
    <col min="4109" max="4109" width="47.625" style="1637" customWidth="1"/>
    <col min="4110" max="4352" width="9" style="1637"/>
    <col min="4353" max="4353" width="80.75" style="1637" customWidth="1"/>
    <col min="4354" max="4354" width="6.25" style="1637" customWidth="1"/>
    <col min="4355" max="4355" width="11.75" style="1637" customWidth="1"/>
    <col min="4356" max="4357" width="13.875" style="1637" customWidth="1"/>
    <col min="4358" max="4358" width="6.25" style="1637" customWidth="1"/>
    <col min="4359" max="4359" width="7.875" style="1637" customWidth="1"/>
    <col min="4360" max="4360" width="9" style="1637" customWidth="1"/>
    <col min="4361" max="4362" width="10.625" style="1637" customWidth="1"/>
    <col min="4363" max="4363" width="14.375" style="1637" customWidth="1"/>
    <col min="4364" max="4364" width="6.25" style="1637" customWidth="1"/>
    <col min="4365" max="4365" width="47.625" style="1637" customWidth="1"/>
    <col min="4366" max="4608" width="9" style="1637"/>
    <col min="4609" max="4609" width="80.75" style="1637" customWidth="1"/>
    <col min="4610" max="4610" width="6.25" style="1637" customWidth="1"/>
    <col min="4611" max="4611" width="11.75" style="1637" customWidth="1"/>
    <col min="4612" max="4613" width="13.875" style="1637" customWidth="1"/>
    <col min="4614" max="4614" width="6.25" style="1637" customWidth="1"/>
    <col min="4615" max="4615" width="7.875" style="1637" customWidth="1"/>
    <col min="4616" max="4616" width="9" style="1637" customWidth="1"/>
    <col min="4617" max="4618" width="10.625" style="1637" customWidth="1"/>
    <col min="4619" max="4619" width="14.375" style="1637" customWidth="1"/>
    <col min="4620" max="4620" width="6.25" style="1637" customWidth="1"/>
    <col min="4621" max="4621" width="47.625" style="1637" customWidth="1"/>
    <col min="4622" max="4864" width="9" style="1637"/>
    <col min="4865" max="4865" width="80.75" style="1637" customWidth="1"/>
    <col min="4866" max="4866" width="6.25" style="1637" customWidth="1"/>
    <col min="4867" max="4867" width="11.75" style="1637" customWidth="1"/>
    <col min="4868" max="4869" width="13.875" style="1637" customWidth="1"/>
    <col min="4870" max="4870" width="6.25" style="1637" customWidth="1"/>
    <col min="4871" max="4871" width="7.875" style="1637" customWidth="1"/>
    <col min="4872" max="4872" width="9" style="1637" customWidth="1"/>
    <col min="4873" max="4874" width="10.625" style="1637" customWidth="1"/>
    <col min="4875" max="4875" width="14.375" style="1637" customWidth="1"/>
    <col min="4876" max="4876" width="6.25" style="1637" customWidth="1"/>
    <col min="4877" max="4877" width="47.625" style="1637" customWidth="1"/>
    <col min="4878" max="5120" width="9" style="1637"/>
    <col min="5121" max="5121" width="80.75" style="1637" customWidth="1"/>
    <col min="5122" max="5122" width="6.25" style="1637" customWidth="1"/>
    <col min="5123" max="5123" width="11.75" style="1637" customWidth="1"/>
    <col min="5124" max="5125" width="13.875" style="1637" customWidth="1"/>
    <col min="5126" max="5126" width="6.25" style="1637" customWidth="1"/>
    <col min="5127" max="5127" width="7.875" style="1637" customWidth="1"/>
    <col min="5128" max="5128" width="9" style="1637" customWidth="1"/>
    <col min="5129" max="5130" width="10.625" style="1637" customWidth="1"/>
    <col min="5131" max="5131" width="14.375" style="1637" customWidth="1"/>
    <col min="5132" max="5132" width="6.25" style="1637" customWidth="1"/>
    <col min="5133" max="5133" width="47.625" style="1637" customWidth="1"/>
    <col min="5134" max="5376" width="9" style="1637"/>
    <col min="5377" max="5377" width="80.75" style="1637" customWidth="1"/>
    <col min="5378" max="5378" width="6.25" style="1637" customWidth="1"/>
    <col min="5379" max="5379" width="11.75" style="1637" customWidth="1"/>
    <col min="5380" max="5381" width="13.875" style="1637" customWidth="1"/>
    <col min="5382" max="5382" width="6.25" style="1637" customWidth="1"/>
    <col min="5383" max="5383" width="7.875" style="1637" customWidth="1"/>
    <col min="5384" max="5384" width="9" style="1637" customWidth="1"/>
    <col min="5385" max="5386" width="10.625" style="1637" customWidth="1"/>
    <col min="5387" max="5387" width="14.375" style="1637" customWidth="1"/>
    <col min="5388" max="5388" width="6.25" style="1637" customWidth="1"/>
    <col min="5389" max="5389" width="47.625" style="1637" customWidth="1"/>
    <col min="5390" max="5632" width="9" style="1637"/>
    <col min="5633" max="5633" width="80.75" style="1637" customWidth="1"/>
    <col min="5634" max="5634" width="6.25" style="1637" customWidth="1"/>
    <col min="5635" max="5635" width="11.75" style="1637" customWidth="1"/>
    <col min="5636" max="5637" width="13.875" style="1637" customWidth="1"/>
    <col min="5638" max="5638" width="6.25" style="1637" customWidth="1"/>
    <col min="5639" max="5639" width="7.875" style="1637" customWidth="1"/>
    <col min="5640" max="5640" width="9" style="1637" customWidth="1"/>
    <col min="5641" max="5642" width="10.625" style="1637" customWidth="1"/>
    <col min="5643" max="5643" width="14.375" style="1637" customWidth="1"/>
    <col min="5644" max="5644" width="6.25" style="1637" customWidth="1"/>
    <col min="5645" max="5645" width="47.625" style="1637" customWidth="1"/>
    <col min="5646" max="5888" width="9" style="1637"/>
    <col min="5889" max="5889" width="80.75" style="1637" customWidth="1"/>
    <col min="5890" max="5890" width="6.25" style="1637" customWidth="1"/>
    <col min="5891" max="5891" width="11.75" style="1637" customWidth="1"/>
    <col min="5892" max="5893" width="13.875" style="1637" customWidth="1"/>
    <col min="5894" max="5894" width="6.25" style="1637" customWidth="1"/>
    <col min="5895" max="5895" width="7.875" style="1637" customWidth="1"/>
    <col min="5896" max="5896" width="9" style="1637" customWidth="1"/>
    <col min="5897" max="5898" width="10.625" style="1637" customWidth="1"/>
    <col min="5899" max="5899" width="14.375" style="1637" customWidth="1"/>
    <col min="5900" max="5900" width="6.25" style="1637" customWidth="1"/>
    <col min="5901" max="5901" width="47.625" style="1637" customWidth="1"/>
    <col min="5902" max="6144" width="9" style="1637"/>
    <col min="6145" max="6145" width="80.75" style="1637" customWidth="1"/>
    <col min="6146" max="6146" width="6.25" style="1637" customWidth="1"/>
    <col min="6147" max="6147" width="11.75" style="1637" customWidth="1"/>
    <col min="6148" max="6149" width="13.875" style="1637" customWidth="1"/>
    <col min="6150" max="6150" width="6.25" style="1637" customWidth="1"/>
    <col min="6151" max="6151" width="7.875" style="1637" customWidth="1"/>
    <col min="6152" max="6152" width="9" style="1637" customWidth="1"/>
    <col min="6153" max="6154" width="10.625" style="1637" customWidth="1"/>
    <col min="6155" max="6155" width="14.375" style="1637" customWidth="1"/>
    <col min="6156" max="6156" width="6.25" style="1637" customWidth="1"/>
    <col min="6157" max="6157" width="47.625" style="1637" customWidth="1"/>
    <col min="6158" max="6400" width="9" style="1637"/>
    <col min="6401" max="6401" width="80.75" style="1637" customWidth="1"/>
    <col min="6402" max="6402" width="6.25" style="1637" customWidth="1"/>
    <col min="6403" max="6403" width="11.75" style="1637" customWidth="1"/>
    <col min="6404" max="6405" width="13.875" style="1637" customWidth="1"/>
    <col min="6406" max="6406" width="6.25" style="1637" customWidth="1"/>
    <col min="6407" max="6407" width="7.875" style="1637" customWidth="1"/>
    <col min="6408" max="6408" width="9" style="1637" customWidth="1"/>
    <col min="6409" max="6410" width="10.625" style="1637" customWidth="1"/>
    <col min="6411" max="6411" width="14.375" style="1637" customWidth="1"/>
    <col min="6412" max="6412" width="6.25" style="1637" customWidth="1"/>
    <col min="6413" max="6413" width="47.625" style="1637" customWidth="1"/>
    <col min="6414" max="6656" width="9" style="1637"/>
    <col min="6657" max="6657" width="80.75" style="1637" customWidth="1"/>
    <col min="6658" max="6658" width="6.25" style="1637" customWidth="1"/>
    <col min="6659" max="6659" width="11.75" style="1637" customWidth="1"/>
    <col min="6660" max="6661" width="13.875" style="1637" customWidth="1"/>
    <col min="6662" max="6662" width="6.25" style="1637" customWidth="1"/>
    <col min="6663" max="6663" width="7.875" style="1637" customWidth="1"/>
    <col min="6664" max="6664" width="9" style="1637" customWidth="1"/>
    <col min="6665" max="6666" width="10.625" style="1637" customWidth="1"/>
    <col min="6667" max="6667" width="14.375" style="1637" customWidth="1"/>
    <col min="6668" max="6668" width="6.25" style="1637" customWidth="1"/>
    <col min="6669" max="6669" width="47.625" style="1637" customWidth="1"/>
    <col min="6670" max="6912" width="9" style="1637"/>
    <col min="6913" max="6913" width="80.75" style="1637" customWidth="1"/>
    <col min="6914" max="6914" width="6.25" style="1637" customWidth="1"/>
    <col min="6915" max="6915" width="11.75" style="1637" customWidth="1"/>
    <col min="6916" max="6917" width="13.875" style="1637" customWidth="1"/>
    <col min="6918" max="6918" width="6.25" style="1637" customWidth="1"/>
    <col min="6919" max="6919" width="7.875" style="1637" customWidth="1"/>
    <col min="6920" max="6920" width="9" style="1637" customWidth="1"/>
    <col min="6921" max="6922" width="10.625" style="1637" customWidth="1"/>
    <col min="6923" max="6923" width="14.375" style="1637" customWidth="1"/>
    <col min="6924" max="6924" width="6.25" style="1637" customWidth="1"/>
    <col min="6925" max="6925" width="47.625" style="1637" customWidth="1"/>
    <col min="6926" max="7168" width="9" style="1637"/>
    <col min="7169" max="7169" width="80.75" style="1637" customWidth="1"/>
    <col min="7170" max="7170" width="6.25" style="1637" customWidth="1"/>
    <col min="7171" max="7171" width="11.75" style="1637" customWidth="1"/>
    <col min="7172" max="7173" width="13.875" style="1637" customWidth="1"/>
    <col min="7174" max="7174" width="6.25" style="1637" customWidth="1"/>
    <col min="7175" max="7175" width="7.875" style="1637" customWidth="1"/>
    <col min="7176" max="7176" width="9" style="1637" customWidth="1"/>
    <col min="7177" max="7178" width="10.625" style="1637" customWidth="1"/>
    <col min="7179" max="7179" width="14.375" style="1637" customWidth="1"/>
    <col min="7180" max="7180" width="6.25" style="1637" customWidth="1"/>
    <col min="7181" max="7181" width="47.625" style="1637" customWidth="1"/>
    <col min="7182" max="7424" width="9" style="1637"/>
    <col min="7425" max="7425" width="80.75" style="1637" customWidth="1"/>
    <col min="7426" max="7426" width="6.25" style="1637" customWidth="1"/>
    <col min="7427" max="7427" width="11.75" style="1637" customWidth="1"/>
    <col min="7428" max="7429" width="13.875" style="1637" customWidth="1"/>
    <col min="7430" max="7430" width="6.25" style="1637" customWidth="1"/>
    <col min="7431" max="7431" width="7.875" style="1637" customWidth="1"/>
    <col min="7432" max="7432" width="9" style="1637" customWidth="1"/>
    <col min="7433" max="7434" width="10.625" style="1637" customWidth="1"/>
    <col min="7435" max="7435" width="14.375" style="1637" customWidth="1"/>
    <col min="7436" max="7436" width="6.25" style="1637" customWidth="1"/>
    <col min="7437" max="7437" width="47.625" style="1637" customWidth="1"/>
    <col min="7438" max="7680" width="9" style="1637"/>
    <col min="7681" max="7681" width="80.75" style="1637" customWidth="1"/>
    <col min="7682" max="7682" width="6.25" style="1637" customWidth="1"/>
    <col min="7683" max="7683" width="11.75" style="1637" customWidth="1"/>
    <col min="7684" max="7685" width="13.875" style="1637" customWidth="1"/>
    <col min="7686" max="7686" width="6.25" style="1637" customWidth="1"/>
    <col min="7687" max="7687" width="7.875" style="1637" customWidth="1"/>
    <col min="7688" max="7688" width="9" style="1637" customWidth="1"/>
    <col min="7689" max="7690" width="10.625" style="1637" customWidth="1"/>
    <col min="7691" max="7691" width="14.375" style="1637" customWidth="1"/>
    <col min="7692" max="7692" width="6.25" style="1637" customWidth="1"/>
    <col min="7693" max="7693" width="47.625" style="1637" customWidth="1"/>
    <col min="7694" max="7936" width="9" style="1637"/>
    <col min="7937" max="7937" width="80.75" style="1637" customWidth="1"/>
    <col min="7938" max="7938" width="6.25" style="1637" customWidth="1"/>
    <col min="7939" max="7939" width="11.75" style="1637" customWidth="1"/>
    <col min="7940" max="7941" width="13.875" style="1637" customWidth="1"/>
    <col min="7942" max="7942" width="6.25" style="1637" customWidth="1"/>
    <col min="7943" max="7943" width="7.875" style="1637" customWidth="1"/>
    <col min="7944" max="7944" width="9" style="1637" customWidth="1"/>
    <col min="7945" max="7946" width="10.625" style="1637" customWidth="1"/>
    <col min="7947" max="7947" width="14.375" style="1637" customWidth="1"/>
    <col min="7948" max="7948" width="6.25" style="1637" customWidth="1"/>
    <col min="7949" max="7949" width="47.625" style="1637" customWidth="1"/>
    <col min="7950" max="8192" width="9" style="1637"/>
    <col min="8193" max="8193" width="80.75" style="1637" customWidth="1"/>
    <col min="8194" max="8194" width="6.25" style="1637" customWidth="1"/>
    <col min="8195" max="8195" width="11.75" style="1637" customWidth="1"/>
    <col min="8196" max="8197" width="13.875" style="1637" customWidth="1"/>
    <col min="8198" max="8198" width="6.25" style="1637" customWidth="1"/>
    <col min="8199" max="8199" width="7.875" style="1637" customWidth="1"/>
    <col min="8200" max="8200" width="9" style="1637" customWidth="1"/>
    <col min="8201" max="8202" width="10.625" style="1637" customWidth="1"/>
    <col min="8203" max="8203" width="14.375" style="1637" customWidth="1"/>
    <col min="8204" max="8204" width="6.25" style="1637" customWidth="1"/>
    <col min="8205" max="8205" width="47.625" style="1637" customWidth="1"/>
    <col min="8206" max="8448" width="9" style="1637"/>
    <col min="8449" max="8449" width="80.75" style="1637" customWidth="1"/>
    <col min="8450" max="8450" width="6.25" style="1637" customWidth="1"/>
    <col min="8451" max="8451" width="11.75" style="1637" customWidth="1"/>
    <col min="8452" max="8453" width="13.875" style="1637" customWidth="1"/>
    <col min="8454" max="8454" width="6.25" style="1637" customWidth="1"/>
    <col min="8455" max="8455" width="7.875" style="1637" customWidth="1"/>
    <col min="8456" max="8456" width="9" style="1637" customWidth="1"/>
    <col min="8457" max="8458" width="10.625" style="1637" customWidth="1"/>
    <col min="8459" max="8459" width="14.375" style="1637" customWidth="1"/>
    <col min="8460" max="8460" width="6.25" style="1637" customWidth="1"/>
    <col min="8461" max="8461" width="47.625" style="1637" customWidth="1"/>
    <col min="8462" max="8704" width="9" style="1637"/>
    <col min="8705" max="8705" width="80.75" style="1637" customWidth="1"/>
    <col min="8706" max="8706" width="6.25" style="1637" customWidth="1"/>
    <col min="8707" max="8707" width="11.75" style="1637" customWidth="1"/>
    <col min="8708" max="8709" width="13.875" style="1637" customWidth="1"/>
    <col min="8710" max="8710" width="6.25" style="1637" customWidth="1"/>
    <col min="8711" max="8711" width="7.875" style="1637" customWidth="1"/>
    <col min="8712" max="8712" width="9" style="1637" customWidth="1"/>
    <col min="8713" max="8714" width="10.625" style="1637" customWidth="1"/>
    <col min="8715" max="8715" width="14.375" style="1637" customWidth="1"/>
    <col min="8716" max="8716" width="6.25" style="1637" customWidth="1"/>
    <col min="8717" max="8717" width="47.625" style="1637" customWidth="1"/>
    <col min="8718" max="8960" width="9" style="1637"/>
    <col min="8961" max="8961" width="80.75" style="1637" customWidth="1"/>
    <col min="8962" max="8962" width="6.25" style="1637" customWidth="1"/>
    <col min="8963" max="8963" width="11.75" style="1637" customWidth="1"/>
    <col min="8964" max="8965" width="13.875" style="1637" customWidth="1"/>
    <col min="8966" max="8966" width="6.25" style="1637" customWidth="1"/>
    <col min="8967" max="8967" width="7.875" style="1637" customWidth="1"/>
    <col min="8968" max="8968" width="9" style="1637" customWidth="1"/>
    <col min="8969" max="8970" width="10.625" style="1637" customWidth="1"/>
    <col min="8971" max="8971" width="14.375" style="1637" customWidth="1"/>
    <col min="8972" max="8972" width="6.25" style="1637" customWidth="1"/>
    <col min="8973" max="8973" width="47.625" style="1637" customWidth="1"/>
    <col min="8974" max="9216" width="9" style="1637"/>
    <col min="9217" max="9217" width="80.75" style="1637" customWidth="1"/>
    <col min="9218" max="9218" width="6.25" style="1637" customWidth="1"/>
    <col min="9219" max="9219" width="11.75" style="1637" customWidth="1"/>
    <col min="9220" max="9221" width="13.875" style="1637" customWidth="1"/>
    <col min="9222" max="9222" width="6.25" style="1637" customWidth="1"/>
    <col min="9223" max="9223" width="7.875" style="1637" customWidth="1"/>
    <col min="9224" max="9224" width="9" style="1637" customWidth="1"/>
    <col min="9225" max="9226" width="10.625" style="1637" customWidth="1"/>
    <col min="9227" max="9227" width="14.375" style="1637" customWidth="1"/>
    <col min="9228" max="9228" width="6.25" style="1637" customWidth="1"/>
    <col min="9229" max="9229" width="47.625" style="1637" customWidth="1"/>
    <col min="9230" max="9472" width="9" style="1637"/>
    <col min="9473" max="9473" width="80.75" style="1637" customWidth="1"/>
    <col min="9474" max="9474" width="6.25" style="1637" customWidth="1"/>
    <col min="9475" max="9475" width="11.75" style="1637" customWidth="1"/>
    <col min="9476" max="9477" width="13.875" style="1637" customWidth="1"/>
    <col min="9478" max="9478" width="6.25" style="1637" customWidth="1"/>
    <col min="9479" max="9479" width="7.875" style="1637" customWidth="1"/>
    <col min="9480" max="9480" width="9" style="1637" customWidth="1"/>
    <col min="9481" max="9482" width="10.625" style="1637" customWidth="1"/>
    <col min="9483" max="9483" width="14.375" style="1637" customWidth="1"/>
    <col min="9484" max="9484" width="6.25" style="1637" customWidth="1"/>
    <col min="9485" max="9485" width="47.625" style="1637" customWidth="1"/>
    <col min="9486" max="9728" width="9" style="1637"/>
    <col min="9729" max="9729" width="80.75" style="1637" customWidth="1"/>
    <col min="9730" max="9730" width="6.25" style="1637" customWidth="1"/>
    <col min="9731" max="9731" width="11.75" style="1637" customWidth="1"/>
    <col min="9732" max="9733" width="13.875" style="1637" customWidth="1"/>
    <col min="9734" max="9734" width="6.25" style="1637" customWidth="1"/>
    <col min="9735" max="9735" width="7.875" style="1637" customWidth="1"/>
    <col min="9736" max="9736" width="9" style="1637" customWidth="1"/>
    <col min="9737" max="9738" width="10.625" style="1637" customWidth="1"/>
    <col min="9739" max="9739" width="14.375" style="1637" customWidth="1"/>
    <col min="9740" max="9740" width="6.25" style="1637" customWidth="1"/>
    <col min="9741" max="9741" width="47.625" style="1637" customWidth="1"/>
    <col min="9742" max="9984" width="9" style="1637"/>
    <col min="9985" max="9985" width="80.75" style="1637" customWidth="1"/>
    <col min="9986" max="9986" width="6.25" style="1637" customWidth="1"/>
    <col min="9987" max="9987" width="11.75" style="1637" customWidth="1"/>
    <col min="9988" max="9989" width="13.875" style="1637" customWidth="1"/>
    <col min="9990" max="9990" width="6.25" style="1637" customWidth="1"/>
    <col min="9991" max="9991" width="7.875" style="1637" customWidth="1"/>
    <col min="9992" max="9992" width="9" style="1637" customWidth="1"/>
    <col min="9993" max="9994" width="10.625" style="1637" customWidth="1"/>
    <col min="9995" max="9995" width="14.375" style="1637" customWidth="1"/>
    <col min="9996" max="9996" width="6.25" style="1637" customWidth="1"/>
    <col min="9997" max="9997" width="47.625" style="1637" customWidth="1"/>
    <col min="9998" max="10240" width="9" style="1637"/>
    <col min="10241" max="10241" width="80.75" style="1637" customWidth="1"/>
    <col min="10242" max="10242" width="6.25" style="1637" customWidth="1"/>
    <col min="10243" max="10243" width="11.75" style="1637" customWidth="1"/>
    <col min="10244" max="10245" width="13.875" style="1637" customWidth="1"/>
    <col min="10246" max="10246" width="6.25" style="1637" customWidth="1"/>
    <col min="10247" max="10247" width="7.875" style="1637" customWidth="1"/>
    <col min="10248" max="10248" width="9" style="1637" customWidth="1"/>
    <col min="10249" max="10250" width="10.625" style="1637" customWidth="1"/>
    <col min="10251" max="10251" width="14.375" style="1637" customWidth="1"/>
    <col min="10252" max="10252" width="6.25" style="1637" customWidth="1"/>
    <col min="10253" max="10253" width="47.625" style="1637" customWidth="1"/>
    <col min="10254" max="10496" width="9" style="1637"/>
    <col min="10497" max="10497" width="80.75" style="1637" customWidth="1"/>
    <col min="10498" max="10498" width="6.25" style="1637" customWidth="1"/>
    <col min="10499" max="10499" width="11.75" style="1637" customWidth="1"/>
    <col min="10500" max="10501" width="13.875" style="1637" customWidth="1"/>
    <col min="10502" max="10502" width="6.25" style="1637" customWidth="1"/>
    <col min="10503" max="10503" width="7.875" style="1637" customWidth="1"/>
    <col min="10504" max="10504" width="9" style="1637" customWidth="1"/>
    <col min="10505" max="10506" width="10.625" style="1637" customWidth="1"/>
    <col min="10507" max="10507" width="14.375" style="1637" customWidth="1"/>
    <col min="10508" max="10508" width="6.25" style="1637" customWidth="1"/>
    <col min="10509" max="10509" width="47.625" style="1637" customWidth="1"/>
    <col min="10510" max="10752" width="9" style="1637"/>
    <col min="10753" max="10753" width="80.75" style="1637" customWidth="1"/>
    <col min="10754" max="10754" width="6.25" style="1637" customWidth="1"/>
    <col min="10755" max="10755" width="11.75" style="1637" customWidth="1"/>
    <col min="10756" max="10757" width="13.875" style="1637" customWidth="1"/>
    <col min="10758" max="10758" width="6.25" style="1637" customWidth="1"/>
    <col min="10759" max="10759" width="7.875" style="1637" customWidth="1"/>
    <col min="10760" max="10760" width="9" style="1637" customWidth="1"/>
    <col min="10761" max="10762" width="10.625" style="1637" customWidth="1"/>
    <col min="10763" max="10763" width="14.375" style="1637" customWidth="1"/>
    <col min="10764" max="10764" width="6.25" style="1637" customWidth="1"/>
    <col min="10765" max="10765" width="47.625" style="1637" customWidth="1"/>
    <col min="10766" max="11008" width="9" style="1637"/>
    <col min="11009" max="11009" width="80.75" style="1637" customWidth="1"/>
    <col min="11010" max="11010" width="6.25" style="1637" customWidth="1"/>
    <col min="11011" max="11011" width="11.75" style="1637" customWidth="1"/>
    <col min="11012" max="11013" width="13.875" style="1637" customWidth="1"/>
    <col min="11014" max="11014" width="6.25" style="1637" customWidth="1"/>
    <col min="11015" max="11015" width="7.875" style="1637" customWidth="1"/>
    <col min="11016" max="11016" width="9" style="1637" customWidth="1"/>
    <col min="11017" max="11018" width="10.625" style="1637" customWidth="1"/>
    <col min="11019" max="11019" width="14.375" style="1637" customWidth="1"/>
    <col min="11020" max="11020" width="6.25" style="1637" customWidth="1"/>
    <col min="11021" max="11021" width="47.625" style="1637" customWidth="1"/>
    <col min="11022" max="11264" width="9" style="1637"/>
    <col min="11265" max="11265" width="80.75" style="1637" customWidth="1"/>
    <col min="11266" max="11266" width="6.25" style="1637" customWidth="1"/>
    <col min="11267" max="11267" width="11.75" style="1637" customWidth="1"/>
    <col min="11268" max="11269" width="13.875" style="1637" customWidth="1"/>
    <col min="11270" max="11270" width="6.25" style="1637" customWidth="1"/>
    <col min="11271" max="11271" width="7.875" style="1637" customWidth="1"/>
    <col min="11272" max="11272" width="9" style="1637" customWidth="1"/>
    <col min="11273" max="11274" width="10.625" style="1637" customWidth="1"/>
    <col min="11275" max="11275" width="14.375" style="1637" customWidth="1"/>
    <col min="11276" max="11276" width="6.25" style="1637" customWidth="1"/>
    <col min="11277" max="11277" width="47.625" style="1637" customWidth="1"/>
    <col min="11278" max="11520" width="9" style="1637"/>
    <col min="11521" max="11521" width="80.75" style="1637" customWidth="1"/>
    <col min="11522" max="11522" width="6.25" style="1637" customWidth="1"/>
    <col min="11523" max="11523" width="11.75" style="1637" customWidth="1"/>
    <col min="11524" max="11525" width="13.875" style="1637" customWidth="1"/>
    <col min="11526" max="11526" width="6.25" style="1637" customWidth="1"/>
    <col min="11527" max="11527" width="7.875" style="1637" customWidth="1"/>
    <col min="11528" max="11528" width="9" style="1637" customWidth="1"/>
    <col min="11529" max="11530" width="10.625" style="1637" customWidth="1"/>
    <col min="11531" max="11531" width="14.375" style="1637" customWidth="1"/>
    <col min="11532" max="11532" width="6.25" style="1637" customWidth="1"/>
    <col min="11533" max="11533" width="47.625" style="1637" customWidth="1"/>
    <col min="11534" max="11776" width="9" style="1637"/>
    <col min="11777" max="11777" width="80.75" style="1637" customWidth="1"/>
    <col min="11778" max="11778" width="6.25" style="1637" customWidth="1"/>
    <col min="11779" max="11779" width="11.75" style="1637" customWidth="1"/>
    <col min="11780" max="11781" width="13.875" style="1637" customWidth="1"/>
    <col min="11782" max="11782" width="6.25" style="1637" customWidth="1"/>
    <col min="11783" max="11783" width="7.875" style="1637" customWidth="1"/>
    <col min="11784" max="11784" width="9" style="1637" customWidth="1"/>
    <col min="11785" max="11786" width="10.625" style="1637" customWidth="1"/>
    <col min="11787" max="11787" width="14.375" style="1637" customWidth="1"/>
    <col min="11788" max="11788" width="6.25" style="1637" customWidth="1"/>
    <col min="11789" max="11789" width="47.625" style="1637" customWidth="1"/>
    <col min="11790" max="12032" width="9" style="1637"/>
    <col min="12033" max="12033" width="80.75" style="1637" customWidth="1"/>
    <col min="12034" max="12034" width="6.25" style="1637" customWidth="1"/>
    <col min="12035" max="12035" width="11.75" style="1637" customWidth="1"/>
    <col min="12036" max="12037" width="13.875" style="1637" customWidth="1"/>
    <col min="12038" max="12038" width="6.25" style="1637" customWidth="1"/>
    <col min="12039" max="12039" width="7.875" style="1637" customWidth="1"/>
    <col min="12040" max="12040" width="9" style="1637" customWidth="1"/>
    <col min="12041" max="12042" width="10.625" style="1637" customWidth="1"/>
    <col min="12043" max="12043" width="14.375" style="1637" customWidth="1"/>
    <col min="12044" max="12044" width="6.25" style="1637" customWidth="1"/>
    <col min="12045" max="12045" width="47.625" style="1637" customWidth="1"/>
    <col min="12046" max="12288" width="9" style="1637"/>
    <col min="12289" max="12289" width="80.75" style="1637" customWidth="1"/>
    <col min="12290" max="12290" width="6.25" style="1637" customWidth="1"/>
    <col min="12291" max="12291" width="11.75" style="1637" customWidth="1"/>
    <col min="12292" max="12293" width="13.875" style="1637" customWidth="1"/>
    <col min="12294" max="12294" width="6.25" style="1637" customWidth="1"/>
    <col min="12295" max="12295" width="7.875" style="1637" customWidth="1"/>
    <col min="12296" max="12296" width="9" style="1637" customWidth="1"/>
    <col min="12297" max="12298" width="10.625" style="1637" customWidth="1"/>
    <col min="12299" max="12299" width="14.375" style="1637" customWidth="1"/>
    <col min="12300" max="12300" width="6.25" style="1637" customWidth="1"/>
    <col min="12301" max="12301" width="47.625" style="1637" customWidth="1"/>
    <col min="12302" max="12544" width="9" style="1637"/>
    <col min="12545" max="12545" width="80.75" style="1637" customWidth="1"/>
    <col min="12546" max="12546" width="6.25" style="1637" customWidth="1"/>
    <col min="12547" max="12547" width="11.75" style="1637" customWidth="1"/>
    <col min="12548" max="12549" width="13.875" style="1637" customWidth="1"/>
    <col min="12550" max="12550" width="6.25" style="1637" customWidth="1"/>
    <col min="12551" max="12551" width="7.875" style="1637" customWidth="1"/>
    <col min="12552" max="12552" width="9" style="1637" customWidth="1"/>
    <col min="12553" max="12554" width="10.625" style="1637" customWidth="1"/>
    <col min="12555" max="12555" width="14.375" style="1637" customWidth="1"/>
    <col min="12556" max="12556" width="6.25" style="1637" customWidth="1"/>
    <col min="12557" max="12557" width="47.625" style="1637" customWidth="1"/>
    <col min="12558" max="12800" width="9" style="1637"/>
    <col min="12801" max="12801" width="80.75" style="1637" customWidth="1"/>
    <col min="12802" max="12802" width="6.25" style="1637" customWidth="1"/>
    <col min="12803" max="12803" width="11.75" style="1637" customWidth="1"/>
    <col min="12804" max="12805" width="13.875" style="1637" customWidth="1"/>
    <col min="12806" max="12806" width="6.25" style="1637" customWidth="1"/>
    <col min="12807" max="12807" width="7.875" style="1637" customWidth="1"/>
    <col min="12808" max="12808" width="9" style="1637" customWidth="1"/>
    <col min="12809" max="12810" width="10.625" style="1637" customWidth="1"/>
    <col min="12811" max="12811" width="14.375" style="1637" customWidth="1"/>
    <col min="12812" max="12812" width="6.25" style="1637" customWidth="1"/>
    <col min="12813" max="12813" width="47.625" style="1637" customWidth="1"/>
    <col min="12814" max="13056" width="9" style="1637"/>
    <col min="13057" max="13057" width="80.75" style="1637" customWidth="1"/>
    <col min="13058" max="13058" width="6.25" style="1637" customWidth="1"/>
    <col min="13059" max="13059" width="11.75" style="1637" customWidth="1"/>
    <col min="13060" max="13061" width="13.875" style="1637" customWidth="1"/>
    <col min="13062" max="13062" width="6.25" style="1637" customWidth="1"/>
    <col min="13063" max="13063" width="7.875" style="1637" customWidth="1"/>
    <col min="13064" max="13064" width="9" style="1637" customWidth="1"/>
    <col min="13065" max="13066" width="10.625" style="1637" customWidth="1"/>
    <col min="13067" max="13067" width="14.375" style="1637" customWidth="1"/>
    <col min="13068" max="13068" width="6.25" style="1637" customWidth="1"/>
    <col min="13069" max="13069" width="47.625" style="1637" customWidth="1"/>
    <col min="13070" max="13312" width="9" style="1637"/>
    <col min="13313" max="13313" width="80.75" style="1637" customWidth="1"/>
    <col min="13314" max="13314" width="6.25" style="1637" customWidth="1"/>
    <col min="13315" max="13315" width="11.75" style="1637" customWidth="1"/>
    <col min="13316" max="13317" width="13.875" style="1637" customWidth="1"/>
    <col min="13318" max="13318" width="6.25" style="1637" customWidth="1"/>
    <col min="13319" max="13319" width="7.875" style="1637" customWidth="1"/>
    <col min="13320" max="13320" width="9" style="1637" customWidth="1"/>
    <col min="13321" max="13322" width="10.625" style="1637" customWidth="1"/>
    <col min="13323" max="13323" width="14.375" style="1637" customWidth="1"/>
    <col min="13324" max="13324" width="6.25" style="1637" customWidth="1"/>
    <col min="13325" max="13325" width="47.625" style="1637" customWidth="1"/>
    <col min="13326" max="13568" width="9" style="1637"/>
    <col min="13569" max="13569" width="80.75" style="1637" customWidth="1"/>
    <col min="13570" max="13570" width="6.25" style="1637" customWidth="1"/>
    <col min="13571" max="13571" width="11.75" style="1637" customWidth="1"/>
    <col min="13572" max="13573" width="13.875" style="1637" customWidth="1"/>
    <col min="13574" max="13574" width="6.25" style="1637" customWidth="1"/>
    <col min="13575" max="13575" width="7.875" style="1637" customWidth="1"/>
    <col min="13576" max="13576" width="9" style="1637" customWidth="1"/>
    <col min="13577" max="13578" width="10.625" style="1637" customWidth="1"/>
    <col min="13579" max="13579" width="14.375" style="1637" customWidth="1"/>
    <col min="13580" max="13580" width="6.25" style="1637" customWidth="1"/>
    <col min="13581" max="13581" width="47.625" style="1637" customWidth="1"/>
    <col min="13582" max="13824" width="9" style="1637"/>
    <col min="13825" max="13825" width="80.75" style="1637" customWidth="1"/>
    <col min="13826" max="13826" width="6.25" style="1637" customWidth="1"/>
    <col min="13827" max="13827" width="11.75" style="1637" customWidth="1"/>
    <col min="13828" max="13829" width="13.875" style="1637" customWidth="1"/>
    <col min="13830" max="13830" width="6.25" style="1637" customWidth="1"/>
    <col min="13831" max="13831" width="7.875" style="1637" customWidth="1"/>
    <col min="13832" max="13832" width="9" style="1637" customWidth="1"/>
    <col min="13833" max="13834" width="10.625" style="1637" customWidth="1"/>
    <col min="13835" max="13835" width="14.375" style="1637" customWidth="1"/>
    <col min="13836" max="13836" width="6.25" style="1637" customWidth="1"/>
    <col min="13837" max="13837" width="47.625" style="1637" customWidth="1"/>
    <col min="13838" max="14080" width="9" style="1637"/>
    <col min="14081" max="14081" width="80.75" style="1637" customWidth="1"/>
    <col min="14082" max="14082" width="6.25" style="1637" customWidth="1"/>
    <col min="14083" max="14083" width="11.75" style="1637" customWidth="1"/>
    <col min="14084" max="14085" width="13.875" style="1637" customWidth="1"/>
    <col min="14086" max="14086" width="6.25" style="1637" customWidth="1"/>
    <col min="14087" max="14087" width="7.875" style="1637" customWidth="1"/>
    <col min="14088" max="14088" width="9" style="1637" customWidth="1"/>
    <col min="14089" max="14090" width="10.625" style="1637" customWidth="1"/>
    <col min="14091" max="14091" width="14.375" style="1637" customWidth="1"/>
    <col min="14092" max="14092" width="6.25" style="1637" customWidth="1"/>
    <col min="14093" max="14093" width="47.625" style="1637" customWidth="1"/>
    <col min="14094" max="14336" width="9" style="1637"/>
    <col min="14337" max="14337" width="80.75" style="1637" customWidth="1"/>
    <col min="14338" max="14338" width="6.25" style="1637" customWidth="1"/>
    <col min="14339" max="14339" width="11.75" style="1637" customWidth="1"/>
    <col min="14340" max="14341" width="13.875" style="1637" customWidth="1"/>
    <col min="14342" max="14342" width="6.25" style="1637" customWidth="1"/>
    <col min="14343" max="14343" width="7.875" style="1637" customWidth="1"/>
    <col min="14344" max="14344" width="9" style="1637" customWidth="1"/>
    <col min="14345" max="14346" width="10.625" style="1637" customWidth="1"/>
    <col min="14347" max="14347" width="14.375" style="1637" customWidth="1"/>
    <col min="14348" max="14348" width="6.25" style="1637" customWidth="1"/>
    <col min="14349" max="14349" width="47.625" style="1637" customWidth="1"/>
    <col min="14350" max="14592" width="9" style="1637"/>
    <col min="14593" max="14593" width="80.75" style="1637" customWidth="1"/>
    <col min="14594" max="14594" width="6.25" style="1637" customWidth="1"/>
    <col min="14595" max="14595" width="11.75" style="1637" customWidth="1"/>
    <col min="14596" max="14597" width="13.875" style="1637" customWidth="1"/>
    <col min="14598" max="14598" width="6.25" style="1637" customWidth="1"/>
    <col min="14599" max="14599" width="7.875" style="1637" customWidth="1"/>
    <col min="14600" max="14600" width="9" style="1637" customWidth="1"/>
    <col min="14601" max="14602" width="10.625" style="1637" customWidth="1"/>
    <col min="14603" max="14603" width="14.375" style="1637" customWidth="1"/>
    <col min="14604" max="14604" width="6.25" style="1637" customWidth="1"/>
    <col min="14605" max="14605" width="47.625" style="1637" customWidth="1"/>
    <col min="14606" max="14848" width="9" style="1637"/>
    <col min="14849" max="14849" width="80.75" style="1637" customWidth="1"/>
    <col min="14850" max="14850" width="6.25" style="1637" customWidth="1"/>
    <col min="14851" max="14851" width="11.75" style="1637" customWidth="1"/>
    <col min="14852" max="14853" width="13.875" style="1637" customWidth="1"/>
    <col min="14854" max="14854" width="6.25" style="1637" customWidth="1"/>
    <col min="14855" max="14855" width="7.875" style="1637" customWidth="1"/>
    <col min="14856" max="14856" width="9" style="1637" customWidth="1"/>
    <col min="14857" max="14858" width="10.625" style="1637" customWidth="1"/>
    <col min="14859" max="14859" width="14.375" style="1637" customWidth="1"/>
    <col min="14860" max="14860" width="6.25" style="1637" customWidth="1"/>
    <col min="14861" max="14861" width="47.625" style="1637" customWidth="1"/>
    <col min="14862" max="15104" width="9" style="1637"/>
    <col min="15105" max="15105" width="80.75" style="1637" customWidth="1"/>
    <col min="15106" max="15106" width="6.25" style="1637" customWidth="1"/>
    <col min="15107" max="15107" width="11.75" style="1637" customWidth="1"/>
    <col min="15108" max="15109" width="13.875" style="1637" customWidth="1"/>
    <col min="15110" max="15110" width="6.25" style="1637" customWidth="1"/>
    <col min="15111" max="15111" width="7.875" style="1637" customWidth="1"/>
    <col min="15112" max="15112" width="9" style="1637" customWidth="1"/>
    <col min="15113" max="15114" width="10.625" style="1637" customWidth="1"/>
    <col min="15115" max="15115" width="14.375" style="1637" customWidth="1"/>
    <col min="15116" max="15116" width="6.25" style="1637" customWidth="1"/>
    <col min="15117" max="15117" width="47.625" style="1637" customWidth="1"/>
    <col min="15118" max="15360" width="9" style="1637"/>
    <col min="15361" max="15361" width="80.75" style="1637" customWidth="1"/>
    <col min="15362" max="15362" width="6.25" style="1637" customWidth="1"/>
    <col min="15363" max="15363" width="11.75" style="1637" customWidth="1"/>
    <col min="15364" max="15365" width="13.875" style="1637" customWidth="1"/>
    <col min="15366" max="15366" width="6.25" style="1637" customWidth="1"/>
    <col min="15367" max="15367" width="7.875" style="1637" customWidth="1"/>
    <col min="15368" max="15368" width="9" style="1637" customWidth="1"/>
    <col min="15369" max="15370" width="10.625" style="1637" customWidth="1"/>
    <col min="15371" max="15371" width="14.375" style="1637" customWidth="1"/>
    <col min="15372" max="15372" width="6.25" style="1637" customWidth="1"/>
    <col min="15373" max="15373" width="47.625" style="1637" customWidth="1"/>
    <col min="15374" max="15616" width="9" style="1637"/>
    <col min="15617" max="15617" width="80.75" style="1637" customWidth="1"/>
    <col min="15618" max="15618" width="6.25" style="1637" customWidth="1"/>
    <col min="15619" max="15619" width="11.75" style="1637" customWidth="1"/>
    <col min="15620" max="15621" width="13.875" style="1637" customWidth="1"/>
    <col min="15622" max="15622" width="6.25" style="1637" customWidth="1"/>
    <col min="15623" max="15623" width="7.875" style="1637" customWidth="1"/>
    <col min="15624" max="15624" width="9" style="1637" customWidth="1"/>
    <col min="15625" max="15626" width="10.625" style="1637" customWidth="1"/>
    <col min="15627" max="15627" width="14.375" style="1637" customWidth="1"/>
    <col min="15628" max="15628" width="6.25" style="1637" customWidth="1"/>
    <col min="15629" max="15629" width="47.625" style="1637" customWidth="1"/>
    <col min="15630" max="15872" width="9" style="1637"/>
    <col min="15873" max="15873" width="80.75" style="1637" customWidth="1"/>
    <col min="15874" max="15874" width="6.25" style="1637" customWidth="1"/>
    <col min="15875" max="15875" width="11.75" style="1637" customWidth="1"/>
    <col min="15876" max="15877" width="13.875" style="1637" customWidth="1"/>
    <col min="15878" max="15878" width="6.25" style="1637" customWidth="1"/>
    <col min="15879" max="15879" width="7.875" style="1637" customWidth="1"/>
    <col min="15880" max="15880" width="9" style="1637" customWidth="1"/>
    <col min="15881" max="15882" width="10.625" style="1637" customWidth="1"/>
    <col min="15883" max="15883" width="14.375" style="1637" customWidth="1"/>
    <col min="15884" max="15884" width="6.25" style="1637" customWidth="1"/>
    <col min="15885" max="15885" width="47.625" style="1637" customWidth="1"/>
    <col min="15886" max="16128" width="9" style="1637"/>
    <col min="16129" max="16129" width="80.75" style="1637" customWidth="1"/>
    <col min="16130" max="16130" width="6.25" style="1637" customWidth="1"/>
    <col min="16131" max="16131" width="11.75" style="1637" customWidth="1"/>
    <col min="16132" max="16133" width="13.875" style="1637" customWidth="1"/>
    <col min="16134" max="16134" width="6.25" style="1637" customWidth="1"/>
    <col min="16135" max="16135" width="7.875" style="1637" customWidth="1"/>
    <col min="16136" max="16136" width="9" style="1637" customWidth="1"/>
    <col min="16137" max="16138" width="10.625" style="1637" customWidth="1"/>
    <col min="16139" max="16139" width="14.375" style="1637" customWidth="1"/>
    <col min="16140" max="16140" width="6.25" style="1637" customWidth="1"/>
    <col min="16141" max="16141" width="47.625" style="1637" customWidth="1"/>
    <col min="16142" max="16384" width="9" style="1637"/>
  </cols>
  <sheetData>
    <row r="1" spans="1:13">
      <c r="A1" s="1637" t="s">
        <v>3090</v>
      </c>
      <c r="B1" s="1637" t="s">
        <v>3091</v>
      </c>
      <c r="C1" s="1637" t="s">
        <v>3092</v>
      </c>
      <c r="D1" s="1637" t="s">
        <v>3093</v>
      </c>
      <c r="E1" s="1637" t="s">
        <v>3094</v>
      </c>
      <c r="F1" s="1637" t="s">
        <v>3095</v>
      </c>
      <c r="G1" s="1637" t="s">
        <v>3096</v>
      </c>
      <c r="H1" s="1637" t="s">
        <v>3097</v>
      </c>
      <c r="I1" s="1637" t="s">
        <v>3098</v>
      </c>
      <c r="J1" s="1637" t="s">
        <v>3099</v>
      </c>
      <c r="K1" s="1637" t="s">
        <v>3100</v>
      </c>
      <c r="L1" s="1637" t="s">
        <v>3101</v>
      </c>
      <c r="M1" s="1637" t="s">
        <v>3102</v>
      </c>
    </row>
    <row r="2" spans="1:13">
      <c r="A2" s="1637" t="s">
        <v>3103</v>
      </c>
      <c r="B2" s="1637" t="s">
        <v>3038</v>
      </c>
      <c r="C2" s="1637" t="s">
        <v>3104</v>
      </c>
      <c r="D2" s="1637">
        <v>66237.2</v>
      </c>
      <c r="E2" s="1637">
        <v>264058.7</v>
      </c>
      <c r="F2" s="1637">
        <v>3.99</v>
      </c>
      <c r="G2" s="1637" t="s">
        <v>3105</v>
      </c>
      <c r="H2" s="1637" t="s">
        <v>3106</v>
      </c>
      <c r="I2" s="1637">
        <v>385000</v>
      </c>
      <c r="J2" s="1637">
        <v>385000</v>
      </c>
      <c r="K2" s="1637">
        <v>14580.09</v>
      </c>
      <c r="L2" s="1637">
        <v>0</v>
      </c>
      <c r="M2" s="1637" t="s">
        <v>3107</v>
      </c>
    </row>
    <row r="3" spans="1:13">
      <c r="A3" s="1637" t="s">
        <v>3108</v>
      </c>
      <c r="B3" s="1637" t="s">
        <v>3038</v>
      </c>
      <c r="C3" s="1637" t="s">
        <v>3104</v>
      </c>
      <c r="D3" s="1637">
        <v>18303.330000000002</v>
      </c>
      <c r="E3" s="1637">
        <v>58571</v>
      </c>
      <c r="F3" s="1637">
        <v>3.2</v>
      </c>
      <c r="G3" s="1637" t="s">
        <v>3105</v>
      </c>
      <c r="H3" s="1637" t="s">
        <v>3109</v>
      </c>
      <c r="I3" s="1637">
        <v>79600</v>
      </c>
      <c r="J3" s="1637">
        <v>129000</v>
      </c>
      <c r="K3" s="1637">
        <v>22024.54</v>
      </c>
      <c r="L3" s="1637">
        <v>62.06</v>
      </c>
      <c r="M3" s="1637" t="s">
        <v>3110</v>
      </c>
    </row>
    <row r="4" spans="1:13" s="2953" customFormat="1">
      <c r="A4" s="2953" t="s">
        <v>3111</v>
      </c>
      <c r="B4" s="2953" t="s">
        <v>3038</v>
      </c>
      <c r="C4" s="2953" t="s">
        <v>3104</v>
      </c>
      <c r="D4" s="2953">
        <v>29183.54</v>
      </c>
      <c r="E4" s="2953">
        <v>72959</v>
      </c>
      <c r="F4" s="2953">
        <v>2.5</v>
      </c>
      <c r="G4" s="2953" t="s">
        <v>3105</v>
      </c>
      <c r="H4" s="2953" t="s">
        <v>3112</v>
      </c>
      <c r="I4" s="2953">
        <v>83000</v>
      </c>
      <c r="J4" s="2953">
        <v>106000</v>
      </c>
      <c r="K4" s="2953">
        <v>14528.7</v>
      </c>
      <c r="L4" s="2953">
        <v>27.71</v>
      </c>
      <c r="M4" s="2953" t="s">
        <v>3113</v>
      </c>
    </row>
    <row r="5" spans="1:13">
      <c r="A5" s="1637" t="s">
        <v>3114</v>
      </c>
      <c r="B5" s="1637" t="s">
        <v>3038</v>
      </c>
      <c r="C5" s="1637" t="s">
        <v>3104</v>
      </c>
      <c r="D5" s="1637">
        <v>23639.39</v>
      </c>
      <c r="E5" s="1637">
        <v>75646</v>
      </c>
      <c r="F5" s="1637">
        <v>3.2</v>
      </c>
      <c r="G5" s="1637" t="s">
        <v>3105</v>
      </c>
      <c r="H5" s="1637" t="s">
        <v>3115</v>
      </c>
      <c r="I5" s="1637">
        <v>102000</v>
      </c>
      <c r="J5" s="1637">
        <v>103020</v>
      </c>
      <c r="K5" s="1637">
        <v>13618.7</v>
      </c>
      <c r="L5" s="1637">
        <v>1</v>
      </c>
      <c r="M5" s="1637" t="s">
        <v>3116</v>
      </c>
    </row>
    <row r="6" spans="1:13">
      <c r="A6" s="1637" t="s">
        <v>3117</v>
      </c>
      <c r="B6" s="1637" t="s">
        <v>3038</v>
      </c>
      <c r="C6" s="1637" t="s">
        <v>3104</v>
      </c>
      <c r="D6" s="1637">
        <v>33619.79</v>
      </c>
      <c r="E6" s="1637">
        <v>134479</v>
      </c>
      <c r="F6" s="1637">
        <v>4</v>
      </c>
      <c r="G6" s="1637" t="s">
        <v>3105</v>
      </c>
      <c r="H6" s="1637" t="s">
        <v>3118</v>
      </c>
      <c r="I6" s="1637">
        <v>153000</v>
      </c>
      <c r="J6" s="1637">
        <v>334000</v>
      </c>
      <c r="K6" s="1637">
        <v>24836.59</v>
      </c>
      <c r="L6" s="1637">
        <v>118.3</v>
      </c>
      <c r="M6" s="1637" t="s">
        <v>3119</v>
      </c>
    </row>
    <row r="7" spans="1:13" s="2953" customFormat="1">
      <c r="A7" s="2953" t="s">
        <v>3120</v>
      </c>
      <c r="B7" s="2953" t="s">
        <v>3038</v>
      </c>
      <c r="C7" s="2953" t="s">
        <v>3104</v>
      </c>
      <c r="D7" s="2953">
        <v>71916.58</v>
      </c>
      <c r="E7" s="2953">
        <v>107875</v>
      </c>
      <c r="F7" s="2953">
        <v>1.5</v>
      </c>
      <c r="G7" s="2953" t="s">
        <v>3105</v>
      </c>
      <c r="H7" s="2953" t="s">
        <v>3121</v>
      </c>
      <c r="I7" s="2953">
        <v>90000</v>
      </c>
      <c r="J7" s="2953">
        <v>181000</v>
      </c>
      <c r="K7" s="2953">
        <v>16778.68</v>
      </c>
      <c r="L7" s="2953">
        <v>101.11</v>
      </c>
      <c r="M7" s="2953" t="s">
        <v>3122</v>
      </c>
    </row>
    <row r="8" spans="1:13" s="2954" customFormat="1">
      <c r="A8" s="2954" t="s">
        <v>3123</v>
      </c>
      <c r="B8" s="2954" t="s">
        <v>3038</v>
      </c>
      <c r="C8" s="2954" t="s">
        <v>3104</v>
      </c>
      <c r="D8" s="2954">
        <v>47919.26</v>
      </c>
      <c r="E8" s="2954">
        <v>143758</v>
      </c>
      <c r="F8" s="2954">
        <v>3</v>
      </c>
      <c r="G8" s="2954" t="s">
        <v>3105</v>
      </c>
      <c r="H8" s="2954" t="s">
        <v>3124</v>
      </c>
      <c r="I8" s="2954">
        <v>120000</v>
      </c>
      <c r="J8" s="2954">
        <v>130000</v>
      </c>
      <c r="K8" s="2954">
        <v>9042.9599999999991</v>
      </c>
      <c r="L8" s="2954">
        <v>8.33</v>
      </c>
      <c r="M8" s="2954" t="s">
        <v>3122</v>
      </c>
    </row>
    <row r="9" spans="1:13" s="2954" customFormat="1">
      <c r="A9" s="2954" t="s">
        <v>3125</v>
      </c>
      <c r="B9" s="2954" t="s">
        <v>3038</v>
      </c>
      <c r="C9" s="2954" t="s">
        <v>3104</v>
      </c>
      <c r="D9" s="2954">
        <v>61900.3</v>
      </c>
      <c r="E9" s="2954">
        <v>111421</v>
      </c>
      <c r="F9" s="2954">
        <v>1.8</v>
      </c>
      <c r="G9" s="2954" t="s">
        <v>3105</v>
      </c>
      <c r="H9" s="2954" t="s">
        <v>3126</v>
      </c>
      <c r="I9" s="2954">
        <v>89500</v>
      </c>
      <c r="J9" s="2954">
        <v>197000</v>
      </c>
      <c r="K9" s="2954">
        <v>17680.68</v>
      </c>
      <c r="L9" s="2954">
        <v>120.11</v>
      </c>
      <c r="M9" s="2954" t="s">
        <v>3122</v>
      </c>
    </row>
    <row r="10" spans="1:13" s="2953" customFormat="1">
      <c r="A10" s="2953" t="s">
        <v>3127</v>
      </c>
      <c r="B10" s="2953" t="s">
        <v>3038</v>
      </c>
      <c r="C10" s="2953" t="s">
        <v>3104</v>
      </c>
      <c r="D10" s="2953">
        <v>66594.820000000007</v>
      </c>
      <c r="E10" s="2953">
        <v>119871</v>
      </c>
      <c r="F10" s="2953">
        <v>1.8</v>
      </c>
      <c r="G10" s="2953" t="s">
        <v>3105</v>
      </c>
      <c r="H10" s="2953" t="s">
        <v>3126</v>
      </c>
      <c r="I10" s="2953">
        <v>96000</v>
      </c>
      <c r="J10" s="2953">
        <v>196000</v>
      </c>
      <c r="K10" s="2953">
        <v>16350.9</v>
      </c>
      <c r="L10" s="2953">
        <v>104.17</v>
      </c>
      <c r="M10" s="2953" t="s">
        <v>3122</v>
      </c>
    </row>
    <row r="11" spans="1:13">
      <c r="A11" s="1637" t="s">
        <v>3128</v>
      </c>
      <c r="B11" s="1637" t="s">
        <v>3038</v>
      </c>
      <c r="C11" s="1637" t="s">
        <v>3104</v>
      </c>
      <c r="D11" s="1637">
        <v>24464</v>
      </c>
      <c r="E11" s="1637">
        <v>48928</v>
      </c>
      <c r="F11" s="1637">
        <v>2</v>
      </c>
      <c r="G11" s="1637" t="s">
        <v>3105</v>
      </c>
      <c r="H11" s="1637" t="s">
        <v>3129</v>
      </c>
      <c r="I11" s="1637">
        <v>28200</v>
      </c>
      <c r="J11" s="1637">
        <v>46800</v>
      </c>
      <c r="K11" s="1637">
        <v>9565.07</v>
      </c>
      <c r="L11" s="1637">
        <v>65.959999999999994</v>
      </c>
      <c r="M11" s="1637" t="s">
        <v>3130</v>
      </c>
    </row>
    <row r="12" spans="1:13">
      <c r="A12" s="1637" t="s">
        <v>3131</v>
      </c>
      <c r="B12" s="1637" t="s">
        <v>3038</v>
      </c>
      <c r="C12" s="1637" t="s">
        <v>3104</v>
      </c>
      <c r="D12" s="1637">
        <v>38024.39</v>
      </c>
      <c r="E12" s="1637">
        <v>106468</v>
      </c>
      <c r="F12" s="1637">
        <v>2.8</v>
      </c>
      <c r="G12" s="1637" t="s">
        <v>3105</v>
      </c>
      <c r="H12" s="1637" t="s">
        <v>3132</v>
      </c>
      <c r="I12" s="1637">
        <v>87000</v>
      </c>
      <c r="J12" s="1637">
        <v>97000</v>
      </c>
      <c r="K12" s="1637">
        <v>9110.7099999999991</v>
      </c>
      <c r="L12" s="1637">
        <v>11.49</v>
      </c>
      <c r="M12" s="1637" t="s">
        <v>3133</v>
      </c>
    </row>
    <row r="13" spans="1:13">
      <c r="A13" s="1637" t="s">
        <v>3134</v>
      </c>
      <c r="B13" s="1637" t="s">
        <v>3038</v>
      </c>
      <c r="C13" s="1637" t="s">
        <v>3104</v>
      </c>
      <c r="D13" s="1637">
        <v>13920.77</v>
      </c>
      <c r="E13" s="1637">
        <v>16705</v>
      </c>
      <c r="F13" s="1637">
        <v>1.2</v>
      </c>
      <c r="G13" s="1637" t="s">
        <v>3105</v>
      </c>
      <c r="H13" s="1637" t="s">
        <v>3135</v>
      </c>
      <c r="I13" s="1637">
        <v>10500</v>
      </c>
      <c r="J13" s="1637">
        <v>12200</v>
      </c>
      <c r="K13" s="1637">
        <v>7303.19</v>
      </c>
      <c r="L13" s="1637">
        <v>16.190000000000001</v>
      </c>
      <c r="M13" s="1637" t="s">
        <v>3136</v>
      </c>
    </row>
    <row r="19" spans="1:1">
      <c r="A19" s="1637">
        <f>16103*0.6*25%/10000*19300.58+16103*0.15*25%/10000*48625.24</f>
        <v>7598.2544950499996</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31" sqref="D3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3174</v>
      </c>
      <c r="D1" s="1822" t="s">
        <v>70</v>
      </c>
      <c r="E1" s="1823" t="s">
        <v>1387</v>
      </c>
      <c r="F1" s="1286">
        <f ca="1">J53</f>
        <v>32.67</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268470</v>
      </c>
      <c r="C2" s="1847" t="s">
        <v>1516</v>
      </c>
      <c r="D2" s="1847"/>
      <c r="E2" s="1848"/>
      <c r="F2" s="1849"/>
      <c r="G2" s="1850"/>
      <c r="H2" s="1842"/>
      <c r="I2" s="1842"/>
      <c r="J2" s="1842"/>
      <c r="K2" s="1843"/>
      <c r="L2" s="1842"/>
      <c r="M2" s="1842"/>
    </row>
    <row r="3" spans="1:37" ht="18" customHeight="1" thickBot="1">
      <c r="A3" s="1851" t="s">
        <v>1517</v>
      </c>
      <c r="B3" s="1852">
        <f ca="1">IF(ISERROR(B2*10000/F43),0,ROUND(B2*10000/F43,0))</f>
        <v>13886</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25227</v>
      </c>
      <c r="D5" s="1824" t="s">
        <v>1402</v>
      </c>
      <c r="E5" s="1296"/>
      <c r="F5" s="1297"/>
      <c r="G5" s="1853"/>
      <c r="H5" s="344">
        <v>1</v>
      </c>
      <c r="I5" s="345" t="s">
        <v>1401</v>
      </c>
      <c r="J5" s="1295">
        <f ca="1">J6+J10+J12</f>
        <v>0</v>
      </c>
      <c r="K5" s="1824" t="s">
        <v>1402</v>
      </c>
      <c r="L5" s="1296"/>
      <c r="M5" s="1297"/>
    </row>
    <row r="6" spans="1:37" ht="18" customHeight="1">
      <c r="A6" s="1294" t="s">
        <v>1035</v>
      </c>
      <c r="B6" s="3201" t="s">
        <v>1403</v>
      </c>
      <c r="C6" s="1299">
        <f ca="1">ROUND(F6*F8*F7*(1-F9)/10000,0)</f>
        <v>25196</v>
      </c>
      <c r="D6" s="164" t="s">
        <v>3017</v>
      </c>
      <c r="E6" s="347" t="s">
        <v>1405</v>
      </c>
      <c r="F6" s="348">
        <f ca="1">INDIRECT("'数据-取费表'!u"&amp;$G$1)</f>
        <v>5.3</v>
      </c>
      <c r="G6" s="1853"/>
      <c r="H6" s="1294" t="s">
        <v>1035</v>
      </c>
      <c r="I6" s="3201" t="s">
        <v>1403</v>
      </c>
      <c r="J6" s="346">
        <f ca="1">ROUND(M6*M8*M7*(1-M9)/10000,0)</f>
        <v>0</v>
      </c>
      <c r="K6" s="164" t="s">
        <v>3016</v>
      </c>
      <c r="L6" s="347" t="s">
        <v>1405</v>
      </c>
      <c r="M6" s="348">
        <f ca="1">INDIRECT("'数据-取费表'!z"&amp;$G$1)</f>
        <v>0</v>
      </c>
    </row>
    <row r="7" spans="1:37" ht="18" customHeight="1">
      <c r="A7" s="1298"/>
      <c r="B7" s="3202"/>
      <c r="C7" s="1300"/>
      <c r="D7" s="352"/>
      <c r="E7" s="1301" t="s">
        <v>1406</v>
      </c>
      <c r="F7" s="348">
        <f ca="1">IF(INDIRECT("'数据-取费表'!ah"&amp;$G$1)="",INDIRECT("'数据-取费表'!k"&amp;$G$1),INDIRECT("'数据-取费表'!ah"&amp;$G$1))</f>
        <v>144719.51</v>
      </c>
      <c r="G7" s="1853"/>
      <c r="H7" s="349"/>
      <c r="I7" s="3202"/>
      <c r="J7" s="351"/>
      <c r="K7" s="352"/>
      <c r="L7" s="347" t="s">
        <v>1406</v>
      </c>
      <c r="M7" s="348">
        <f ca="1">F7</f>
        <v>144719.51</v>
      </c>
    </row>
    <row r="8" spans="1:37" ht="18" customHeight="1">
      <c r="A8" s="349"/>
      <c r="B8" s="3202"/>
      <c r="C8" s="351"/>
      <c r="D8" s="352"/>
      <c r="E8" s="347" t="s">
        <v>1407</v>
      </c>
      <c r="F8" s="348">
        <f ca="1">INDIRECT("'数据-取费表'!ai"&amp;$G$1)</f>
        <v>365</v>
      </c>
      <c r="G8" s="1853"/>
      <c r="H8" s="349"/>
      <c r="I8" s="3202"/>
      <c r="J8" s="351"/>
      <c r="K8" s="352"/>
      <c r="L8" s="347" t="s">
        <v>1407</v>
      </c>
      <c r="M8" s="348">
        <f ca="1">INDIRECT("'数据-取费表'!ai"&amp;$G$1)</f>
        <v>365</v>
      </c>
    </row>
    <row r="9" spans="1:37" ht="18" customHeight="1">
      <c r="A9" s="349"/>
      <c r="B9" s="3203"/>
      <c r="C9" s="351"/>
      <c r="D9" s="352"/>
      <c r="E9" s="347" t="s">
        <v>1408</v>
      </c>
      <c r="F9" s="357">
        <f ca="1">INDIRECT("'数据-取费表'!w"&amp;$G$1)</f>
        <v>0.1</v>
      </c>
      <c r="G9" s="1853"/>
      <c r="H9" s="349"/>
      <c r="I9" s="3203"/>
      <c r="J9" s="351"/>
      <c r="K9" s="352"/>
      <c r="L9" s="358" t="s">
        <v>1408</v>
      </c>
      <c r="M9" s="359">
        <f ca="1">INDIRECT("'数据-取费表'!ab"&amp;$G$1)</f>
        <v>0</v>
      </c>
    </row>
    <row r="10" spans="1:37" ht="18" customHeight="1">
      <c r="A10" s="1294" t="s">
        <v>1039</v>
      </c>
      <c r="B10" s="1825" t="s">
        <v>1409</v>
      </c>
      <c r="C10" s="361">
        <f ca="1">ROUND(IF(F10="押一",C6/12*F11,IF(F10="押二",C6/12*2*F11,IF(F10="押三",C6/12*3*F11,C11*F11))),0)</f>
        <v>31</v>
      </c>
      <c r="D10" s="1826" t="s">
        <v>3026</v>
      </c>
      <c r="E10" s="358" t="s">
        <v>1410</v>
      </c>
      <c r="F10" s="1369" t="s">
        <v>3081</v>
      </c>
      <c r="G10" s="1853"/>
      <c r="H10" s="1294" t="s">
        <v>1039</v>
      </c>
      <c r="I10" s="1825" t="s">
        <v>1409</v>
      </c>
      <c r="J10" s="346">
        <f ca="1">ROUND(IF(M10="押一",J6/12*M11,IF(M10="押二",J6/12*2*M11,IF(M10="押三",J6/12*3*M11,J11*M11))),0)</f>
        <v>0</v>
      </c>
      <c r="K10" s="1826" t="s">
        <v>3025</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100934</v>
      </c>
      <c r="D13" s="1334" t="s">
        <v>1415</v>
      </c>
      <c r="E13" s="1334" t="s">
        <v>1416</v>
      </c>
      <c r="F13" s="1335">
        <f ca="1">INDIRECT("'数据-取费表'!y"&amp;$G$1)</f>
        <v>0.95</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71545</v>
      </c>
      <c r="D14" s="1802" t="s">
        <v>1418</v>
      </c>
      <c r="E14" s="1796"/>
      <c r="F14" s="364"/>
      <c r="G14" s="1853"/>
      <c r="H14" s="1204" t="s">
        <v>1035</v>
      </c>
      <c r="I14" s="347" t="s">
        <v>1419</v>
      </c>
      <c r="J14" s="24">
        <f ca="1">C29</f>
        <v>106246</v>
      </c>
      <c r="K14" s="15"/>
      <c r="L14" s="982"/>
      <c r="M14" s="983"/>
    </row>
    <row r="15" spans="1:37" s="1860" customFormat="1" ht="18" customHeight="1" thickBot="1">
      <c r="A15" s="1204" t="s">
        <v>1036</v>
      </c>
      <c r="B15" s="347" t="s">
        <v>1420</v>
      </c>
      <c r="C15" s="24">
        <f ca="1">ROUND(C14*F15,0)</f>
        <v>2146</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2495</v>
      </c>
      <c r="K16" s="1340" t="s">
        <v>1425</v>
      </c>
      <c r="L16" s="1341"/>
      <c r="M16" s="1297"/>
    </row>
    <row r="17" spans="1:37" s="1860" customFormat="1" ht="18" customHeight="1">
      <c r="A17" s="1204" t="s">
        <v>1390</v>
      </c>
      <c r="B17" s="347" t="s">
        <v>1426</v>
      </c>
      <c r="C17" s="24">
        <f ca="1">ROUND(F17*(F43+INDIRECT("'数据-取费表'!S"&amp;$G$1))/10000,0)</f>
        <v>4219</v>
      </c>
      <c r="D17" s="347" t="s">
        <v>1427</v>
      </c>
      <c r="E17" s="347" t="s">
        <v>1428</v>
      </c>
      <c r="F17" s="26">
        <f>'数据-取费表'!B35</f>
        <v>200</v>
      </c>
      <c r="G17" s="1856"/>
      <c r="H17" s="1204" t="s">
        <v>1035</v>
      </c>
      <c r="I17" s="347" t="s">
        <v>1429</v>
      </c>
      <c r="J17" s="24">
        <f ca="1">ROUND(IF(项目基本情况!B11="自然人",J5*M17,J18+J19+J20),1)</f>
        <v>900.8</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1073</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78983</v>
      </c>
      <c r="D19" s="140" t="s">
        <v>1436</v>
      </c>
      <c r="E19" s="1820"/>
      <c r="F19" s="26"/>
      <c r="G19" s="1853"/>
      <c r="H19" s="1204" t="s">
        <v>1036</v>
      </c>
      <c r="I19" s="347" t="s">
        <v>1437</v>
      </c>
      <c r="J19" s="24">
        <f ca="1">IF(K19="按租金收入计税",ROUND(J5*M19,2),ROUND(C29*M19*0.7,2))</f>
        <v>892.47</v>
      </c>
      <c r="K19" s="1830" t="s">
        <v>1438</v>
      </c>
      <c r="L19" s="347" t="s">
        <v>1422</v>
      </c>
      <c r="M19" s="367">
        <f>IF(K19="按租金收入计税",'数据-取费表'!B51,'数据-取费表'!B50)</f>
        <v>1.2E-2</v>
      </c>
    </row>
    <row r="20" spans="1:37" s="1860" customFormat="1" ht="18" customHeight="1">
      <c r="A20" s="1204" t="s">
        <v>1039</v>
      </c>
      <c r="B20" s="347" t="s">
        <v>1439</v>
      </c>
      <c r="C20" s="24">
        <f ca="1">ROUND(C19*F20,0)</f>
        <v>1580</v>
      </c>
      <c r="D20" s="369" t="s">
        <v>1440</v>
      </c>
      <c r="E20" s="347" t="s">
        <v>1422</v>
      </c>
      <c r="F20" s="367">
        <f>'数据-取费表'!B37</f>
        <v>0.02</v>
      </c>
      <c r="G20" s="1856"/>
      <c r="H20" s="1204" t="s">
        <v>1389</v>
      </c>
      <c r="I20" s="164" t="s">
        <v>1441</v>
      </c>
      <c r="J20" s="25">
        <f ca="1">ROUND(M20*M21/10000,2)</f>
        <v>8.2799999999999994</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55191.78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1593.7</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3827</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-2495</v>
      </c>
      <c r="K25" s="1348" t="s">
        <v>1464</v>
      </c>
      <c r="L25" s="1349"/>
      <c r="M25" s="1350"/>
    </row>
    <row r="26" spans="1:37">
      <c r="A26" s="1204" t="s">
        <v>1034</v>
      </c>
      <c r="B26" s="347" t="s">
        <v>1465</v>
      </c>
      <c r="C26" s="24">
        <f ca="1">ROUND((C19+C20)*F26,0)</f>
        <v>13696</v>
      </c>
      <c r="D26" s="369" t="s">
        <v>1466</v>
      </c>
      <c r="E26" s="358" t="s">
        <v>1467</v>
      </c>
      <c r="F26" s="357">
        <f ca="1">INDIRECT("'数据-取费表'!q"&amp;$G$1)</f>
        <v>0.17</v>
      </c>
      <c r="G26" s="1853"/>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3.3999999999999998E-3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106246</v>
      </c>
      <c r="D29" s="1345"/>
      <c r="E29" s="1343"/>
      <c r="F29" s="1346"/>
      <c r="G29" s="1856"/>
      <c r="H29" s="380" t="s">
        <v>1033</v>
      </c>
      <c r="I29" s="381" t="s">
        <v>1479</v>
      </c>
      <c r="J29" s="382">
        <f ca="1">ROUND(J26/(1+F40)^F41,0)</f>
        <v>0</v>
      </c>
      <c r="K29" s="383" t="s">
        <v>1480</v>
      </c>
      <c r="L29" s="384"/>
      <c r="M29" s="385">
        <f ca="1">INDIRECT("'数据-取费表'!k"&amp;$G$1)</f>
        <v>193344.75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6480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4356.8999999999996</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1321.41</v>
      </c>
      <c r="D32" s="1800" t="s">
        <v>1434</v>
      </c>
      <c r="E32" s="347" t="s">
        <v>1422</v>
      </c>
      <c r="F32" s="377">
        <f>'数据-取费表'!B41</f>
        <v>5.5000000000000007E-2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3027.24</v>
      </c>
      <c r="D33" s="1830" t="s">
        <v>3177</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8.2799999999999994</v>
      </c>
      <c r="D34" s="370" t="s">
        <v>1442</v>
      </c>
      <c r="E34" s="347" t="s">
        <v>1443</v>
      </c>
      <c r="F34" s="371">
        <f>'数据-取费表'!B52</f>
        <v>1.5</v>
      </c>
      <c r="G34" s="1853"/>
      <c r="H34" s="745"/>
      <c r="I34" s="1862"/>
      <c r="J34" s="1863"/>
      <c r="K34" s="1865"/>
      <c r="L34" s="1866"/>
      <c r="M34" s="1866"/>
    </row>
    <row r="35" spans="1:18" ht="18" customHeight="1">
      <c r="A35" s="1356"/>
      <c r="B35" s="1354"/>
      <c r="C35" s="29"/>
      <c r="D35" s="373"/>
      <c r="E35" s="347" t="s">
        <v>1447</v>
      </c>
      <c r="F35" s="348">
        <f ca="1">INDIRECT("'数据-取费表'!r"&amp;$G$1)</f>
        <v>55191.78</v>
      </c>
      <c r="G35" s="1853"/>
      <c r="H35" s="745"/>
      <c r="I35" s="1862"/>
      <c r="J35" s="1863"/>
      <c r="K35" s="1864"/>
      <c r="L35" s="1861"/>
      <c r="M35" s="1861"/>
    </row>
    <row r="36" spans="1:18" ht="18" customHeight="1">
      <c r="A36" s="1355" t="s">
        <v>1039</v>
      </c>
      <c r="B36" s="347" t="s">
        <v>1449</v>
      </c>
      <c r="C36" s="24">
        <f ca="1">ROUND(C29*F36,1)</f>
        <v>1593.7</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151.4</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378.4</v>
      </c>
      <c r="D38" s="1345" t="s">
        <v>1459</v>
      </c>
      <c r="E38" s="1343" t="s">
        <v>1455</v>
      </c>
      <c r="F38" s="1339">
        <f ca="1">INDIRECT("'数据-取费表'!Am"&amp;$G$1)</f>
        <v>1.4999999999999999E-2</v>
      </c>
      <c r="G38" s="1853"/>
      <c r="H38" s="1861"/>
      <c r="I38" s="1862"/>
      <c r="J38" s="1863"/>
      <c r="K38" s="1867"/>
      <c r="L38" s="1861"/>
      <c r="M38" s="1861"/>
    </row>
    <row r="39" spans="1:18" ht="24.6" customHeight="1" thickTop="1">
      <c r="A39" s="1332" t="s">
        <v>1031</v>
      </c>
      <c r="B39" s="1347" t="s">
        <v>1483</v>
      </c>
      <c r="C39" s="355">
        <f ca="1">C5-C30</f>
        <v>18747</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265887</v>
      </c>
      <c r="D40" s="370" t="s">
        <v>1469</v>
      </c>
      <c r="E40" s="347" t="s">
        <v>1470</v>
      </c>
      <c r="F40" s="357">
        <f ca="1">INDIRECT("'数据-取费表'!I"&amp;$G$1)</f>
        <v>0.06</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32.67</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f ca="1">ROUND(C40*10000/F43,0)</f>
        <v>13752</v>
      </c>
      <c r="D43" s="383" t="s">
        <v>1488</v>
      </c>
      <c r="E43" s="384" t="s">
        <v>1489</v>
      </c>
      <c r="F43" s="385">
        <f ca="1">INDIRECT("'数据-取费表'!k"&amp;$G$1)</f>
        <v>193344.75</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-417332</v>
      </c>
      <c r="D46" s="1874" t="str">
        <f>C2</f>
        <v>万元</v>
      </c>
      <c r="E46" s="1868"/>
      <c r="F46" s="1868"/>
      <c r="I46" s="1875" t="s">
        <v>1521</v>
      </c>
      <c r="J46" s="1876"/>
      <c r="K46" s="1877"/>
      <c r="L46" s="1878">
        <f ca="1">IF(M47="住宅",0,IF(L48&gt;J51,L60,J60))</f>
        <v>2583</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3082</v>
      </c>
      <c r="K47" s="1884" t="s">
        <v>1527</v>
      </c>
      <c r="L47" s="1885">
        <f ca="1">INDIRECT("'数据-取费表'!d"&amp;$G$1)</f>
        <v>40</v>
      </c>
      <c r="M47" s="1840" t="str">
        <f>IF(ISNUMBER(FIND("住宅",C1)),"住宅","非住宅")</f>
        <v>非住宅</v>
      </c>
      <c r="O47" s="1886" t="s">
        <v>1040</v>
      </c>
      <c r="P47" s="1887" t="s">
        <v>1528</v>
      </c>
      <c r="Q47" s="1888">
        <f ca="1">C40+J29</f>
        <v>265887</v>
      </c>
      <c r="R47" s="1888" t="s">
        <v>1529</v>
      </c>
    </row>
    <row r="48" spans="1:18" s="1844" customFormat="1" ht="28.5" thickBot="1">
      <c r="A48" s="1363" t="s">
        <v>1135</v>
      </c>
      <c r="B48" s="345" t="s">
        <v>1401</v>
      </c>
      <c r="C48" s="1819">
        <f ca="1">C49+C53+C55</f>
        <v>0</v>
      </c>
      <c r="D48" s="1365"/>
      <c r="E48" s="1366"/>
      <c r="F48" s="1184"/>
      <c r="G48" s="792"/>
      <c r="H48" s="793"/>
      <c r="I48" s="1889" t="s">
        <v>1530</v>
      </c>
      <c r="J48" s="1890" t="s">
        <v>3083</v>
      </c>
      <c r="K48" s="1891" t="s">
        <v>1531</v>
      </c>
      <c r="L48" s="1892">
        <f ca="1">INDIRECT("'数据-取费表'!f"&amp;$G$1)</f>
        <v>32.67</v>
      </c>
      <c r="O48" s="1886" t="s">
        <v>1041</v>
      </c>
      <c r="P48" s="1887" t="s">
        <v>1532</v>
      </c>
      <c r="Q48" s="1888">
        <f ca="1">J60</f>
        <v>2583</v>
      </c>
      <c r="R48" s="1888" t="s">
        <v>1533</v>
      </c>
    </row>
    <row r="49" spans="1:18" s="1844" customFormat="1" ht="13.5" thickBot="1">
      <c r="A49" s="1197" t="s">
        <v>1136</v>
      </c>
      <c r="B49" s="1831" t="s">
        <v>1490</v>
      </c>
      <c r="C49" s="1367">
        <f ca="1">ROUND(F49*F51*F50*(1-F52)/10000,0)</f>
        <v>0</v>
      </c>
      <c r="D49" s="1279" t="s">
        <v>3018</v>
      </c>
      <c r="E49" s="1832" t="s">
        <v>1491</v>
      </c>
      <c r="F49" s="1284"/>
      <c r="G49" s="1893"/>
      <c r="H49" s="793"/>
      <c r="I49" s="1889" t="s">
        <v>1534</v>
      </c>
      <c r="J49" s="1894">
        <v>2015</v>
      </c>
      <c r="K49" s="1891" t="s">
        <v>1535</v>
      </c>
      <c r="L49" s="1895"/>
      <c r="O49" s="1896" t="s">
        <v>1042</v>
      </c>
      <c r="P49" s="1887" t="s">
        <v>1536</v>
      </c>
      <c r="Q49" s="1888">
        <f ca="1">C29</f>
        <v>106246</v>
      </c>
      <c r="R49" s="1888" t="s">
        <v>1529</v>
      </c>
    </row>
    <row r="50" spans="1:18" s="1844" customFormat="1" ht="13.5" thickBot="1">
      <c r="A50" s="1198"/>
      <c r="B50" s="1201"/>
      <c r="C50" s="1371"/>
      <c r="D50" s="1175"/>
      <c r="E50" s="1280" t="s">
        <v>1406</v>
      </c>
      <c r="F50" s="1281">
        <f ca="1">F7</f>
        <v>144719.51</v>
      </c>
      <c r="H50" s="793"/>
      <c r="I50" s="1889" t="s">
        <v>1537</v>
      </c>
      <c r="J50" s="1897">
        <f>SUMPRODUCT((I63:I65=J47)*(J62:L62=J48)*(J63:L65))</f>
        <v>60</v>
      </c>
      <c r="K50" s="1891" t="s">
        <v>1538</v>
      </c>
      <c r="L50" s="1895"/>
      <c r="M50" s="1898"/>
      <c r="O50" s="1896" t="s">
        <v>1043</v>
      </c>
      <c r="P50" s="1887" t="s">
        <v>1539</v>
      </c>
      <c r="Q50" s="1899">
        <f ca="1">J58</f>
        <v>0.40600000000000003</v>
      </c>
      <c r="R50" s="1888"/>
    </row>
    <row r="51" spans="1:18" s="1844" customFormat="1" ht="13.5" thickBot="1">
      <c r="A51" s="1199"/>
      <c r="B51" s="1201"/>
      <c r="C51" s="1202"/>
      <c r="D51" s="1175"/>
      <c r="E51" s="1203" t="s">
        <v>1407</v>
      </c>
      <c r="F51" s="348">
        <f ca="1">F8</f>
        <v>365</v>
      </c>
      <c r="I51" s="1900" t="s">
        <v>1540</v>
      </c>
      <c r="J51" s="1901">
        <f>IF(J49="",J50,J49+J50-YEAR('数据-取费表'!B2))</f>
        <v>57</v>
      </c>
      <c r="K51" s="1902" t="s">
        <v>1541</v>
      </c>
      <c r="L51" s="1903">
        <f ca="1">ROUND(-PV(INDIRECT("'数据-取费表'!h"&amp;$G$1),L48,(C39-C13*C76),0),0)</f>
        <v>152714</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32.67</v>
      </c>
      <c r="R52" s="1888" t="s">
        <v>1546</v>
      </c>
    </row>
    <row r="53" spans="1:18" s="1844" customFormat="1" ht="24.75" thickBot="1">
      <c r="A53" s="1408" t="s">
        <v>1137</v>
      </c>
      <c r="B53" s="1833" t="s">
        <v>1409</v>
      </c>
      <c r="C53" s="361">
        <f ca="1">ROUND(IF(F53="押一",C49/12*F11,IF(F53="押二",C49/12*2*F11,IF(F53="押三",C49/12*3*F11,C54*F11))),0)</f>
        <v>0</v>
      </c>
      <c r="D53" s="1826" t="s">
        <v>3025</v>
      </c>
      <c r="E53" s="358" t="s">
        <v>1410</v>
      </c>
      <c r="F53" s="1369"/>
      <c r="I53" s="1907" t="s">
        <v>1547</v>
      </c>
      <c r="J53" s="1908">
        <f ca="1">IF(M47="住宅",J51,IF(D1="——",MIN(J51,L48),IF(D1="在建（套用方法）",MIN(J51,L48-'数据-取费表'!B24),IF(D1="土地（套用方法）",MIN(J51,L48-'数据-取费表'!B20)))))</f>
        <v>32.67</v>
      </c>
      <c r="K53" s="3199" t="s">
        <v>1548</v>
      </c>
      <c r="L53" s="3200"/>
      <c r="O53" s="1886" t="s">
        <v>1046</v>
      </c>
      <c r="P53" s="1887" t="s">
        <v>1549</v>
      </c>
      <c r="Q53" s="1888">
        <f ca="1">Q47+Q48</f>
        <v>268470</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f ca="1">ROUND(IF(J47="钢混",J57/J50,1-(1-2%)*(J50-J57)/J50),3)</f>
        <v>0.40600000000000003</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100934</v>
      </c>
      <c r="D56" s="1916"/>
      <c r="E56" s="1917"/>
      <c r="F56" s="1909"/>
      <c r="I56" s="1918" t="s">
        <v>1554</v>
      </c>
      <c r="J56" s="1919" t="s">
        <v>3048</v>
      </c>
      <c r="K56" s="1889" t="s">
        <v>1555</v>
      </c>
      <c r="L56" s="1892" t="str">
        <f ca="1">IF(L48&lt;J51,"——",L48-J53)</f>
        <v>——</v>
      </c>
      <c r="O56" s="1886" t="s">
        <v>1040</v>
      </c>
      <c r="P56" s="1887" t="s">
        <v>1528</v>
      </c>
      <c r="Q56" s="1888">
        <f ca="1">C40+J29</f>
        <v>265887</v>
      </c>
      <c r="R56" s="1888" t="s">
        <v>1529</v>
      </c>
    </row>
    <row r="57" spans="1:18" s="1844" customFormat="1" ht="24.75" thickBot="1">
      <c r="A57" s="1920"/>
      <c r="B57" s="1172" t="s">
        <v>1478</v>
      </c>
      <c r="C57" s="282">
        <f ca="1">C29</f>
        <v>106246</v>
      </c>
      <c r="D57" s="1921"/>
      <c r="E57" s="1922"/>
      <c r="F57" s="1923"/>
      <c r="I57" s="1924" t="s">
        <v>1556</v>
      </c>
      <c r="J57" s="1925">
        <f ca="1">IF(OR(M47="住宅",J51&lt;L48,J56="是"),"——",J51-L48)</f>
        <v>24.33</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10678</v>
      </c>
      <c r="D58" s="1182" t="s">
        <v>1425</v>
      </c>
      <c r="E58" s="1183"/>
      <c r="F58" s="1184"/>
      <c r="I58" s="1924" t="s">
        <v>1560</v>
      </c>
      <c r="J58" s="1926">
        <f ca="1">IF(J55&lt;0.4,0.4,J55)</f>
        <v>0.40600000000000003</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8932.9</v>
      </c>
      <c r="D59" s="1185" t="s">
        <v>1430</v>
      </c>
      <c r="E59" s="1186" t="s">
        <v>1431</v>
      </c>
      <c r="F59" s="368" t="str">
        <f ca="1">IF(项目基本情况!B11="企业","",IF(INDIRECT("'数据-取费表'!c"&amp;$G$1)="住宅",5%,IF(F49*F50*F51/12/(1+'数据-取费表'!C42)&gt;20000,12%,7%)))</f>
        <v/>
      </c>
      <c r="I59" s="1924" t="s">
        <v>1563</v>
      </c>
      <c r="J59" s="1925">
        <f ca="1">IF(OR(M47="住宅",J51&lt;L48,J56="是"),"——",ROUND(C29*J58,0))</f>
        <v>43136</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7" t="s">
        <v>1565</v>
      </c>
      <c r="J60" s="1928">
        <f ca="1">IF(OR(M47="住宅",J51&lt;L48,J56="是"),"0",ROUND(J59/(1+J52)^J53,0))</f>
        <v>2583</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8924.66</v>
      </c>
      <c r="D61" s="1830" t="s">
        <v>1438</v>
      </c>
      <c r="E61" s="1172"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8.2799999999999994</v>
      </c>
      <c r="D62" s="1187" t="s">
        <v>1497</v>
      </c>
      <c r="E62" s="1172" t="s">
        <v>1498</v>
      </c>
      <c r="F62" s="371">
        <f t="shared" si="0"/>
        <v>1.5</v>
      </c>
      <c r="I62" s="1931" t="s">
        <v>1570</v>
      </c>
      <c r="J62" s="1932" t="s">
        <v>1571</v>
      </c>
      <c r="K62" s="1932" t="s">
        <v>1572</v>
      </c>
      <c r="L62" s="1932" t="s">
        <v>1573</v>
      </c>
      <c r="M62" s="1933" t="s">
        <v>1574</v>
      </c>
      <c r="O62" s="1886" t="s">
        <v>1046</v>
      </c>
      <c r="P62" s="1887" t="s">
        <v>1575</v>
      </c>
      <c r="Q62" s="1888">
        <f ca="1">Q56+Q57</f>
        <v>265887</v>
      </c>
      <c r="R62" s="1888" t="s">
        <v>1047</v>
      </c>
    </row>
    <row r="63" spans="1:18" s="1844" customFormat="1" ht="13.5" thickBot="1">
      <c r="A63" s="372"/>
      <c r="B63" s="1178"/>
      <c r="C63" s="29"/>
      <c r="D63" s="1188"/>
      <c r="E63" s="1172" t="s">
        <v>1499</v>
      </c>
      <c r="F63" s="348">
        <f t="shared" ca="1" si="0"/>
        <v>55191.78</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1593.7</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151.4</v>
      </c>
      <c r="D65" s="1186" t="s">
        <v>1454</v>
      </c>
      <c r="E65" s="1172" t="s">
        <v>1455</v>
      </c>
      <c r="F65" s="376">
        <f t="shared" ca="1" si="0"/>
        <v>1.5E-3</v>
      </c>
      <c r="I65" s="1931" t="s">
        <v>1579</v>
      </c>
      <c r="J65" s="1932">
        <v>40</v>
      </c>
      <c r="K65" s="1932">
        <v>30</v>
      </c>
      <c r="L65" s="1932">
        <v>50</v>
      </c>
      <c r="M65" s="1934">
        <v>0.02</v>
      </c>
      <c r="O65" s="1886" t="s">
        <v>1040</v>
      </c>
      <c r="P65" s="1887" t="s">
        <v>1580</v>
      </c>
      <c r="Q65" s="1888">
        <f ca="1">C40+J29</f>
        <v>265887</v>
      </c>
      <c r="R65" s="1888" t="s">
        <v>1529</v>
      </c>
    </row>
    <row r="66" spans="1:18" s="1844" customFormat="1" ht="16.5" thickBot="1">
      <c r="A66" s="1204" t="s">
        <v>1504</v>
      </c>
      <c r="B66" s="1172" t="s">
        <v>1439</v>
      </c>
      <c r="C66" s="24">
        <f ca="1">ROUND(C48*F66,1)</f>
        <v>0</v>
      </c>
      <c r="D66" s="1186" t="s">
        <v>1505</v>
      </c>
      <c r="E66" s="1172" t="s">
        <v>1422</v>
      </c>
      <c r="F66" s="357">
        <f t="shared" ca="1" si="0"/>
        <v>1.4999999999999999E-2</v>
      </c>
      <c r="O66" s="1886" t="s">
        <v>1041</v>
      </c>
      <c r="P66" s="1887" t="s">
        <v>1558</v>
      </c>
      <c r="Q66" s="1888">
        <f ca="1">L60</f>
        <v>0</v>
      </c>
      <c r="R66" s="1888" t="s">
        <v>1581</v>
      </c>
    </row>
    <row r="67" spans="1:18" s="1844" customFormat="1" ht="16.5" thickBot="1">
      <c r="A67" s="1179" t="s">
        <v>1031</v>
      </c>
      <c r="B67" s="1189" t="s">
        <v>1463</v>
      </c>
      <c r="C67" s="361">
        <f ca="1">C48-C58</f>
        <v>-10678</v>
      </c>
      <c r="D67" s="1185" t="s">
        <v>1464</v>
      </c>
      <c r="E67" s="1190"/>
      <c r="F67" s="1191"/>
      <c r="O67" s="1896" t="s">
        <v>1042</v>
      </c>
      <c r="P67" s="1887" t="s">
        <v>1562</v>
      </c>
      <c r="Q67" s="1935">
        <f ca="1">L51</f>
        <v>152714</v>
      </c>
      <c r="R67" s="1888" t="s">
        <v>1582</v>
      </c>
    </row>
    <row r="68" spans="1:18" s="1844" customFormat="1" ht="16.5" thickBot="1">
      <c r="A68" s="1169" t="s">
        <v>1032</v>
      </c>
      <c r="B68" s="1170" t="s">
        <v>1485</v>
      </c>
      <c r="C68" s="346">
        <f ca="1">ROUND(C67*(1-((1+F70)/(1+F68))^F69)/(F68-F70),0)</f>
        <v>-151445</v>
      </c>
      <c r="D68" s="1187" t="s">
        <v>1469</v>
      </c>
      <c r="E68" s="1172" t="s">
        <v>1470</v>
      </c>
      <c r="F68" s="357">
        <f ca="1">F40</f>
        <v>0.06</v>
      </c>
      <c r="O68" s="1896" t="s">
        <v>1043</v>
      </c>
      <c r="P68" s="1936" t="s">
        <v>1583</v>
      </c>
      <c r="Q68" s="1888">
        <f ca="1">ROUND(Q69-Q70*Q71,0)</f>
        <v>10168</v>
      </c>
      <c r="R68" s="1888" t="s">
        <v>1051</v>
      </c>
    </row>
    <row r="69" spans="1:18" s="1844" customFormat="1" ht="13.5" thickBot="1">
      <c r="A69" s="1173"/>
      <c r="B69" s="1174"/>
      <c r="C69" s="351"/>
      <c r="D69" s="1192" t="s">
        <v>1473</v>
      </c>
      <c r="E69" s="1172" t="s">
        <v>1474</v>
      </c>
      <c r="F69" s="379">
        <f ca="1">F41</f>
        <v>32.67</v>
      </c>
      <c r="O69" s="1896" t="s">
        <v>1048</v>
      </c>
      <c r="P69" s="1936" t="s">
        <v>1584</v>
      </c>
      <c r="Q69" s="1888">
        <f ca="1">C39</f>
        <v>18747</v>
      </c>
      <c r="R69" s="1888" t="s">
        <v>1529</v>
      </c>
    </row>
    <row r="70" spans="1:18" s="1844" customFormat="1" ht="13.5" thickBot="1">
      <c r="A70" s="1176"/>
      <c r="B70" s="1177"/>
      <c r="C70" s="355"/>
      <c r="D70" s="1188"/>
      <c r="E70" s="1172" t="s">
        <v>1477</v>
      </c>
      <c r="F70" s="1278"/>
      <c r="O70" s="1896" t="s">
        <v>1049</v>
      </c>
      <c r="P70" s="1936" t="s">
        <v>1585</v>
      </c>
      <c r="Q70" s="1888">
        <f ca="1">C13</f>
        <v>100934</v>
      </c>
      <c r="R70" s="1888" t="s">
        <v>1529</v>
      </c>
    </row>
    <row r="71" spans="1:18" s="1844" customFormat="1" ht="13.5" thickBot="1">
      <c r="A71" s="1193" t="s">
        <v>1033</v>
      </c>
      <c r="B71" s="1194" t="s">
        <v>1487</v>
      </c>
      <c r="C71" s="382">
        <f ca="1">ROUND(C68*10000/F71,0)</f>
        <v>-7833</v>
      </c>
      <c r="D71" s="1195" t="s">
        <v>1488</v>
      </c>
      <c r="E71" s="1196" t="s">
        <v>1489</v>
      </c>
      <c r="F71" s="385">
        <f ca="1">F43</f>
        <v>193344.75</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8579</v>
      </c>
      <c r="D75" s="1844"/>
      <c r="E75" s="1844"/>
      <c r="F75" s="1844"/>
      <c r="K75" s="1870"/>
      <c r="L75" s="1844"/>
      <c r="O75" s="1886" t="s">
        <v>1046</v>
      </c>
      <c r="P75" s="1887" t="s">
        <v>1549</v>
      </c>
      <c r="Q75" s="1888">
        <f ca="1">Q65+Q66</f>
        <v>265887</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0.54200000000000004</v>
      </c>
    </row>
    <row r="80" spans="1:18">
      <c r="B80" s="386" t="s">
        <v>1511</v>
      </c>
      <c r="C80" s="318">
        <f ca="1">ROUND(C75/C39,3)</f>
        <v>0.45800000000000002</v>
      </c>
    </row>
    <row r="81" spans="2:3">
      <c r="B81" s="314" t="s">
        <v>1512</v>
      </c>
      <c r="C81" s="282"/>
    </row>
    <row r="82" spans="2:3">
      <c r="B82" s="317" t="s">
        <v>1513</v>
      </c>
      <c r="C82" s="319">
        <f ca="1">1-C83</f>
        <v>0.62</v>
      </c>
    </row>
    <row r="83" spans="2:3">
      <c r="B83" s="317" t="s">
        <v>1514</v>
      </c>
      <c r="C83" s="318">
        <f ca="1">ROUND(C13/C40,3)</f>
        <v>0.38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201" t="s">
        <v>1403</v>
      </c>
      <c r="C6" s="1299">
        <f ca="1">ROUND(F6*F8*F7*(1-F9),0)</f>
        <v>0</v>
      </c>
      <c r="D6" s="164" t="s">
        <v>3014</v>
      </c>
      <c r="E6" s="347" t="s">
        <v>1405</v>
      </c>
      <c r="F6" s="348">
        <f ca="1">INDIRECT("'数据-取费表'!u"&amp;$G$1)</f>
        <v>0</v>
      </c>
      <c r="G6" s="1853"/>
      <c r="H6" s="1294" t="s">
        <v>1035</v>
      </c>
      <c r="I6" s="3201" t="s">
        <v>1403</v>
      </c>
      <c r="J6" s="346">
        <f ca="1">ROUND(M6*M8*M7*(1-M9),0)</f>
        <v>0</v>
      </c>
      <c r="K6" s="1836" t="s">
        <v>3015</v>
      </c>
      <c r="L6" s="347" t="s">
        <v>1405</v>
      </c>
      <c r="M6" s="348">
        <f ca="1">INDIRECT("'数据-取费表'!z"&amp;$G$1)</f>
        <v>0</v>
      </c>
    </row>
    <row r="7" spans="1:37" ht="18" customHeight="1">
      <c r="A7" s="1298"/>
      <c r="B7" s="3202"/>
      <c r="C7" s="1300"/>
      <c r="D7" s="352"/>
      <c r="E7" s="1301" t="s">
        <v>1406</v>
      </c>
      <c r="F7" s="348">
        <f ca="1">IF(INDIRECT("'数据-取费表'!ah"&amp;$G$1)="",INDIRECT("'数据-取费表'!k"&amp;$G$1),INDIRECT("'数据-取费表'!ah"&amp;$G$1))</f>
        <v>0</v>
      </c>
      <c r="G7" s="1853"/>
      <c r="H7" s="349"/>
      <c r="I7" s="3202"/>
      <c r="J7" s="351"/>
      <c r="K7" s="352"/>
      <c r="L7" s="347" t="s">
        <v>1406</v>
      </c>
      <c r="M7" s="348">
        <f ca="1">F7</f>
        <v>0</v>
      </c>
    </row>
    <row r="8" spans="1:37" ht="18" customHeight="1">
      <c r="A8" s="349"/>
      <c r="B8" s="3202"/>
      <c r="C8" s="351"/>
      <c r="D8" s="352"/>
      <c r="E8" s="347" t="s">
        <v>1407</v>
      </c>
      <c r="F8" s="348">
        <f ca="1">INDIRECT("'数据-取费表'!ai"&amp;$G$1)</f>
        <v>0</v>
      </c>
      <c r="G8" s="1853"/>
      <c r="H8" s="349"/>
      <c r="I8" s="3202"/>
      <c r="J8" s="351"/>
      <c r="K8" s="352"/>
      <c r="L8" s="347" t="s">
        <v>1407</v>
      </c>
      <c r="M8" s="348">
        <f ca="1">INDIRECT("'数据-取费表'!ai"&amp;$G$1)</f>
        <v>0</v>
      </c>
    </row>
    <row r="9" spans="1:37" ht="18" customHeight="1">
      <c r="A9" s="349"/>
      <c r="B9" s="3203"/>
      <c r="C9" s="351"/>
      <c r="D9" s="352"/>
      <c r="E9" s="347" t="s">
        <v>1408</v>
      </c>
      <c r="F9" s="357">
        <f ca="1">INDIRECT("'数据-取费表'!w"&amp;$G$1)</f>
        <v>0</v>
      </c>
      <c r="G9" s="1853"/>
      <c r="H9" s="349"/>
      <c r="I9" s="3203"/>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3025</v>
      </c>
      <c r="E10" s="358" t="s">
        <v>1410</v>
      </c>
      <c r="F10" s="1369"/>
      <c r="G10" s="1853"/>
      <c r="H10" s="1294" t="s">
        <v>1039</v>
      </c>
      <c r="I10" s="1825" t="s">
        <v>1409</v>
      </c>
      <c r="J10" s="346">
        <f ca="1">ROUND(IF(M10="押一",J6/12*M11,IF(M10="押二",J6/12*2*M11,IF(M10="押三",J6/12*3*M11,J11*M11))),0)</f>
        <v>0</v>
      </c>
      <c r="K10" s="1837" t="s">
        <v>3027</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0.02</v>
      </c>
      <c r="G20" s="1856"/>
      <c r="H20" s="1204" t="s">
        <v>1389</v>
      </c>
      <c r="I20" s="164" t="s">
        <v>1441</v>
      </c>
      <c r="J20" s="25">
        <f ca="1">ROUND(M20*M21,0)</f>
        <v>0</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5.5000000000000007E-2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1.5</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3028</v>
      </c>
      <c r="E53" s="358" t="s">
        <v>1410</v>
      </c>
      <c r="F53" s="1369"/>
      <c r="I53" s="1907" t="s">
        <v>1547</v>
      </c>
      <c r="J53" s="1908" t="b">
        <f>IF(M47="住宅",J51,IF(D1="——",MIN(J51,L48),IF(D1="在建（套用方法）",MIN(J51,L48-'数据-取费表'!B24),IF(D1="土地（套用方法）",MIN(J51,L48-'数据-取费表'!B20)))))</f>
        <v>0</v>
      </c>
      <c r="K53" s="3199" t="s">
        <v>1548</v>
      </c>
      <c r="L53" s="3200"/>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7" sqref="D17"/>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2515</v>
      </c>
      <c r="B1" s="2564"/>
      <c r="C1" s="2564"/>
      <c r="D1" s="2564"/>
      <c r="E1" s="2565"/>
    </row>
    <row r="2" spans="1:6" ht="15.75">
      <c r="A2" s="2566" t="s">
        <v>2316</v>
      </c>
      <c r="B2" s="2567">
        <f ca="1">SUMIF(B6:B13,"&lt;&gt;#ref!",B6:B13)</f>
        <v>268470</v>
      </c>
      <c r="C2" s="2568" t="s">
        <v>2508</v>
      </c>
      <c r="D2" s="2569" t="s">
        <v>2509</v>
      </c>
      <c r="E2" s="2570">
        <f>SUM(E6:E13)</f>
        <v>210956.06</v>
      </c>
    </row>
    <row r="3" spans="1:6" ht="15.75">
      <c r="A3" s="2566" t="s">
        <v>1395</v>
      </c>
      <c r="B3" s="2567">
        <f ca="1">ROUND(B2*10000/E2,0)</f>
        <v>12726</v>
      </c>
      <c r="C3" s="2568" t="s">
        <v>2516</v>
      </c>
      <c r="D3" s="2571"/>
      <c r="E3" s="2572"/>
    </row>
    <row r="4" spans="1:6" ht="15.75">
      <c r="A4" s="2573"/>
      <c r="B4" s="2571"/>
      <c r="C4" s="2571"/>
      <c r="D4" s="2571"/>
      <c r="E4" s="2572"/>
    </row>
    <row r="5" spans="1:6" ht="15">
      <c r="A5" s="2574" t="s">
        <v>2510</v>
      </c>
      <c r="B5" s="3204" t="s">
        <v>2511</v>
      </c>
      <c r="C5" s="3204"/>
      <c r="D5" s="2575"/>
      <c r="E5" s="2576" t="s">
        <v>2512</v>
      </c>
      <c r="F5" s="2577" t="s">
        <v>2513</v>
      </c>
    </row>
    <row r="6" spans="1:6">
      <c r="A6" s="2578" t="str">
        <f>'数据-取费表'!AN6</f>
        <v>收益法</v>
      </c>
      <c r="B6" s="2577">
        <f ca="1">IF(F6="是",'数据-取费表'!AO6,0)</f>
        <v>268470</v>
      </c>
      <c r="C6" s="2568" t="s">
        <v>2508</v>
      </c>
      <c r="D6" s="2571"/>
      <c r="E6" s="2579">
        <f>IF(OR(A6=0,F6="否"),0,'数据-取费表'!K6+'数据-取费表'!S6)</f>
        <v>210956.06</v>
      </c>
      <c r="F6" s="2580" t="s">
        <v>2514</v>
      </c>
    </row>
    <row r="7" spans="1:6">
      <c r="A7" s="2578">
        <f>'数据-取费表'!AN7</f>
        <v>0</v>
      </c>
      <c r="B7" s="2577" t="e">
        <f ca="1">IF(F7="是",'数据-取费表'!AO7,0)</f>
        <v>#REF!</v>
      </c>
      <c r="C7" s="2568" t="s">
        <v>2508</v>
      </c>
      <c r="D7" s="2571"/>
      <c r="E7" s="2579">
        <f>IF(OR(A7=0,F7="否"),0,'数据-取费表'!K7+'数据-取费表'!S7)</f>
        <v>0</v>
      </c>
      <c r="F7" s="2580" t="s">
        <v>2514</v>
      </c>
    </row>
    <row r="8" spans="1:6">
      <c r="A8" s="2578">
        <f>'数据-取费表'!AN8</f>
        <v>0</v>
      </c>
      <c r="B8" s="2577" t="e">
        <f ca="1">IF(F8="是",'数据-取费表'!AO8,0)</f>
        <v>#REF!</v>
      </c>
      <c r="C8" s="2568" t="s">
        <v>2508</v>
      </c>
      <c r="D8" s="2571"/>
      <c r="E8" s="2579">
        <f>IF(OR(A8=0,F8="否"),0,'数据-取费表'!K8+'数据-取费表'!S8)</f>
        <v>0</v>
      </c>
      <c r="F8" s="2580" t="s">
        <v>2514</v>
      </c>
    </row>
    <row r="9" spans="1:6">
      <c r="A9" s="2578">
        <f>'数据-取费表'!AN9</f>
        <v>0</v>
      </c>
      <c r="B9" s="2577" t="e">
        <f ca="1">IF(F9="是",'数据-取费表'!AO9,0)</f>
        <v>#REF!</v>
      </c>
      <c r="C9" s="2568" t="s">
        <v>2508</v>
      </c>
      <c r="D9" s="2571"/>
      <c r="E9" s="2579">
        <f>IF(OR(A9=0,F9="否"),0,'数据-取费表'!K9+'数据-取费表'!S9)</f>
        <v>0</v>
      </c>
      <c r="F9" s="2580" t="s">
        <v>2514</v>
      </c>
    </row>
    <row r="10" spans="1:6">
      <c r="A10" s="2578">
        <f>'数据-取费表'!AN10</f>
        <v>0</v>
      </c>
      <c r="B10" s="2577" t="e">
        <f ca="1">IF(F10="是",'数据-取费表'!AO10,0)</f>
        <v>#REF!</v>
      </c>
      <c r="C10" s="2568" t="s">
        <v>2508</v>
      </c>
      <c r="D10" s="2571"/>
      <c r="E10" s="2579">
        <f>IF(OR(A10=0,F10="否"),0,'数据-取费表'!K10+'数据-取费表'!S10)</f>
        <v>0</v>
      </c>
      <c r="F10" s="2580" t="s">
        <v>2514</v>
      </c>
    </row>
    <row r="11" spans="1:6">
      <c r="A11" s="2578">
        <f>'数据-取费表'!AN11</f>
        <v>0</v>
      </c>
      <c r="B11" s="2577" t="e">
        <f ca="1">IF(F11="是",'数据-取费表'!AO11,0)</f>
        <v>#REF!</v>
      </c>
      <c r="C11" s="2568" t="s">
        <v>2508</v>
      </c>
      <c r="D11" s="2571"/>
      <c r="E11" s="2579">
        <f>IF(OR(A11=0,F11="否"),0,'数据-取费表'!K11+'数据-取费表'!S11)</f>
        <v>0</v>
      </c>
      <c r="F11" s="2580" t="s">
        <v>2514</v>
      </c>
    </row>
    <row r="12" spans="1:6">
      <c r="A12" s="2578">
        <f>'数据-取费表'!AN12</f>
        <v>0</v>
      </c>
      <c r="B12" s="2577" t="e">
        <f ca="1">IF(F12="是",'数据-取费表'!AO12,0)</f>
        <v>#REF!</v>
      </c>
      <c r="C12" s="2568" t="s">
        <v>2508</v>
      </c>
      <c r="D12" s="2571"/>
      <c r="E12" s="2579">
        <f>IF(OR(A12=0,F12="否"),0,'数据-取费表'!K12+'数据-取费表'!S12)</f>
        <v>0</v>
      </c>
      <c r="F12" s="2580" t="s">
        <v>2514</v>
      </c>
    </row>
    <row r="13" spans="1:6" ht="15" thickBot="1">
      <c r="A13" s="2581">
        <f>'数据-取费表'!AN13</f>
        <v>0</v>
      </c>
      <c r="B13" s="2577" t="e">
        <f ca="1">IF(F13="是",'数据-取费表'!AO13,0)</f>
        <v>#REF!</v>
      </c>
      <c r="C13" s="2582" t="s">
        <v>2508</v>
      </c>
      <c r="D13" s="2583"/>
      <c r="E13" s="2579">
        <f>IF(OR(A13=0,F13="否"),0,'数据-取费表'!K13+'数据-取费表'!S13)</f>
        <v>0</v>
      </c>
      <c r="F13" s="2580"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05" t="s">
        <v>1076</v>
      </c>
      <c r="B1" s="3206"/>
      <c r="C1" s="3207"/>
      <c r="D1" s="3208">
        <f>SUM(I10,I15,I20,I21,I23)</f>
        <v>0</v>
      </c>
      <c r="E1" s="3208"/>
      <c r="F1" s="3208"/>
      <c r="G1" s="3208"/>
      <c r="H1" s="3208"/>
      <c r="I1" s="3209"/>
    </row>
    <row r="2" spans="1:9">
      <c r="A2" s="3210" t="s">
        <v>1077</v>
      </c>
      <c r="B2" s="3211" t="s">
        <v>1078</v>
      </c>
      <c r="C2" s="3211"/>
      <c r="D2" s="1304" t="s">
        <v>1079</v>
      </c>
      <c r="E2" s="1304" t="s">
        <v>1080</v>
      </c>
      <c r="F2" s="1304" t="s">
        <v>1081</v>
      </c>
      <c r="G2" s="1304" t="s">
        <v>1082</v>
      </c>
      <c r="H2" s="1304" t="s">
        <v>1083</v>
      </c>
      <c r="I2" s="1305" t="s">
        <v>1084</v>
      </c>
    </row>
    <row r="3" spans="1:9">
      <c r="A3" s="3210"/>
      <c r="B3" s="3211" t="s">
        <v>1085</v>
      </c>
      <c r="C3" s="3211"/>
      <c r="D3" s="1306"/>
      <c r="E3" s="1304"/>
      <c r="F3" s="1307"/>
      <c r="G3" s="1307"/>
      <c r="H3" s="1308"/>
      <c r="I3" s="1309">
        <f>ROUND(D3*E3*F3*G3*H3/10000,0)</f>
        <v>0</v>
      </c>
    </row>
    <row r="4" spans="1:9">
      <c r="A4" s="3210"/>
      <c r="B4" s="3211" t="s">
        <v>1086</v>
      </c>
      <c r="C4" s="3211"/>
      <c r="D4" s="1306"/>
      <c r="E4" s="1304"/>
      <c r="F4" s="1307"/>
      <c r="G4" s="1307"/>
      <c r="H4" s="1308"/>
      <c r="I4" s="1309">
        <f t="shared" ref="I4:I9" si="0">ROUND(D4*E4*F4*G4*H4/10000,0)</f>
        <v>0</v>
      </c>
    </row>
    <row r="5" spans="1:9">
      <c r="A5" s="3210"/>
      <c r="B5" s="3211" t="s">
        <v>1087</v>
      </c>
      <c r="C5" s="3211"/>
      <c r="D5" s="1306"/>
      <c r="E5" s="1304"/>
      <c r="F5" s="1307"/>
      <c r="G5" s="1307"/>
      <c r="H5" s="1308"/>
      <c r="I5" s="1309">
        <f t="shared" si="0"/>
        <v>0</v>
      </c>
    </row>
    <row r="6" spans="1:9">
      <c r="A6" s="3210"/>
      <c r="B6" s="3211" t="s">
        <v>1088</v>
      </c>
      <c r="C6" s="3211"/>
      <c r="D6" s="1306"/>
      <c r="E6" s="1304"/>
      <c r="F6" s="1307"/>
      <c r="G6" s="1307"/>
      <c r="H6" s="1308"/>
      <c r="I6" s="1309">
        <f t="shared" si="0"/>
        <v>0</v>
      </c>
    </row>
    <row r="7" spans="1:9">
      <c r="A7" s="3210"/>
      <c r="B7" s="3211" t="s">
        <v>1089</v>
      </c>
      <c r="C7" s="3211"/>
      <c r="D7" s="1306"/>
      <c r="E7" s="1304"/>
      <c r="F7" s="1307"/>
      <c r="G7" s="1307"/>
      <c r="H7" s="1308"/>
      <c r="I7" s="1309">
        <f t="shared" si="0"/>
        <v>0</v>
      </c>
    </row>
    <row r="8" spans="1:9">
      <c r="A8" s="3210"/>
      <c r="B8" s="3211" t="s">
        <v>1090</v>
      </c>
      <c r="C8" s="3211"/>
      <c r="D8" s="1306"/>
      <c r="E8" s="1304"/>
      <c r="F8" s="1307"/>
      <c r="G8" s="1307"/>
      <c r="H8" s="1308"/>
      <c r="I8" s="1309">
        <f t="shared" si="0"/>
        <v>0</v>
      </c>
    </row>
    <row r="9" spans="1:9">
      <c r="A9" s="3210"/>
      <c r="B9" s="3211" t="s">
        <v>1091</v>
      </c>
      <c r="C9" s="3211"/>
      <c r="D9" s="1306"/>
      <c r="E9" s="1304"/>
      <c r="F9" s="1307"/>
      <c r="G9" s="1307"/>
      <c r="H9" s="1308"/>
      <c r="I9" s="1309">
        <f t="shared" si="0"/>
        <v>0</v>
      </c>
    </row>
    <row r="10" spans="1:9">
      <c r="A10" s="3210"/>
      <c r="B10" s="3212" t="s">
        <v>1092</v>
      </c>
      <c r="C10" s="3212"/>
      <c r="D10" s="1310"/>
      <c r="E10" s="1310" t="e">
        <f>ROUND(D1*10000/D10/H9,0)</f>
        <v>#DIV/0!</v>
      </c>
      <c r="F10" s="1311"/>
      <c r="G10" s="1311"/>
      <c r="H10" s="1312"/>
      <c r="I10" s="1313">
        <f>SUM(I3:I9)</f>
        <v>0</v>
      </c>
    </row>
    <row r="11" spans="1:9" ht="14.25">
      <c r="A11" s="3210" t="s">
        <v>1093</v>
      </c>
      <c r="B11" s="3211" t="s">
        <v>1094</v>
      </c>
      <c r="C11" s="3211"/>
      <c r="D11" s="1306" t="s">
        <v>1095</v>
      </c>
      <c r="E11" s="1306" t="s">
        <v>1096</v>
      </c>
      <c r="F11" s="1307" t="s">
        <v>1097</v>
      </c>
      <c r="G11" s="1307" t="s">
        <v>1083</v>
      </c>
      <c r="H11" s="1314" t="s">
        <v>1098</v>
      </c>
      <c r="I11" s="1305" t="s">
        <v>1084</v>
      </c>
    </row>
    <row r="12" spans="1:9">
      <c r="A12" s="3210"/>
      <c r="B12" s="3211" t="s">
        <v>1099</v>
      </c>
      <c r="C12" s="3211"/>
      <c r="D12" s="1306"/>
      <c r="E12" s="1306"/>
      <c r="F12" s="1307"/>
      <c r="G12" s="1308"/>
      <c r="H12" s="1315"/>
      <c r="I12" s="1305">
        <f>ROUND(D12*E12*F12*G12/10000,0)</f>
        <v>0</v>
      </c>
    </row>
    <row r="13" spans="1:9">
      <c r="A13" s="3210"/>
      <c r="B13" s="3211" t="s">
        <v>1100</v>
      </c>
      <c r="C13" s="3211"/>
      <c r="D13" s="1306"/>
      <c r="E13" s="1306"/>
      <c r="F13" s="1307"/>
      <c r="G13" s="1308"/>
      <c r="H13" s="1315"/>
      <c r="I13" s="1305">
        <f>ROUND(D13*E13*F13*G13/10000,0)</f>
        <v>0</v>
      </c>
    </row>
    <row r="14" spans="1:9">
      <c r="A14" s="3210"/>
      <c r="B14" s="3211" t="s">
        <v>1101</v>
      </c>
      <c r="C14" s="3211"/>
      <c r="D14" s="1306"/>
      <c r="E14" s="1306"/>
      <c r="F14" s="1307"/>
      <c r="G14" s="1308"/>
      <c r="H14" s="1315"/>
      <c r="I14" s="1305">
        <f>ROUND(D14*E14*F14*G14/10000,0)</f>
        <v>0</v>
      </c>
    </row>
    <row r="15" spans="1:9">
      <c r="A15" s="3210"/>
      <c r="B15" s="3212" t="s">
        <v>1092</v>
      </c>
      <c r="C15" s="3212"/>
      <c r="D15" s="1310"/>
      <c r="E15" s="1310">
        <f>SUM(E12:E14)</f>
        <v>0</v>
      </c>
      <c r="F15" s="1311"/>
      <c r="G15" s="1308"/>
      <c r="H15" s="1315"/>
      <c r="I15" s="1316">
        <f>SUM(I12:I14)</f>
        <v>0</v>
      </c>
    </row>
    <row r="16" spans="1:9" ht="24">
      <c r="A16" s="3210" t="s">
        <v>1102</v>
      </c>
      <c r="B16" s="3211" t="s">
        <v>1103</v>
      </c>
      <c r="C16" s="3211"/>
      <c r="D16" s="1306" t="s">
        <v>1079</v>
      </c>
      <c r="E16" s="1317" t="s">
        <v>1104</v>
      </c>
      <c r="F16" s="1307" t="s">
        <v>1105</v>
      </c>
      <c r="G16" s="1308" t="s">
        <v>1083</v>
      </c>
      <c r="H16" s="1314" t="s">
        <v>1098</v>
      </c>
      <c r="I16" s="1305" t="s">
        <v>1084</v>
      </c>
    </row>
    <row r="17" spans="1:9" ht="14.25">
      <c r="A17" s="3210"/>
      <c r="B17" s="3211" t="s">
        <v>1106</v>
      </c>
      <c r="C17" s="3211"/>
      <c r="D17" s="1306"/>
      <c r="E17" s="1306"/>
      <c r="F17" s="1307"/>
      <c r="G17" s="1308"/>
      <c r="H17" s="1318"/>
      <c r="I17" s="1319">
        <f>ROUND(D17*E17*F17*G17/10000,0)</f>
        <v>0</v>
      </c>
    </row>
    <row r="18" spans="1:9" ht="14.25">
      <c r="A18" s="3210"/>
      <c r="B18" s="3211" t="s">
        <v>1107</v>
      </c>
      <c r="C18" s="3211"/>
      <c r="D18" s="1306"/>
      <c r="E18" s="1306"/>
      <c r="F18" s="1307"/>
      <c r="G18" s="1308"/>
      <c r="H18" s="1318"/>
      <c r="I18" s="1319">
        <f>ROUND(D18*E18*F18*G18/10000,0)</f>
        <v>0</v>
      </c>
    </row>
    <row r="19" spans="1:9" ht="14.25">
      <c r="A19" s="3210"/>
      <c r="B19" s="3211" t="s">
        <v>1108</v>
      </c>
      <c r="C19" s="3211"/>
      <c r="D19" s="1306"/>
      <c r="E19" s="1306"/>
      <c r="F19" s="1307"/>
      <c r="G19" s="1308"/>
      <c r="H19" s="1318"/>
      <c r="I19" s="1319">
        <f>ROUND(D19*E19*F19*G19/10000,0)</f>
        <v>0</v>
      </c>
    </row>
    <row r="20" spans="1:9">
      <c r="A20" s="3210"/>
      <c r="B20" s="3212" t="s">
        <v>1092</v>
      </c>
      <c r="C20" s="3212"/>
      <c r="D20" s="1310">
        <f>SUM(D17:D19)</f>
        <v>0</v>
      </c>
      <c r="E20" s="1310"/>
      <c r="F20" s="1311"/>
      <c r="G20" s="1308"/>
      <c r="H20" s="1315"/>
      <c r="I20" s="1316">
        <f>SUM(I17:I19)</f>
        <v>0</v>
      </c>
    </row>
    <row r="21" spans="1:9">
      <c r="A21" s="3210" t="s">
        <v>1109</v>
      </c>
      <c r="B21" s="3214"/>
      <c r="C21" s="3214"/>
      <c r="D21" s="3214"/>
      <c r="E21" s="3214"/>
      <c r="F21" s="3214"/>
      <c r="G21" s="3214"/>
      <c r="H21" s="1767">
        <v>0.1</v>
      </c>
      <c r="I21" s="1313">
        <f>ROUND(I10*H21,0)</f>
        <v>0</v>
      </c>
    </row>
    <row r="22" spans="1:9" ht="14.25">
      <c r="A22" s="3215" t="s">
        <v>1110</v>
      </c>
      <c r="B22" s="3216"/>
      <c r="C22" s="3217"/>
      <c r="D22" s="1320" t="s">
        <v>1111</v>
      </c>
      <c r="E22" s="1320" t="s">
        <v>1112</v>
      </c>
      <c r="F22" s="1321" t="s">
        <v>1113</v>
      </c>
      <c r="G22" s="1321" t="s">
        <v>1114</v>
      </c>
      <c r="H22" s="1314" t="s">
        <v>1115</v>
      </c>
      <c r="I22" s="1305" t="s">
        <v>1116</v>
      </c>
    </row>
    <row r="23" spans="1:9" ht="14.25" thickBot="1">
      <c r="A23" s="3218"/>
      <c r="B23" s="3219"/>
      <c r="C23" s="3220"/>
      <c r="D23" s="1322"/>
      <c r="E23" s="1322"/>
      <c r="F23" s="1322"/>
      <c r="G23" s="1323"/>
      <c r="H23" s="1324"/>
      <c r="I23" s="1325">
        <f>ROUND(E23*D23*F23*(1-G23)/10000,0)</f>
        <v>0</v>
      </c>
    </row>
    <row r="26" spans="1:9">
      <c r="A26" s="1326" t="s">
        <v>1117</v>
      </c>
      <c r="B26" s="1326"/>
      <c r="C26" s="1326"/>
      <c r="D26" s="1326"/>
      <c r="E26" s="3221">
        <f>C27-C30-C31-C32</f>
        <v>0</v>
      </c>
      <c r="F26" s="3221"/>
      <c r="G26" s="3221"/>
      <c r="H26" s="1739" t="s">
        <v>1340</v>
      </c>
    </row>
    <row r="27" spans="1:9">
      <c r="A27" s="1327">
        <v>1</v>
      </c>
      <c r="B27" s="1328" t="s">
        <v>1118</v>
      </c>
      <c r="C27" s="1328">
        <f>C28+C29</f>
        <v>0</v>
      </c>
      <c r="D27" s="1328"/>
      <c r="E27" s="3222"/>
      <c r="F27" s="3222"/>
      <c r="G27" s="3222"/>
    </row>
    <row r="28" spans="1:9">
      <c r="A28" s="1329" t="s">
        <v>1119</v>
      </c>
      <c r="B28" s="1328" t="s">
        <v>1120</v>
      </c>
      <c r="C28" s="1328"/>
      <c r="D28" s="1328"/>
      <c r="E28" s="3222"/>
      <c r="F28" s="3222"/>
      <c r="G28" s="3222"/>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13"/>
      <c r="F32" s="3213"/>
      <c r="G32" s="3213"/>
    </row>
    <row r="33" spans="1:7" hidden="1">
      <c r="A33" s="3223" t="s">
        <v>1129</v>
      </c>
      <c r="B33" s="3224"/>
      <c r="C33" s="3224"/>
      <c r="D33" s="3225"/>
      <c r="E33" s="3221"/>
      <c r="F33" s="3221"/>
      <c r="G33" s="3221"/>
    </row>
    <row r="34" spans="1:7" hidden="1">
      <c r="A34" s="1331">
        <v>1</v>
      </c>
      <c r="B34" s="1328" t="s">
        <v>1130</v>
      </c>
      <c r="C34" s="1328"/>
      <c r="D34" s="1328"/>
      <c r="E34" s="3222"/>
      <c r="F34" s="3222"/>
      <c r="G34" s="3222"/>
    </row>
    <row r="35" spans="1:7" hidden="1">
      <c r="A35" s="1331">
        <v>2</v>
      </c>
      <c r="B35" s="1328" t="s">
        <v>1131</v>
      </c>
      <c r="C35" s="1328"/>
      <c r="D35" s="1328"/>
      <c r="E35" s="3222"/>
      <c r="F35" s="3222"/>
      <c r="G35" s="3222"/>
    </row>
    <row r="36" spans="1:7" hidden="1">
      <c r="A36" s="1331">
        <v>3</v>
      </c>
      <c r="B36" s="1328" t="s">
        <v>1132</v>
      </c>
      <c r="C36" s="1328"/>
      <c r="D36" s="1328"/>
      <c r="E36" s="3222"/>
      <c r="F36" s="3222"/>
      <c r="G36" s="3222"/>
    </row>
    <row r="37" spans="1:7" hidden="1">
      <c r="A37" s="1331">
        <v>4</v>
      </c>
      <c r="B37" s="1328" t="s">
        <v>1133</v>
      </c>
      <c r="C37" s="1328"/>
      <c r="D37" s="1328"/>
      <c r="E37" s="3222"/>
      <c r="F37" s="3222"/>
      <c r="G37" s="3222"/>
    </row>
    <row r="38" spans="1:7" hidden="1">
      <c r="A38" s="3223" t="s">
        <v>1134</v>
      </c>
      <c r="B38" s="3224"/>
      <c r="C38" s="3224"/>
      <c r="D38" s="3225"/>
      <c r="E38" s="3221"/>
      <c r="F38" s="3221"/>
      <c r="G38" s="322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2517</v>
      </c>
      <c r="B1" s="2584" t="s">
        <v>2518</v>
      </c>
      <c r="C1" s="1636" t="s">
        <v>2519</v>
      </c>
      <c r="D1" s="1623"/>
      <c r="E1" s="2585"/>
      <c r="F1" s="2586" t="s">
        <v>2520</v>
      </c>
      <c r="G1" s="1633" t="s">
        <v>2521</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1394</v>
      </c>
      <c r="B2" s="1421" t="e">
        <f ca="1">IF(C2="——",ROUND(C49*D3/10000,0),ROUND(C49*D3/10000,0)-D2)</f>
        <v>#DIV/0!</v>
      </c>
      <c r="C2" s="2588"/>
      <c r="D2" s="1368" t="e">
        <f ca="1">SUMIF(INDIRECT("'"&amp;F2&amp;"'"&amp;"!A:A"),"承租人权益价值",INDIRECT("'"&amp;F2&amp;"'"&amp;"!c:c"))</f>
        <v>#REF!</v>
      </c>
      <c r="E2" s="2589" t="s">
        <v>2522</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2523</v>
      </c>
      <c r="D3" s="399">
        <f>IF(D1="",'数据-汇总表'!E3,SUMIF('数据-汇总表'!$C19:$C33,D1,'数据-汇总表'!$E19:$E33))</f>
        <v>210956.06</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2524</v>
      </c>
      <c r="B4" s="402"/>
      <c r="C4" s="3174" t="s">
        <v>2525</v>
      </c>
      <c r="D4" s="3175"/>
      <c r="E4" s="3176" t="s">
        <v>2526</v>
      </c>
      <c r="F4" s="3177"/>
      <c r="G4" s="3174" t="s">
        <v>2527</v>
      </c>
      <c r="H4" s="3175"/>
      <c r="I4" s="3174" t="s">
        <v>2528</v>
      </c>
      <c r="J4" s="3175"/>
      <c r="K4" s="2598" t="s">
        <v>2529</v>
      </c>
      <c r="L4" s="1133"/>
      <c r="M4" s="1134"/>
      <c r="N4" s="1134"/>
      <c r="O4" s="1134"/>
      <c r="P4" s="3178" t="s">
        <v>2530</v>
      </c>
      <c r="Q4" s="3179"/>
      <c r="R4" s="3160" t="s">
        <v>2526</v>
      </c>
      <c r="S4" s="3161"/>
      <c r="T4" s="3160" t="s">
        <v>2527</v>
      </c>
      <c r="U4" s="3161"/>
      <c r="V4" s="3186" t="s">
        <v>2528</v>
      </c>
      <c r="W4" s="3186"/>
      <c r="X4" s="1815"/>
      <c r="Y4" s="3160" t="s">
        <v>2530</v>
      </c>
      <c r="Z4" s="3161"/>
      <c r="AA4" s="3155" t="s">
        <v>2526</v>
      </c>
      <c r="AB4" s="3155" t="s">
        <v>2527</v>
      </c>
      <c r="AC4" s="3155" t="s">
        <v>2528</v>
      </c>
    </row>
    <row r="5" spans="1:29" ht="15">
      <c r="A5" s="404"/>
      <c r="B5" s="405"/>
      <c r="C5" s="3228" t="s">
        <v>2531</v>
      </c>
      <c r="D5" s="3229"/>
      <c r="E5" s="3226" t="s">
        <v>2532</v>
      </c>
      <c r="F5" s="3227"/>
      <c r="G5" s="3228" t="s">
        <v>2533</v>
      </c>
      <c r="H5" s="3229"/>
      <c r="I5" s="3228" t="s">
        <v>2534</v>
      </c>
      <c r="J5" s="3229"/>
      <c r="K5" s="2599"/>
      <c r="L5" s="1133"/>
      <c r="M5" s="1134"/>
      <c r="N5" s="1134"/>
      <c r="O5" s="1134"/>
      <c r="P5" s="3180"/>
      <c r="Q5" s="3181"/>
      <c r="R5" s="3162"/>
      <c r="S5" s="3163"/>
      <c r="T5" s="3162"/>
      <c r="U5" s="3163"/>
      <c r="V5" s="3186"/>
      <c r="W5" s="3186"/>
      <c r="X5" s="1815"/>
      <c r="Y5" s="3162"/>
      <c r="Z5" s="3163"/>
      <c r="AA5" s="3156"/>
      <c r="AB5" s="3156"/>
      <c r="AC5" s="3156"/>
    </row>
    <row r="6" spans="1:29" ht="15.75" thickBot="1">
      <c r="A6" s="406"/>
      <c r="B6" s="407"/>
      <c r="C6" s="3230" t="s">
        <v>2535</v>
      </c>
      <c r="D6" s="3231"/>
      <c r="E6" s="3232" t="s">
        <v>2535</v>
      </c>
      <c r="F6" s="3233"/>
      <c r="G6" s="3230" t="s">
        <v>2535</v>
      </c>
      <c r="H6" s="3231"/>
      <c r="I6" s="3230" t="s">
        <v>2535</v>
      </c>
      <c r="J6" s="3231"/>
      <c r="K6" s="2599" t="s">
        <v>2536</v>
      </c>
      <c r="L6" s="1133"/>
      <c r="M6" s="1134"/>
      <c r="N6" s="1134"/>
      <c r="O6" s="1134"/>
      <c r="P6" s="3182"/>
      <c r="Q6" s="3183"/>
      <c r="R6" s="3162"/>
      <c r="S6" s="3163"/>
      <c r="T6" s="3184"/>
      <c r="U6" s="3185"/>
      <c r="V6" s="3186"/>
      <c r="W6" s="3186"/>
      <c r="X6" s="1815"/>
      <c r="Y6" s="3184"/>
      <c r="Z6" s="3185"/>
      <c r="AA6" s="3157"/>
      <c r="AB6" s="3157"/>
      <c r="AC6" s="3157"/>
    </row>
    <row r="7" spans="1:29" s="117" customFormat="1" ht="15.75" thickBot="1">
      <c r="A7" s="408" t="s">
        <v>2537</v>
      </c>
      <c r="B7" s="409"/>
      <c r="C7" s="410">
        <f>'数据-取费表'!B2</f>
        <v>43235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58" t="s">
        <v>2538</v>
      </c>
      <c r="Q7" s="3187"/>
      <c r="R7" s="770" t="s">
        <v>23</v>
      </c>
      <c r="S7" s="771">
        <f t="shared" ref="S7:S15" si="0">F7</f>
        <v>0</v>
      </c>
      <c r="T7" s="770" t="s">
        <v>23</v>
      </c>
      <c r="U7" s="771">
        <f t="shared" ref="U7:U15" si="1">H7</f>
        <v>0</v>
      </c>
      <c r="V7" s="770" t="s">
        <v>23</v>
      </c>
      <c r="W7" s="771">
        <f t="shared" ref="W7:W15" si="2">J7</f>
        <v>0</v>
      </c>
      <c r="X7" s="772"/>
      <c r="Y7" s="3158" t="s">
        <v>2538</v>
      </c>
      <c r="Z7" s="3159"/>
      <c r="AA7" s="773" t="e">
        <f>D7/F7</f>
        <v>#DIV/0!</v>
      </c>
      <c r="AB7" s="773" t="e">
        <f>D7/H7</f>
        <v>#DIV/0!</v>
      </c>
      <c r="AC7" s="773" t="e">
        <f>D7/J7</f>
        <v>#DIV/0!</v>
      </c>
    </row>
    <row r="8" spans="1:29" s="117" customFormat="1" ht="15.75" thickBot="1">
      <c r="A8" s="408" t="s">
        <v>2539</v>
      </c>
      <c r="B8" s="409"/>
      <c r="C8" s="414" t="s">
        <v>2540</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58" t="s">
        <v>2541</v>
      </c>
      <c r="Q8" s="3159"/>
      <c r="R8" s="770" t="s">
        <v>23</v>
      </c>
      <c r="S8" s="771">
        <f t="shared" si="0"/>
        <v>0</v>
      </c>
      <c r="T8" s="770" t="s">
        <v>23</v>
      </c>
      <c r="U8" s="771">
        <f t="shared" si="1"/>
        <v>0</v>
      </c>
      <c r="V8" s="770" t="s">
        <v>23</v>
      </c>
      <c r="W8" s="771">
        <f t="shared" si="2"/>
        <v>0</v>
      </c>
      <c r="X8" s="772"/>
      <c r="Y8" s="3158" t="s">
        <v>2541</v>
      </c>
      <c r="Z8" s="3159"/>
      <c r="AA8" s="773" t="e">
        <f t="shared" ref="AA8:AA19" si="3">D8/F8</f>
        <v>#DIV/0!</v>
      </c>
      <c r="AB8" s="773" t="e">
        <f t="shared" ref="AB8:AB19" si="4">D8/H8</f>
        <v>#DIV/0!</v>
      </c>
      <c r="AC8" s="773" t="e">
        <f t="shared" ref="AC8:AC19" si="5">D8/J8</f>
        <v>#DIV/0!</v>
      </c>
    </row>
    <row r="9" spans="1:29" s="117" customFormat="1">
      <c r="A9" s="415" t="s">
        <v>2542</v>
      </c>
      <c r="B9" s="71" t="s">
        <v>2543</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97" t="s">
        <v>2544</v>
      </c>
      <c r="Q9" s="1797" t="str">
        <f t="shared" ref="Q9:Q15" si="6">B9</f>
        <v>用途</v>
      </c>
      <c r="R9" s="770" t="s">
        <v>17</v>
      </c>
      <c r="S9" s="771">
        <f t="shared" si="0"/>
        <v>100</v>
      </c>
      <c r="T9" s="770" t="s">
        <v>17</v>
      </c>
      <c r="U9" s="771">
        <f t="shared" si="1"/>
        <v>100</v>
      </c>
      <c r="V9" s="770" t="s">
        <v>17</v>
      </c>
      <c r="W9" s="771">
        <f t="shared" si="2"/>
        <v>100</v>
      </c>
      <c r="X9" s="772"/>
      <c r="Y9" s="3032"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7"/>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7"/>
      <c r="Q11" s="1797" t="str">
        <f t="shared" si="6"/>
        <v>容积率</v>
      </c>
      <c r="R11" s="770" t="s">
        <v>21</v>
      </c>
      <c r="S11" s="771" t="e">
        <f t="shared" si="0"/>
        <v>#N/A</v>
      </c>
      <c r="T11" s="770" t="s">
        <v>21</v>
      </c>
      <c r="U11" s="771" t="e">
        <f t="shared" si="1"/>
        <v>#N/A</v>
      </c>
      <c r="V11" s="770" t="s">
        <v>21</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97"/>
      <c r="Q12" s="1797">
        <f t="shared" si="6"/>
        <v>111</v>
      </c>
      <c r="R12" s="770" t="s">
        <v>21</v>
      </c>
      <c r="S12" s="771">
        <f t="shared" si="0"/>
        <v>100</v>
      </c>
      <c r="T12" s="770" t="s">
        <v>21</v>
      </c>
      <c r="U12" s="771">
        <f t="shared" si="1"/>
        <v>100</v>
      </c>
      <c r="V12" s="770" t="s">
        <v>21</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97"/>
      <c r="Q13" s="1797">
        <f t="shared" si="6"/>
        <v>111</v>
      </c>
      <c r="R13" s="770" t="s">
        <v>21</v>
      </c>
      <c r="S13" s="771">
        <f t="shared" si="0"/>
        <v>100</v>
      </c>
      <c r="T13" s="770" t="s">
        <v>21</v>
      </c>
      <c r="U13" s="771">
        <f t="shared" si="1"/>
        <v>100</v>
      </c>
      <c r="V13" s="770" t="s">
        <v>21</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97"/>
      <c r="Q14" s="1797">
        <f t="shared" si="6"/>
        <v>111</v>
      </c>
      <c r="R14" s="770" t="s">
        <v>21</v>
      </c>
      <c r="S14" s="771">
        <f t="shared" si="0"/>
        <v>100</v>
      </c>
      <c r="T14" s="770" t="s">
        <v>21</v>
      </c>
      <c r="U14" s="771">
        <f t="shared" si="1"/>
        <v>100</v>
      </c>
      <c r="V14" s="770" t="s">
        <v>21</v>
      </c>
      <c r="W14" s="771">
        <f t="shared" si="2"/>
        <v>100</v>
      </c>
      <c r="X14" s="772"/>
      <c r="Y14" s="3032"/>
      <c r="Z14" s="55">
        <f t="shared" si="7"/>
        <v>111</v>
      </c>
      <c r="AA14" s="773">
        <f t="shared" si="3"/>
        <v>1</v>
      </c>
      <c r="AB14" s="773">
        <f t="shared" si="4"/>
        <v>1</v>
      </c>
      <c r="AC14" s="773">
        <f t="shared" si="5"/>
        <v>1</v>
      </c>
    </row>
    <row r="15" spans="1:29" ht="15">
      <c r="A15" s="440" t="s">
        <v>2548</v>
      </c>
      <c r="B15" s="69" t="s">
        <v>2086</v>
      </c>
      <c r="C15" s="2605">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0" t="s">
        <v>2549</v>
      </c>
      <c r="Q15" s="1812" t="str">
        <f t="shared" si="6"/>
        <v>居住社区成熟度</v>
      </c>
      <c r="R15" s="774" t="s">
        <v>21</v>
      </c>
      <c r="S15" s="775">
        <f t="shared" si="0"/>
        <v>100</v>
      </c>
      <c r="T15" s="774" t="s">
        <v>21</v>
      </c>
      <c r="U15" s="775">
        <f t="shared" si="1"/>
        <v>100</v>
      </c>
      <c r="V15" s="774" t="s">
        <v>21</v>
      </c>
      <c r="W15" s="775">
        <f t="shared" si="2"/>
        <v>100</v>
      </c>
      <c r="X15" s="1815"/>
      <c r="Y15" s="3188" t="s">
        <v>2549</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3"/>
      <c r="M16" s="1134"/>
      <c r="N16" s="1134"/>
      <c r="O16" s="1134"/>
      <c r="P16" s="3241"/>
      <c r="Q16" s="1812"/>
      <c r="R16" s="774"/>
      <c r="S16" s="775"/>
      <c r="T16" s="774"/>
      <c r="U16" s="775"/>
      <c r="V16" s="774"/>
      <c r="W16" s="775"/>
      <c r="X16" s="1815"/>
      <c r="Y16" s="3189"/>
      <c r="Z16" s="1816"/>
      <c r="AA16" s="1813">
        <v>1</v>
      </c>
      <c r="AB16" s="1813">
        <v>1</v>
      </c>
      <c r="AC16" s="1813">
        <v>1</v>
      </c>
    </row>
    <row r="17" spans="1:29" ht="85.5">
      <c r="A17" s="428"/>
      <c r="B17" s="451" t="s">
        <v>2092</v>
      </c>
      <c r="C17" s="2609" t="str">
        <f>估价对象房地状况!C6</f>
        <v>估价对象周边路网密集、公共交通通达情况较好、停车便捷程度好，综合评价交通便捷度较好。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1"/>
      <c r="Q17" s="1812" t="str">
        <f>B17</f>
        <v>交通便捷度</v>
      </c>
      <c r="R17" s="774" t="s">
        <v>21</v>
      </c>
      <c r="S17" s="775">
        <f>F17</f>
        <v>100</v>
      </c>
      <c r="T17" s="774" t="s">
        <v>21</v>
      </c>
      <c r="U17" s="775">
        <f>H17</f>
        <v>100</v>
      </c>
      <c r="V17" s="774" t="s">
        <v>21</v>
      </c>
      <c r="W17" s="775">
        <f>J17</f>
        <v>100</v>
      </c>
      <c r="X17" s="1815"/>
      <c r="Y17" s="3189"/>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3"/>
      <c r="M18" s="1134"/>
      <c r="N18" s="1134"/>
      <c r="O18" s="1134"/>
      <c r="P18" s="3241"/>
      <c r="Q18" s="1812"/>
      <c r="R18" s="774"/>
      <c r="S18" s="775"/>
      <c r="T18" s="774"/>
      <c r="U18" s="775"/>
      <c r="V18" s="774"/>
      <c r="W18" s="775"/>
      <c r="X18" s="1815"/>
      <c r="Y18" s="3189"/>
      <c r="Z18" s="1816"/>
      <c r="AA18" s="1813">
        <v>1</v>
      </c>
      <c r="AB18" s="1813">
        <v>1</v>
      </c>
      <c r="AC18" s="1813">
        <v>1</v>
      </c>
    </row>
    <row r="19" spans="1:29" ht="114">
      <c r="A19" s="428"/>
      <c r="B19" s="451" t="s">
        <v>2091</v>
      </c>
      <c r="C19" s="2609" t="str">
        <f>估价对象房地状况!C7</f>
        <v>估价对象所在区域有北京市农村商业银行(北臧村支行)、北京市大兴区向阳希望学校、华联超市等公共配套设施齐备情况较好。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1"/>
      <c r="Q19" s="1812" t="str">
        <f>B19</f>
        <v>公共配套设施</v>
      </c>
      <c r="R19" s="774" t="s">
        <v>21</v>
      </c>
      <c r="S19" s="775">
        <f>F19</f>
        <v>100</v>
      </c>
      <c r="T19" s="774" t="s">
        <v>21</v>
      </c>
      <c r="U19" s="775">
        <f>H19</f>
        <v>100</v>
      </c>
      <c r="V19" s="774" t="s">
        <v>21</v>
      </c>
      <c r="W19" s="775">
        <f>J19</f>
        <v>100</v>
      </c>
      <c r="X19" s="1815"/>
      <c r="Y19" s="3189"/>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3"/>
      <c r="M20" s="1134"/>
      <c r="N20" s="1134"/>
      <c r="O20" s="1134"/>
      <c r="P20" s="3241"/>
      <c r="Q20" s="1812"/>
      <c r="R20" s="774"/>
      <c r="S20" s="775"/>
      <c r="T20" s="774"/>
      <c r="U20" s="775"/>
      <c r="V20" s="774"/>
      <c r="W20" s="775"/>
      <c r="X20" s="1815"/>
      <c r="Y20" s="3189"/>
      <c r="Z20" s="1816"/>
      <c r="AA20" s="1813">
        <v>1</v>
      </c>
      <c r="AB20" s="1813">
        <v>1</v>
      </c>
      <c r="AC20" s="1813">
        <v>1</v>
      </c>
    </row>
    <row r="21" spans="1:29" ht="15">
      <c r="A21" s="428"/>
      <c r="B21" s="1387" t="s">
        <v>2093</v>
      </c>
      <c r="C21" s="2609"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1"/>
      <c r="Q21" s="1812" t="str">
        <f>B21</f>
        <v>基础设施水平</v>
      </c>
      <c r="R21" s="774" t="s">
        <v>17</v>
      </c>
      <c r="S21" s="775">
        <f>F21</f>
        <v>100</v>
      </c>
      <c r="T21" s="774" t="s">
        <v>17</v>
      </c>
      <c r="U21" s="775">
        <f>H21</f>
        <v>100</v>
      </c>
      <c r="V21" s="774" t="s">
        <v>17</v>
      </c>
      <c r="W21" s="775">
        <f>J21</f>
        <v>100</v>
      </c>
      <c r="X21" s="1815"/>
      <c r="Y21" s="3189"/>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8"/>
      <c r="G22" s="2613"/>
      <c r="H22" s="448"/>
      <c r="I22" s="447"/>
      <c r="J22" s="448"/>
      <c r="K22" s="2614"/>
      <c r="L22" s="1143"/>
      <c r="M22" s="1134"/>
      <c r="N22" s="1134"/>
      <c r="O22" s="1134"/>
      <c r="P22" s="3241"/>
      <c r="Q22" s="1812"/>
      <c r="R22" s="774"/>
      <c r="S22" s="775"/>
      <c r="T22" s="774"/>
      <c r="U22" s="775"/>
      <c r="V22" s="774"/>
      <c r="W22" s="775"/>
      <c r="X22" s="1815"/>
      <c r="Y22" s="3189"/>
      <c r="Z22" s="1816"/>
      <c r="AA22" s="1813">
        <v>1</v>
      </c>
      <c r="AB22" s="1813">
        <v>1</v>
      </c>
      <c r="AC22" s="1813">
        <v>1</v>
      </c>
    </row>
    <row r="23" spans="1:29" ht="114">
      <c r="A23" s="428"/>
      <c r="B23" s="451" t="s">
        <v>2095</v>
      </c>
      <c r="C23" s="2609" t="str">
        <f>估价对象房地状况!C9</f>
        <v>估价对象所处区域自然环境及人文环境：有念坛公园、绿化条件一般，缺乏图书馆、博物馆等设施；综合评价环境状况一般。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1"/>
      <c r="Q23" s="1812" t="str">
        <f>B23</f>
        <v>自然及人文环境</v>
      </c>
      <c r="R23" s="774" t="s">
        <v>21</v>
      </c>
      <c r="S23" s="775">
        <f>F23</f>
        <v>100</v>
      </c>
      <c r="T23" s="774" t="s">
        <v>21</v>
      </c>
      <c r="U23" s="775">
        <f>H23</f>
        <v>100</v>
      </c>
      <c r="V23" s="774" t="s">
        <v>21</v>
      </c>
      <c r="W23" s="775">
        <f>J23</f>
        <v>100</v>
      </c>
      <c r="X23" s="1815"/>
      <c r="Y23" s="3189"/>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3"/>
      <c r="M24" s="1134"/>
      <c r="N24" s="1134"/>
      <c r="O24" s="1134"/>
      <c r="P24" s="3241"/>
      <c r="Q24" s="1812"/>
      <c r="R24" s="774"/>
      <c r="S24" s="775"/>
      <c r="T24" s="774"/>
      <c r="U24" s="775"/>
      <c r="V24" s="774"/>
      <c r="W24" s="775"/>
      <c r="X24" s="1815"/>
      <c r="Y24" s="3189"/>
      <c r="Z24" s="1816"/>
      <c r="AA24" s="1813">
        <v>1</v>
      </c>
      <c r="AB24" s="1813">
        <v>1</v>
      </c>
      <c r="AC24" s="1813">
        <v>1</v>
      </c>
    </row>
    <row r="25" spans="1:29" ht="15">
      <c r="A25" s="428"/>
      <c r="B25" s="422" t="s">
        <v>2550</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41"/>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89"/>
      <c r="Z25" s="1816" t="str">
        <f>Q25</f>
        <v>楼层-1</v>
      </c>
      <c r="AA25" s="1813">
        <f t="shared" ref="AA25:AA46" si="15">D25/F25</f>
        <v>1</v>
      </c>
      <c r="AB25" s="1813">
        <f t="shared" ref="AB25:AB46" si="16">D25/H25</f>
        <v>1</v>
      </c>
      <c r="AC25" s="1813">
        <f t="shared" ref="AC25:AC46" si="17">D25/J25</f>
        <v>1</v>
      </c>
    </row>
    <row r="26" spans="1:29" ht="15">
      <c r="A26" s="428"/>
      <c r="B26" s="422" t="s">
        <v>2551</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41"/>
      <c r="Q26" s="1812" t="str">
        <f t="shared" si="11"/>
        <v>朝向</v>
      </c>
      <c r="R26" s="774" t="s">
        <v>21</v>
      </c>
      <c r="S26" s="775">
        <f t="shared" si="12"/>
        <v>100</v>
      </c>
      <c r="T26" s="774" t="s">
        <v>21</v>
      </c>
      <c r="U26" s="775">
        <f t="shared" si="13"/>
        <v>100</v>
      </c>
      <c r="V26" s="774" t="s">
        <v>21</v>
      </c>
      <c r="W26" s="775">
        <f t="shared" si="14"/>
        <v>100</v>
      </c>
      <c r="X26" s="1815"/>
      <c r="Y26" s="3189"/>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41"/>
      <c r="Q27" s="1797">
        <f t="shared" si="11"/>
        <v>111</v>
      </c>
      <c r="R27" s="770" t="s">
        <v>21</v>
      </c>
      <c r="S27" s="771">
        <f t="shared" si="12"/>
        <v>100</v>
      </c>
      <c r="T27" s="770" t="s">
        <v>21</v>
      </c>
      <c r="U27" s="771">
        <f t="shared" si="13"/>
        <v>100</v>
      </c>
      <c r="V27" s="770" t="s">
        <v>21</v>
      </c>
      <c r="W27" s="771">
        <f t="shared" si="14"/>
        <v>100</v>
      </c>
      <c r="X27" s="772"/>
      <c r="Y27" s="3189"/>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41"/>
      <c r="Q28" s="1812">
        <f t="shared" si="11"/>
        <v>111</v>
      </c>
      <c r="R28" s="774" t="s">
        <v>21</v>
      </c>
      <c r="S28" s="775">
        <f t="shared" si="12"/>
        <v>100</v>
      </c>
      <c r="T28" s="774" t="s">
        <v>21</v>
      </c>
      <c r="U28" s="775">
        <f t="shared" si="13"/>
        <v>100</v>
      </c>
      <c r="V28" s="774" t="s">
        <v>21</v>
      </c>
      <c r="W28" s="775">
        <f t="shared" si="14"/>
        <v>100</v>
      </c>
      <c r="X28" s="1815"/>
      <c r="Y28" s="3189"/>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41"/>
      <c r="Q29" s="1812">
        <f t="shared" si="11"/>
        <v>111</v>
      </c>
      <c r="R29" s="774" t="s">
        <v>21</v>
      </c>
      <c r="S29" s="775">
        <f t="shared" si="12"/>
        <v>100</v>
      </c>
      <c r="T29" s="774" t="s">
        <v>21</v>
      </c>
      <c r="U29" s="775">
        <f t="shared" si="13"/>
        <v>100</v>
      </c>
      <c r="V29" s="774" t="s">
        <v>21</v>
      </c>
      <c r="W29" s="775">
        <f t="shared" si="14"/>
        <v>100</v>
      </c>
      <c r="X29" s="1815"/>
      <c r="Y29" s="3189"/>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41"/>
      <c r="Q30" s="1812">
        <f t="shared" si="11"/>
        <v>111</v>
      </c>
      <c r="R30" s="774" t="s">
        <v>21</v>
      </c>
      <c r="S30" s="775">
        <f t="shared" si="12"/>
        <v>100</v>
      </c>
      <c r="T30" s="774" t="s">
        <v>21</v>
      </c>
      <c r="U30" s="775">
        <f t="shared" si="13"/>
        <v>100</v>
      </c>
      <c r="V30" s="774" t="s">
        <v>21</v>
      </c>
      <c r="W30" s="775">
        <f t="shared" si="14"/>
        <v>100</v>
      </c>
      <c r="X30" s="1815"/>
      <c r="Y30" s="3189"/>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41"/>
      <c r="Q31" s="1812">
        <f t="shared" si="11"/>
        <v>111</v>
      </c>
      <c r="R31" s="774" t="s">
        <v>21</v>
      </c>
      <c r="S31" s="775">
        <f t="shared" si="12"/>
        <v>100</v>
      </c>
      <c r="T31" s="774" t="s">
        <v>21</v>
      </c>
      <c r="U31" s="775">
        <f t="shared" si="13"/>
        <v>100</v>
      </c>
      <c r="V31" s="774" t="s">
        <v>21</v>
      </c>
      <c r="W31" s="775">
        <f t="shared" si="14"/>
        <v>100</v>
      </c>
      <c r="X31" s="1815"/>
      <c r="Y31" s="3189"/>
      <c r="Z31" s="1816">
        <f t="shared" si="18"/>
        <v>111</v>
      </c>
      <c r="AA31" s="1813">
        <f t="shared" si="15"/>
        <v>1</v>
      </c>
      <c r="AB31" s="1813">
        <f t="shared" si="16"/>
        <v>1</v>
      </c>
      <c r="AC31" s="1813">
        <f t="shared" si="17"/>
        <v>1</v>
      </c>
    </row>
    <row r="32" spans="1:29" ht="15">
      <c r="A32" s="440" t="s">
        <v>2552</v>
      </c>
      <c r="B32" s="71" t="s">
        <v>2553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36" t="s">
        <v>2554</v>
      </c>
      <c r="Q32" s="1812" t="str">
        <f t="shared" si="11"/>
        <v>建筑类型</v>
      </c>
      <c r="R32" s="774" t="s">
        <v>21</v>
      </c>
      <c r="S32" s="775">
        <f t="shared" si="12"/>
        <v>100</v>
      </c>
      <c r="T32" s="774" t="s">
        <v>21</v>
      </c>
      <c r="U32" s="775">
        <f t="shared" si="13"/>
        <v>100</v>
      </c>
      <c r="V32" s="774" t="s">
        <v>21</v>
      </c>
      <c r="W32" s="775">
        <f t="shared" si="14"/>
        <v>100</v>
      </c>
      <c r="X32" s="1815"/>
      <c r="Y32" s="3191" t="s">
        <v>2554</v>
      </c>
      <c r="Z32" s="1816" t="str">
        <f t="shared" si="18"/>
        <v>建筑类型</v>
      </c>
      <c r="AA32" s="1813">
        <f t="shared" si="15"/>
        <v>1</v>
      </c>
      <c r="AB32" s="1813">
        <f t="shared" si="16"/>
        <v>1</v>
      </c>
      <c r="AC32" s="1813">
        <f t="shared" si="17"/>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37"/>
      <c r="Q33" s="776" t="str">
        <f t="shared" si="11"/>
        <v>项目建筑规模</v>
      </c>
      <c r="R33" s="777" t="s">
        <v>21</v>
      </c>
      <c r="S33" s="778" t="e">
        <f t="shared" si="12"/>
        <v>#N/A</v>
      </c>
      <c r="T33" s="777" t="s">
        <v>21</v>
      </c>
      <c r="U33" s="778" t="e">
        <f t="shared" si="13"/>
        <v>#N/A</v>
      </c>
      <c r="V33" s="777" t="s">
        <v>21</v>
      </c>
      <c r="W33" s="778" t="e">
        <f t="shared" si="14"/>
        <v>#N/A</v>
      </c>
      <c r="X33" s="779"/>
      <c r="Y33" s="3191"/>
      <c r="Z33" s="780" t="str">
        <f t="shared" si="18"/>
        <v>项目建筑规模</v>
      </c>
      <c r="AA33" s="1813" t="e">
        <f t="shared" si="15"/>
        <v>#N/A</v>
      </c>
      <c r="AB33" s="1813" t="e">
        <f t="shared" si="16"/>
        <v>#N/A</v>
      </c>
      <c r="AC33" s="1813" t="e">
        <f t="shared" si="17"/>
        <v>#N/A</v>
      </c>
    </row>
    <row r="34" spans="1:29" ht="15">
      <c r="A34" s="472"/>
      <c r="B34" s="422" t="s">
        <v>2556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37"/>
      <c r="Q34" s="1812" t="str">
        <f t="shared" si="11"/>
        <v>建筑结构</v>
      </c>
      <c r="R34" s="774" t="s">
        <v>21</v>
      </c>
      <c r="S34" s="775">
        <f t="shared" si="12"/>
        <v>100</v>
      </c>
      <c r="T34" s="774" t="s">
        <v>21</v>
      </c>
      <c r="U34" s="775">
        <f t="shared" si="13"/>
        <v>100</v>
      </c>
      <c r="V34" s="774" t="s">
        <v>21</v>
      </c>
      <c r="W34" s="775">
        <f t="shared" si="14"/>
        <v>100</v>
      </c>
      <c r="X34" s="1815"/>
      <c r="Y34" s="3191"/>
      <c r="Z34" s="1816" t="str">
        <f t="shared" si="18"/>
        <v>建筑结构</v>
      </c>
      <c r="AA34" s="1813">
        <f t="shared" si="15"/>
        <v>1</v>
      </c>
      <c r="AB34" s="1813">
        <f t="shared" si="16"/>
        <v>1</v>
      </c>
      <c r="AC34" s="1813">
        <f t="shared" si="17"/>
        <v>1</v>
      </c>
    </row>
    <row r="35" spans="1:29" ht="15">
      <c r="A35" s="472"/>
      <c r="B35" s="422" t="s">
        <v>2557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37"/>
      <c r="Q35" s="1812" t="str">
        <f t="shared" si="11"/>
        <v>建筑品质</v>
      </c>
      <c r="R35" s="774" t="s">
        <v>21</v>
      </c>
      <c r="S35" s="775">
        <f t="shared" si="12"/>
        <v>100</v>
      </c>
      <c r="T35" s="774" t="s">
        <v>21</v>
      </c>
      <c r="U35" s="775">
        <f t="shared" si="13"/>
        <v>100</v>
      </c>
      <c r="V35" s="774" t="s">
        <v>21</v>
      </c>
      <c r="W35" s="775">
        <f t="shared" si="14"/>
        <v>100</v>
      </c>
      <c r="X35" s="1815"/>
      <c r="Y35" s="3191"/>
      <c r="Z35" s="1816" t="str">
        <f t="shared" si="18"/>
        <v>建筑品质</v>
      </c>
      <c r="AA35" s="1813">
        <f t="shared" si="15"/>
        <v>1</v>
      </c>
      <c r="AB35" s="1813">
        <f t="shared" si="16"/>
        <v>1</v>
      </c>
      <c r="AC35" s="1813">
        <f t="shared" si="17"/>
        <v>1</v>
      </c>
    </row>
    <row r="36" spans="1:29" ht="15">
      <c r="A36" s="472"/>
      <c r="B36" s="422" t="s">
        <v>2558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37"/>
      <c r="Q36" s="1812" t="str">
        <f t="shared" si="11"/>
        <v>公共部分装修</v>
      </c>
      <c r="R36" s="774" t="s">
        <v>21</v>
      </c>
      <c r="S36" s="775">
        <f t="shared" si="12"/>
        <v>100</v>
      </c>
      <c r="T36" s="774" t="s">
        <v>21</v>
      </c>
      <c r="U36" s="775">
        <f t="shared" si="13"/>
        <v>100</v>
      </c>
      <c r="V36" s="774" t="s">
        <v>21</v>
      </c>
      <c r="W36" s="775">
        <f t="shared" si="14"/>
        <v>100</v>
      </c>
      <c r="X36" s="1815"/>
      <c r="Y36" s="3191"/>
      <c r="Z36" s="1816" t="str">
        <f t="shared" si="18"/>
        <v>公共部分装修</v>
      </c>
      <c r="AA36" s="1813">
        <f t="shared" si="15"/>
        <v>1</v>
      </c>
      <c r="AB36" s="1813">
        <f t="shared" si="16"/>
        <v>1</v>
      </c>
      <c r="AC36" s="1813">
        <f t="shared" si="17"/>
        <v>1</v>
      </c>
    </row>
    <row r="37" spans="1:29" s="117" customFormat="1" ht="15">
      <c r="A37" s="473"/>
      <c r="B37" s="422" t="s">
        <v>2559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7"/>
      <c r="Q37" s="1797" t="str">
        <f t="shared" si="11"/>
        <v>成新度</v>
      </c>
      <c r="R37" s="770" t="s">
        <v>21</v>
      </c>
      <c r="S37" s="771" t="e">
        <f t="shared" si="12"/>
        <v>#N/A</v>
      </c>
      <c r="T37" s="770" t="s">
        <v>21</v>
      </c>
      <c r="U37" s="771" t="e">
        <f t="shared" si="13"/>
        <v>#N/A</v>
      </c>
      <c r="V37" s="770" t="s">
        <v>21</v>
      </c>
      <c r="W37" s="771" t="e">
        <f t="shared" si="14"/>
        <v>#N/A</v>
      </c>
      <c r="X37" s="772"/>
      <c r="Y37" s="3191"/>
      <c r="Z37" s="55" t="str">
        <f t="shared" si="18"/>
        <v>成新度</v>
      </c>
      <c r="AA37" s="773" t="e">
        <f t="shared" si="15"/>
        <v>#N/A</v>
      </c>
      <c r="AB37" s="773" t="e">
        <f t="shared" si="16"/>
        <v>#N/A</v>
      </c>
      <c r="AC37" s="773" t="e">
        <f t="shared" si="17"/>
        <v>#N/A</v>
      </c>
    </row>
    <row r="38" spans="1:29" ht="15">
      <c r="A38" s="472"/>
      <c r="B38" s="422" t="s">
        <v>2560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37" t="s">
        <v>2554</v>
      </c>
      <c r="Q38" s="1812" t="str">
        <f t="shared" si="11"/>
        <v>物业管理</v>
      </c>
      <c r="R38" s="774" t="s">
        <v>21</v>
      </c>
      <c r="S38" s="775">
        <f t="shared" si="12"/>
        <v>100</v>
      </c>
      <c r="T38" s="774" t="s">
        <v>21</v>
      </c>
      <c r="U38" s="775">
        <f t="shared" si="13"/>
        <v>100</v>
      </c>
      <c r="V38" s="774" t="s">
        <v>21</v>
      </c>
      <c r="W38" s="775">
        <f t="shared" si="14"/>
        <v>100</v>
      </c>
      <c r="X38" s="1815"/>
      <c r="Y38" s="3191" t="s">
        <v>2554</v>
      </c>
      <c r="Z38" s="1816" t="str">
        <f t="shared" si="18"/>
        <v>物业管理</v>
      </c>
      <c r="AA38" s="1813">
        <f t="shared" si="15"/>
        <v>1</v>
      </c>
      <c r="AB38" s="1813">
        <f t="shared" si="16"/>
        <v>1</v>
      </c>
      <c r="AC38" s="1813">
        <f t="shared" si="17"/>
        <v>1</v>
      </c>
    </row>
    <row r="39" spans="1:29" ht="15">
      <c r="A39" s="472"/>
      <c r="B39" s="422" t="s">
        <v>2561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37"/>
      <c r="Q39" s="1812" t="str">
        <f t="shared" si="11"/>
        <v>市政基础设施</v>
      </c>
      <c r="R39" s="774" t="s">
        <v>21</v>
      </c>
      <c r="S39" s="775">
        <f t="shared" si="12"/>
        <v>100</v>
      </c>
      <c r="T39" s="774" t="s">
        <v>21</v>
      </c>
      <c r="U39" s="775">
        <f t="shared" si="13"/>
        <v>100</v>
      </c>
      <c r="V39" s="774" t="s">
        <v>21</v>
      </c>
      <c r="W39" s="775">
        <f t="shared" si="14"/>
        <v>100</v>
      </c>
      <c r="X39" s="1815"/>
      <c r="Y39" s="3191"/>
      <c r="Z39" s="1816" t="str">
        <f t="shared" si="18"/>
        <v>市政基础设施</v>
      </c>
      <c r="AA39" s="1813">
        <f t="shared" si="15"/>
        <v>1</v>
      </c>
      <c r="AB39" s="1813">
        <f t="shared" si="16"/>
        <v>1</v>
      </c>
      <c r="AC39" s="1813">
        <f t="shared" si="17"/>
        <v>1</v>
      </c>
    </row>
    <row r="40" spans="1:29" ht="15">
      <c r="A40" s="472"/>
      <c r="B40" s="422" t="s">
        <v>2562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37"/>
      <c r="Q40" s="1812" t="str">
        <f t="shared" si="11"/>
        <v>房型</v>
      </c>
      <c r="R40" s="774" t="s">
        <v>21</v>
      </c>
      <c r="S40" s="775">
        <f t="shared" si="12"/>
        <v>100</v>
      </c>
      <c r="T40" s="774" t="s">
        <v>21</v>
      </c>
      <c r="U40" s="775">
        <f t="shared" si="13"/>
        <v>100</v>
      </c>
      <c r="V40" s="774" t="s">
        <v>21</v>
      </c>
      <c r="W40" s="775">
        <f t="shared" si="14"/>
        <v>100</v>
      </c>
      <c r="X40" s="1815"/>
      <c r="Y40" s="3191"/>
      <c r="Z40" s="1816" t="str">
        <f t="shared" si="18"/>
        <v>房型</v>
      </c>
      <c r="AA40" s="1813">
        <f t="shared" si="15"/>
        <v>1</v>
      </c>
      <c r="AB40" s="1813">
        <f t="shared" si="16"/>
        <v>1</v>
      </c>
      <c r="AC40" s="1813">
        <f t="shared" si="17"/>
        <v>1</v>
      </c>
    </row>
    <row r="41" spans="1:29" s="471" customFormat="1" ht="28.5">
      <c r="A41" s="468"/>
      <c r="B41" s="422" t="s">
        <v>2563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37"/>
      <c r="Q41" s="776" t="str">
        <f t="shared" si="11"/>
        <v>单套/主力户型建筑面积</v>
      </c>
      <c r="R41" s="777" t="s">
        <v>21</v>
      </c>
      <c r="S41" s="778">
        <f t="shared" si="12"/>
        <v>100</v>
      </c>
      <c r="T41" s="777" t="s">
        <v>21</v>
      </c>
      <c r="U41" s="778">
        <f t="shared" si="13"/>
        <v>100</v>
      </c>
      <c r="V41" s="777" t="s">
        <v>21</v>
      </c>
      <c r="W41" s="778">
        <f t="shared" si="14"/>
        <v>100</v>
      </c>
      <c r="X41" s="779"/>
      <c r="Y41" s="3191"/>
      <c r="Z41" s="780" t="str">
        <f t="shared" si="18"/>
        <v>单套/主力户型建筑面积</v>
      </c>
      <c r="AA41" s="1813">
        <f t="shared" si="15"/>
        <v>1</v>
      </c>
      <c r="AB41" s="1813">
        <f t="shared" si="16"/>
        <v>1</v>
      </c>
      <c r="AC41" s="1813">
        <f t="shared" si="17"/>
        <v>1</v>
      </c>
    </row>
    <row r="42" spans="1:29" ht="15">
      <c r="A42" s="472"/>
      <c r="B42" s="422" t="s">
        <v>2564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37"/>
      <c r="Q42" s="1812" t="str">
        <f t="shared" si="11"/>
        <v>内部装修</v>
      </c>
      <c r="R42" s="774" t="s">
        <v>21</v>
      </c>
      <c r="S42" s="775">
        <f t="shared" si="12"/>
        <v>100</v>
      </c>
      <c r="T42" s="774" t="s">
        <v>21</v>
      </c>
      <c r="U42" s="775">
        <f t="shared" si="13"/>
        <v>100</v>
      </c>
      <c r="V42" s="774" t="s">
        <v>21</v>
      </c>
      <c r="W42" s="775">
        <f t="shared" si="14"/>
        <v>100</v>
      </c>
      <c r="X42" s="1815"/>
      <c r="Y42" s="3191"/>
      <c r="Z42" s="1816" t="str">
        <f t="shared" si="18"/>
        <v>内部装修</v>
      </c>
      <c r="AA42" s="1813">
        <f t="shared" si="15"/>
        <v>1</v>
      </c>
      <c r="AB42" s="1813">
        <f t="shared" si="16"/>
        <v>1</v>
      </c>
      <c r="AC42" s="1813">
        <f t="shared" si="17"/>
        <v>1</v>
      </c>
    </row>
    <row r="43" spans="1:29" ht="15">
      <c r="A43" s="472"/>
      <c r="B43" s="422" t="s">
        <v>2565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37"/>
      <c r="Q43" s="1812" t="str">
        <f t="shared" si="11"/>
        <v>内部装修维护情况</v>
      </c>
      <c r="R43" s="774" t="s">
        <v>21</v>
      </c>
      <c r="S43" s="775">
        <f t="shared" si="12"/>
        <v>100</v>
      </c>
      <c r="T43" s="774" t="s">
        <v>21</v>
      </c>
      <c r="U43" s="775">
        <f t="shared" si="13"/>
        <v>100</v>
      </c>
      <c r="V43" s="774" t="s">
        <v>21</v>
      </c>
      <c r="W43" s="775">
        <f t="shared" si="14"/>
        <v>100</v>
      </c>
      <c r="X43" s="1815"/>
      <c r="Y43" s="3191"/>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37"/>
      <c r="Q44" s="1797">
        <f t="shared" si="11"/>
        <v>111</v>
      </c>
      <c r="R44" s="770" t="s">
        <v>21</v>
      </c>
      <c r="S44" s="771">
        <f t="shared" si="12"/>
        <v>100</v>
      </c>
      <c r="T44" s="770" t="s">
        <v>21</v>
      </c>
      <c r="U44" s="771">
        <f t="shared" si="13"/>
        <v>100</v>
      </c>
      <c r="V44" s="770" t="s">
        <v>21</v>
      </c>
      <c r="W44" s="771">
        <f t="shared" si="14"/>
        <v>100</v>
      </c>
      <c r="X44" s="772"/>
      <c r="Y44" s="319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37"/>
      <c r="Q45" s="1812">
        <f t="shared" si="11"/>
        <v>111</v>
      </c>
      <c r="R45" s="774" t="s">
        <v>21</v>
      </c>
      <c r="S45" s="775">
        <f t="shared" si="12"/>
        <v>100</v>
      </c>
      <c r="T45" s="774" t="s">
        <v>21</v>
      </c>
      <c r="U45" s="775">
        <f t="shared" si="13"/>
        <v>100</v>
      </c>
      <c r="V45" s="774" t="s">
        <v>21</v>
      </c>
      <c r="W45" s="775">
        <f t="shared" si="14"/>
        <v>100</v>
      </c>
      <c r="X45" s="1815"/>
      <c r="Y45" s="3191"/>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38"/>
      <c r="Q46" s="1812">
        <f t="shared" si="11"/>
        <v>111</v>
      </c>
      <c r="R46" s="774" t="s">
        <v>20</v>
      </c>
      <c r="S46" s="775">
        <f t="shared" si="12"/>
        <v>100</v>
      </c>
      <c r="T46" s="774" t="s">
        <v>20</v>
      </c>
      <c r="U46" s="775">
        <f t="shared" si="13"/>
        <v>100</v>
      </c>
      <c r="V46" s="774" t="s">
        <v>20</v>
      </c>
      <c r="W46" s="775">
        <f t="shared" si="14"/>
        <v>100</v>
      </c>
      <c r="X46" s="1815"/>
      <c r="Y46" s="3239"/>
      <c r="Z46" s="1816">
        <f t="shared" si="18"/>
        <v>111</v>
      </c>
      <c r="AA46" s="1813">
        <f t="shared" si="15"/>
        <v>1</v>
      </c>
      <c r="AB46" s="1813">
        <f t="shared" si="16"/>
        <v>1</v>
      </c>
      <c r="AC46" s="1813">
        <f t="shared" si="17"/>
        <v>1</v>
      </c>
    </row>
    <row r="47" spans="1:29" ht="15">
      <c r="A47" s="479" t="s">
        <v>2566</v>
      </c>
      <c r="B47" s="480"/>
      <c r="C47" s="1410" t="s">
        <v>19</v>
      </c>
      <c r="D47" s="1411"/>
      <c r="E47" s="1412"/>
      <c r="F47" s="1413"/>
      <c r="G47" s="1414"/>
      <c r="H47" s="1415"/>
      <c r="I47" s="1412"/>
      <c r="J47" s="1415"/>
      <c r="K47" s="2623"/>
      <c r="L47" s="1146"/>
      <c r="M47" s="1147"/>
      <c r="N47" s="1134"/>
      <c r="O47" s="1147"/>
      <c r="P47" s="3173" t="str">
        <f>A47</f>
        <v>成交单价（元/平方米）</v>
      </c>
      <c r="Q47" s="3173"/>
      <c r="R47" s="3235">
        <f>E47</f>
        <v>0</v>
      </c>
      <c r="S47" s="3235"/>
      <c r="T47" s="3235">
        <f>G47</f>
        <v>0</v>
      </c>
      <c r="U47" s="3235"/>
      <c r="V47" s="3235">
        <f>I47</f>
        <v>0</v>
      </c>
      <c r="W47" s="3235"/>
      <c r="X47" s="759"/>
      <c r="Y47" s="781"/>
      <c r="Z47" s="759"/>
      <c r="AA47" s="759"/>
      <c r="AB47" s="759"/>
      <c r="AC47" s="759"/>
    </row>
    <row r="48" spans="1:29" ht="15.75" thickBot="1">
      <c r="A48" s="486" t="s">
        <v>2567</v>
      </c>
      <c r="B48" s="487"/>
      <c r="C48" s="1416" t="e">
        <f>R49</f>
        <v>#DIV/0!</v>
      </c>
      <c r="D48" s="1417"/>
      <c r="E48" s="1418" t="e">
        <f>R48</f>
        <v>#DIV/0!</v>
      </c>
      <c r="F48" s="1418"/>
      <c r="G48" s="1416" t="e">
        <f>T48</f>
        <v>#DIV/0!</v>
      </c>
      <c r="H48" s="1417"/>
      <c r="I48" s="1418" t="e">
        <f>V48</f>
        <v>#DIV/0!</v>
      </c>
      <c r="J48" s="1417"/>
      <c r="K48" s="2624"/>
      <c r="L48" s="1146"/>
      <c r="M48" s="1147"/>
      <c r="N48" s="1147"/>
      <c r="O48" s="1147"/>
      <c r="P48" s="3173" t="str">
        <f>A48</f>
        <v>比较价值（元/平方米）</v>
      </c>
      <c r="Q48" s="3173"/>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2568</v>
      </c>
      <c r="B49" s="493"/>
      <c r="C49" s="1419" t="e">
        <f>R49</f>
        <v>#DIV/0!</v>
      </c>
      <c r="D49" s="1420"/>
      <c r="E49" s="1420"/>
      <c r="F49" s="1420"/>
      <c r="G49" s="1420"/>
      <c r="H49" s="1420"/>
      <c r="I49" s="1420"/>
      <c r="J49" s="1420"/>
      <c r="K49" s="2625"/>
      <c r="L49" s="1146"/>
      <c r="M49" s="1147"/>
      <c r="N49" s="1147"/>
      <c r="O49" s="1147"/>
      <c r="P49" s="3193" t="str">
        <f>A49</f>
        <v>估价对象XX用房的比较价值（楼面单价，元/平方米）</v>
      </c>
      <c r="Q49" s="3194"/>
      <c r="R49" s="3234" t="e">
        <f>IF(F1="售价",ROUND(AVERAGE(R48:V48),0),ROUND(AVERAGE(R48:V48),1))</f>
        <v>#DIV/0!</v>
      </c>
      <c r="S49" s="3234"/>
      <c r="T49" s="3234"/>
      <c r="U49" s="3234"/>
      <c r="V49" s="3234"/>
      <c r="W49" s="323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2572</v>
      </c>
      <c r="B57" s="759"/>
      <c r="C57" s="764"/>
      <c r="D57" s="764"/>
      <c r="E57" s="764"/>
      <c r="F57" s="765"/>
      <c r="G57" s="765"/>
      <c r="H57" s="764"/>
      <c r="I57" s="764"/>
      <c r="J57" s="764"/>
      <c r="K57" s="1163"/>
      <c r="L57" s="1164"/>
      <c r="M57" s="1162"/>
      <c r="N57" s="1162"/>
      <c r="O57" s="1162"/>
      <c r="P57" s="2628"/>
      <c r="Q57" s="504"/>
    </row>
    <row r="58" spans="1:29" s="508" customFormat="1" ht="15">
      <c r="A58" s="505" t="s">
        <v>2573</v>
      </c>
      <c r="B58" s="506"/>
      <c r="C58" s="1578" t="str">
        <f>YEAR(C7)&amp;"-"&amp;MONTH(C7)</f>
        <v>2018-5</v>
      </c>
      <c r="D58" s="1577">
        <f>EDATE(C58,-1)</f>
        <v>43191</v>
      </c>
      <c r="E58" s="1577">
        <f>EDATE(D58,-1)</f>
        <v>43160</v>
      </c>
      <c r="F58" s="1577">
        <f t="shared" ref="F58:O58" si="19">EDATE(E58,-1)</f>
        <v>43132</v>
      </c>
      <c r="G58" s="1577">
        <f t="shared" si="19"/>
        <v>43101</v>
      </c>
      <c r="H58" s="1577">
        <f t="shared" si="19"/>
        <v>43070</v>
      </c>
      <c r="I58" s="1577">
        <f t="shared" si="19"/>
        <v>43040</v>
      </c>
      <c r="J58" s="1577">
        <f t="shared" si="19"/>
        <v>43009</v>
      </c>
      <c r="K58" s="1577">
        <f t="shared" si="19"/>
        <v>42979</v>
      </c>
      <c r="L58" s="1577">
        <f t="shared" si="19"/>
        <v>42948</v>
      </c>
      <c r="M58" s="1577">
        <f t="shared" si="19"/>
        <v>42917</v>
      </c>
      <c r="N58" s="1577">
        <f t="shared" si="19"/>
        <v>42887</v>
      </c>
      <c r="O58" s="1577">
        <f t="shared" si="19"/>
        <v>42856</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2574</v>
      </c>
      <c r="B60" s="516"/>
      <c r="C60" s="517"/>
      <c r="D60" s="518"/>
      <c r="E60" s="518"/>
      <c r="F60" s="518"/>
      <c r="G60" s="518"/>
      <c r="H60" s="518"/>
      <c r="I60" s="518"/>
      <c r="J60" s="518"/>
      <c r="K60" s="518"/>
      <c r="L60" s="518"/>
      <c r="M60" s="519"/>
      <c r="N60" s="518"/>
      <c r="O60" s="519"/>
      <c r="P60" s="2630"/>
      <c r="Q60" s="504"/>
    </row>
    <row r="61" spans="1:29" s="117" customFormat="1" ht="15">
      <c r="A61" s="521" t="s">
        <v>2575</v>
      </c>
      <c r="B61" s="510"/>
      <c r="C61" s="522" t="s">
        <v>2576</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2577</v>
      </c>
      <c r="B63" s="528" t="s">
        <v>2543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2547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2093</v>
      </c>
      <c r="C82" s="539" t="s">
        <v>2593</v>
      </c>
      <c r="D82" s="539" t="s">
        <v>2594</v>
      </c>
      <c r="E82" s="539" t="s">
        <v>2595</v>
      </c>
      <c r="F82" s="539" t="s">
        <v>2596</v>
      </c>
      <c r="G82" s="539" t="s">
        <v>2597</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2599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2600</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2552</v>
      </c>
      <c r="B100" s="528" t="s">
        <v>2601</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2602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2603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2604</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2605</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2606</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2607</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2608</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2563</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2609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2611</v>
      </c>
    </row>
    <row r="137" spans="1:17" ht="15">
      <c r="B137" s="2640" t="s">
        <v>2612</v>
      </c>
      <c r="C137" s="2641"/>
      <c r="D137" s="2641"/>
      <c r="E137" s="2641"/>
      <c r="F137" s="2641"/>
      <c r="G137" s="2642"/>
      <c r="H137" s="2643"/>
      <c r="I137" s="2644" t="s">
        <v>2613</v>
      </c>
      <c r="J137" s="2641"/>
      <c r="K137" s="2645"/>
    </row>
    <row r="138" spans="1:17" ht="15">
      <c r="B138" s="2646"/>
      <c r="C138" s="146" t="s">
        <v>2614</v>
      </c>
      <c r="D138" s="146" t="s">
        <v>2615</v>
      </c>
      <c r="E138" s="2647" t="s">
        <v>2616</v>
      </c>
      <c r="F138" s="2648" t="s">
        <v>2617</v>
      </c>
      <c r="G138" s="146" t="s">
        <v>2615</v>
      </c>
      <c r="H138" s="147" t="s">
        <v>2616</v>
      </c>
      <c r="I138" s="2649"/>
      <c r="J138" s="146" t="s">
        <v>2618</v>
      </c>
      <c r="K138" s="147" t="s">
        <v>2619</v>
      </c>
    </row>
    <row r="139" spans="1:17" ht="15">
      <c r="B139" s="1087">
        <v>6</v>
      </c>
      <c r="C139" s="1088">
        <v>96</v>
      </c>
      <c r="D139" s="2650" t="s">
        <v>2620</v>
      </c>
      <c r="E139" s="1089">
        <v>100</v>
      </c>
      <c r="F139" s="1090">
        <v>102.5</v>
      </c>
      <c r="G139" s="2650" t="s">
        <v>2620</v>
      </c>
      <c r="H139" s="1091">
        <v>105</v>
      </c>
      <c r="I139" s="2651" t="s">
        <v>2621</v>
      </c>
      <c r="J139" s="1088">
        <v>20</v>
      </c>
      <c r="K139" s="1092">
        <f>C145/(J139-2)</f>
        <v>4.0555555555555553E-3</v>
      </c>
    </row>
    <row r="140" spans="1:17" ht="15">
      <c r="B140" s="1093">
        <v>5</v>
      </c>
      <c r="C140" s="1094">
        <v>100</v>
      </c>
      <c r="D140" s="1094"/>
      <c r="E140" s="1095"/>
      <c r="F140" s="1096">
        <v>102</v>
      </c>
      <c r="G140" s="1094"/>
      <c r="H140" s="1097"/>
      <c r="I140" s="2652" t="s">
        <v>2622</v>
      </c>
      <c r="J140" s="315">
        <f>ROUNDUP((J139-1)/2,0)</f>
        <v>10</v>
      </c>
      <c r="K140" s="1098">
        <v>100</v>
      </c>
    </row>
    <row r="141" spans="1:17" ht="15">
      <c r="B141" s="1093">
        <v>4</v>
      </c>
      <c r="C141" s="1094">
        <v>102</v>
      </c>
      <c r="D141" s="1094"/>
      <c r="E141" s="1095"/>
      <c r="F141" s="1096">
        <v>101.5</v>
      </c>
      <c r="G141" s="1094"/>
      <c r="H141" s="1097"/>
      <c r="I141" s="2652" t="s">
        <v>2623</v>
      </c>
      <c r="J141" s="315">
        <v>1</v>
      </c>
      <c r="K141" s="1099">
        <f>ROUND(100+(J141-J140)*K139*100,1)</f>
        <v>96.4</v>
      </c>
    </row>
    <row r="142" spans="1:17" ht="15">
      <c r="B142" s="1093">
        <v>3</v>
      </c>
      <c r="C142" s="1094">
        <v>103</v>
      </c>
      <c r="D142" s="1094"/>
      <c r="E142" s="1095"/>
      <c r="F142" s="1096">
        <v>101</v>
      </c>
      <c r="G142" s="1094"/>
      <c r="H142" s="1097"/>
      <c r="I142" s="2652" t="s">
        <v>2624</v>
      </c>
      <c r="J142" s="315">
        <f>J139</f>
        <v>20</v>
      </c>
      <c r="K142" s="1100">
        <v>95</v>
      </c>
    </row>
    <row r="143" spans="1:17" ht="15">
      <c r="B143" s="1093">
        <v>2</v>
      </c>
      <c r="C143" s="1094">
        <v>100</v>
      </c>
      <c r="D143" s="1094"/>
      <c r="E143" s="1095"/>
      <c r="F143" s="1096">
        <v>100.5</v>
      </c>
      <c r="G143" s="1094"/>
      <c r="H143" s="1097"/>
      <c r="I143" s="2652" t="s">
        <v>2625</v>
      </c>
      <c r="J143" s="1094">
        <v>15</v>
      </c>
      <c r="K143" s="1099">
        <f>ROUND(100+(J143-J140)*K139*100,1)</f>
        <v>102</v>
      </c>
    </row>
    <row r="144" spans="1:17" ht="15">
      <c r="B144" s="1093">
        <v>1</v>
      </c>
      <c r="C144" s="1094">
        <v>98</v>
      </c>
      <c r="D144" s="2653" t="s">
        <v>2626</v>
      </c>
      <c r="E144" s="1095">
        <v>102</v>
      </c>
      <c r="F144" s="1101">
        <v>100</v>
      </c>
      <c r="G144" s="2653" t="s">
        <v>2626</v>
      </c>
      <c r="H144" s="1097">
        <v>105</v>
      </c>
      <c r="I144" s="2652" t="s">
        <v>2625</v>
      </c>
      <c r="J144" s="1094">
        <v>18</v>
      </c>
      <c r="K144" s="1099">
        <f>ROUND(100+(J144-J140)*K139*100,1)</f>
        <v>103.2</v>
      </c>
    </row>
    <row r="145" spans="2:11" ht="15.75" thickBot="1">
      <c r="B145" s="2654" t="s">
        <v>2627</v>
      </c>
      <c r="C145" s="1102">
        <f>ROUND(MAX(C139:C144)/MIN(C139:C144)-1,3)</f>
        <v>7.2999999999999995E-2</v>
      </c>
      <c r="D145" s="1103"/>
      <c r="E145" s="1103"/>
      <c r="F145" s="2655" t="s">
        <v>2628</v>
      </c>
      <c r="G145" s="2656"/>
      <c r="H145" s="2657"/>
      <c r="I145" s="2658" t="s">
        <v>2625</v>
      </c>
      <c r="J145" s="1104">
        <v>8</v>
      </c>
      <c r="K145" s="1105">
        <f>ROUND(100+(J145-J140)*K139*100,1)</f>
        <v>99.2</v>
      </c>
    </row>
    <row r="147" spans="2:11">
      <c r="B147" s="2639" t="s">
        <v>2629</v>
      </c>
    </row>
    <row r="148" spans="2:11">
      <c r="B148" s="2639"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2517</v>
      </c>
      <c r="B1" s="2584" t="s">
        <v>2631</v>
      </c>
      <c r="C1" s="1636" t="s">
        <v>2519</v>
      </c>
      <c r="D1" s="1623"/>
      <c r="E1" s="2659"/>
      <c r="F1" s="2586"/>
      <c r="G1" s="1633" t="s">
        <v>2632</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2316</v>
      </c>
      <c r="B2" s="1421" t="e">
        <f ca="1">IF(C2="——",ROUND(C49*D3/10000,0),ROUND(C49*D3/10000,0)-D2)</f>
        <v>#DIV/0!</v>
      </c>
      <c r="C2" s="2588"/>
      <c r="D2" s="1368" t="e">
        <f ca="1">SUMIF(INDIRECT("'"&amp;F2&amp;"'"&amp;"!A:A"),"承租人权益价值",INDIRECT("'"&amp;F2&amp;"'"&amp;"!c:c"))</f>
        <v>#REF!</v>
      </c>
      <c r="E2" s="2589" t="s">
        <v>2317</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2318</v>
      </c>
      <c r="B3" s="609" t="e">
        <f ca="1">IF(C2="——",C49,ROUND(B2*10000/D3,0))</f>
        <v>#DIV/0!</v>
      </c>
      <c r="C3" s="400" t="s">
        <v>2633</v>
      </c>
      <c r="D3" s="399">
        <f>IF(D1="",'数据-汇总表'!E3,SUMIF('数据-汇总表'!$C19:$C33,D1,'数据-汇总表'!$E19:$E33))</f>
        <v>210956.06</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86" t="s">
        <v>2637</v>
      </c>
      <c r="AC4" s="3155" t="s">
        <v>2638</v>
      </c>
    </row>
    <row r="5" spans="1:29" ht="15">
      <c r="A5" s="404"/>
      <c r="B5" s="405"/>
      <c r="C5" s="3228" t="s">
        <v>2531</v>
      </c>
      <c r="D5" s="3229"/>
      <c r="E5" s="3226" t="s">
        <v>2532</v>
      </c>
      <c r="F5" s="3227"/>
      <c r="G5" s="3228" t="s">
        <v>2533</v>
      </c>
      <c r="H5" s="3229"/>
      <c r="I5" s="3228" t="s">
        <v>2534</v>
      </c>
      <c r="J5" s="3229"/>
      <c r="K5" s="610"/>
      <c r="L5" s="1133"/>
      <c r="M5" s="1134"/>
      <c r="N5" s="1134"/>
      <c r="O5" s="1134"/>
      <c r="P5" s="3180"/>
      <c r="Q5" s="3181"/>
      <c r="R5" s="3162"/>
      <c r="S5" s="3163"/>
      <c r="T5" s="3162"/>
      <c r="U5" s="3163"/>
      <c r="V5" s="3186"/>
      <c r="W5" s="3186"/>
      <c r="X5" s="1815"/>
      <c r="Y5" s="3162"/>
      <c r="Z5" s="3163"/>
      <c r="AA5" s="3156"/>
      <c r="AB5" s="3186"/>
      <c r="AC5" s="3156"/>
    </row>
    <row r="6" spans="1:29" ht="15.75" thickBot="1">
      <c r="A6" s="406"/>
      <c r="B6" s="407"/>
      <c r="C6" s="3230" t="s">
        <v>2535</v>
      </c>
      <c r="D6" s="3231"/>
      <c r="E6" s="3232" t="s">
        <v>2535</v>
      </c>
      <c r="F6" s="3233"/>
      <c r="G6" s="3230" t="s">
        <v>2535</v>
      </c>
      <c r="H6" s="3231"/>
      <c r="I6" s="3230" t="s">
        <v>2535</v>
      </c>
      <c r="J6" s="3231"/>
      <c r="K6" s="610" t="s">
        <v>2536</v>
      </c>
      <c r="L6" s="1133"/>
      <c r="M6" s="1134"/>
      <c r="N6" s="1134"/>
      <c r="O6" s="1134"/>
      <c r="P6" s="3182"/>
      <c r="Q6" s="3183"/>
      <c r="R6" s="3162"/>
      <c r="S6" s="3163"/>
      <c r="T6" s="3184"/>
      <c r="U6" s="3185"/>
      <c r="V6" s="3186"/>
      <c r="W6" s="3186"/>
      <c r="X6" s="1815"/>
      <c r="Y6" s="3184"/>
      <c r="Z6" s="3185"/>
      <c r="AA6" s="3157"/>
      <c r="AB6" s="3186"/>
      <c r="AC6" s="3157"/>
    </row>
    <row r="7" spans="1:29" s="117" customFormat="1" ht="15.75" thickBot="1">
      <c r="A7" s="408" t="s">
        <v>2537</v>
      </c>
      <c r="B7" s="409"/>
      <c r="C7" s="410">
        <f>'数据-取费表'!B2</f>
        <v>43235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8" t="s">
        <v>2538</v>
      </c>
      <c r="Q7" s="3187"/>
      <c r="R7" s="770" t="s">
        <v>17</v>
      </c>
      <c r="S7" s="771">
        <f t="shared" ref="S7:S15" si="0">F7</f>
        <v>0</v>
      </c>
      <c r="T7" s="770" t="s">
        <v>17</v>
      </c>
      <c r="U7" s="771">
        <f t="shared" ref="U7:U15" si="1">H7</f>
        <v>0</v>
      </c>
      <c r="V7" s="770" t="s">
        <v>17</v>
      </c>
      <c r="W7" s="771">
        <f t="shared" ref="W7:W15" si="2">J7</f>
        <v>0</v>
      </c>
      <c r="X7" s="772"/>
      <c r="Y7" s="3158" t="s">
        <v>2538</v>
      </c>
      <c r="Z7" s="3159"/>
      <c r="AA7" s="773" t="e">
        <f>D7/F7</f>
        <v>#DIV/0!</v>
      </c>
      <c r="AB7" s="773" t="e">
        <f>D7/H7</f>
        <v>#DIV/0!</v>
      </c>
      <c r="AC7" s="773" t="e">
        <f>D7/J7</f>
        <v>#DIV/0!</v>
      </c>
    </row>
    <row r="8" spans="1:29" s="117" customFormat="1" ht="15.75" thickBot="1">
      <c r="A8" s="408" t="s">
        <v>2539</v>
      </c>
      <c r="B8" s="409"/>
      <c r="C8" s="414" t="s">
        <v>2641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8" t="s">
        <v>2541</v>
      </c>
      <c r="Q8" s="3159"/>
      <c r="R8" s="770" t="s">
        <v>17</v>
      </c>
      <c r="S8" s="771">
        <f t="shared" si="0"/>
        <v>0</v>
      </c>
      <c r="T8" s="770" t="s">
        <v>17</v>
      </c>
      <c r="U8" s="771">
        <f t="shared" si="1"/>
        <v>0</v>
      </c>
      <c r="V8" s="770" t="s">
        <v>17</v>
      </c>
      <c r="W8" s="771">
        <f t="shared" si="2"/>
        <v>0</v>
      </c>
      <c r="X8" s="772"/>
      <c r="Y8" s="3158" t="s">
        <v>2541</v>
      </c>
      <c r="Z8" s="3159"/>
      <c r="AA8" s="773" t="e">
        <f t="shared" ref="AA8:AA46" si="3">D8/F8</f>
        <v>#DIV/0!</v>
      </c>
      <c r="AB8" s="773" t="e">
        <f t="shared" ref="AB8:AB46" si="4">D8/H8</f>
        <v>#DIV/0!</v>
      </c>
      <c r="AC8" s="773" t="e">
        <f t="shared" ref="AC8:AC46" si="5">D8/J8</f>
        <v>#DIV/0!</v>
      </c>
    </row>
    <row r="9" spans="1:29" s="117" customFormat="1">
      <c r="A9" s="415" t="s">
        <v>2542</v>
      </c>
      <c r="B9" s="71" t="s">
        <v>2543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7" t="s">
        <v>2544</v>
      </c>
      <c r="Q9" s="1797" t="str">
        <f t="shared" ref="Q9:Q15" si="6">B9</f>
        <v>用途</v>
      </c>
      <c r="R9" s="770" t="s">
        <v>17</v>
      </c>
      <c r="S9" s="771">
        <f t="shared" si="0"/>
        <v>100</v>
      </c>
      <c r="T9" s="770" t="s">
        <v>17</v>
      </c>
      <c r="U9" s="771">
        <f t="shared" si="1"/>
        <v>100</v>
      </c>
      <c r="V9" s="770" t="s">
        <v>17</v>
      </c>
      <c r="W9" s="771">
        <f t="shared" si="2"/>
        <v>100</v>
      </c>
      <c r="X9" s="772"/>
      <c r="Y9" s="3032"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7"/>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7"/>
      <c r="Q11" s="1797"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7"/>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7"/>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7"/>
      <c r="Q14" s="1797">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99.75">
      <c r="A15" s="440" t="s">
        <v>2548</v>
      </c>
      <c r="B15" s="69" t="s">
        <v>2642</v>
      </c>
      <c r="C15" s="2605" t="str">
        <f>估价对象房地状况!C4</f>
        <v>估价对象位于大兴区生物医药基地地区，周边商业氛围成熟度一般，人流量较大，商业繁华度一般。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0" t="s">
        <v>2549</v>
      </c>
      <c r="Q15" s="1812" t="str">
        <f t="shared" si="6"/>
        <v>商业繁华度</v>
      </c>
      <c r="R15" s="774" t="s">
        <v>17</v>
      </c>
      <c r="S15" s="775">
        <f t="shared" si="0"/>
        <v>100</v>
      </c>
      <c r="T15" s="774" t="s">
        <v>17</v>
      </c>
      <c r="U15" s="775">
        <f t="shared" si="1"/>
        <v>100</v>
      </c>
      <c r="V15" s="774" t="s">
        <v>17</v>
      </c>
      <c r="W15" s="775">
        <f t="shared" si="2"/>
        <v>100</v>
      </c>
      <c r="X15" s="1815"/>
      <c r="Y15" s="3188" t="s">
        <v>2549</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41"/>
      <c r="Q16" s="1812"/>
      <c r="R16" s="774"/>
      <c r="S16" s="775"/>
      <c r="T16" s="774"/>
      <c r="U16" s="775"/>
      <c r="V16" s="774"/>
      <c r="W16" s="775"/>
      <c r="X16" s="1815"/>
      <c r="Y16" s="3189"/>
      <c r="Z16" s="1816"/>
      <c r="AA16" s="1813">
        <v>1</v>
      </c>
      <c r="AB16" s="1813">
        <v>1</v>
      </c>
      <c r="AC16" s="1813">
        <v>1</v>
      </c>
    </row>
    <row r="17" spans="1:29" ht="85.5">
      <c r="A17" s="428"/>
      <c r="B17" s="451" t="s">
        <v>2092</v>
      </c>
      <c r="C17" s="2609" t="str">
        <f>估价对象房地状况!C6</f>
        <v>估价对象周边路网密集、公共交通通达情况较好、停车便捷程度好，综合评价交通便捷度较好。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1"/>
      <c r="Q17" s="1812" t="str">
        <f>B17</f>
        <v>交通便捷度</v>
      </c>
      <c r="R17" s="774" t="s">
        <v>17</v>
      </c>
      <c r="S17" s="775">
        <f>F17</f>
        <v>100</v>
      </c>
      <c r="T17" s="774" t="s">
        <v>17</v>
      </c>
      <c r="U17" s="775">
        <f>H17</f>
        <v>100</v>
      </c>
      <c r="V17" s="774" t="s">
        <v>17</v>
      </c>
      <c r="W17" s="775">
        <f>J17</f>
        <v>100</v>
      </c>
      <c r="X17" s="1815"/>
      <c r="Y17" s="3189"/>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34"/>
      <c r="P18" s="3241"/>
      <c r="Q18" s="1812"/>
      <c r="R18" s="774"/>
      <c r="S18" s="775"/>
      <c r="T18" s="774"/>
      <c r="U18" s="775"/>
      <c r="V18" s="774"/>
      <c r="W18" s="775"/>
      <c r="X18" s="1815"/>
      <c r="Y18" s="3189"/>
      <c r="Z18" s="1816"/>
      <c r="AA18" s="1813">
        <v>1</v>
      </c>
      <c r="AB18" s="1813">
        <v>1</v>
      </c>
      <c r="AC18" s="1813">
        <v>1</v>
      </c>
    </row>
    <row r="19" spans="1:29" ht="114">
      <c r="A19" s="428"/>
      <c r="B19" s="451" t="s">
        <v>2643</v>
      </c>
      <c r="C19" s="2609" t="str">
        <f>估价对象房地状况!C7</f>
        <v>估价对象所在区域有北京市农村商业银行(北臧村支行)、北京市大兴区向阳希望学校、华联超市等公共配套设施齐备情况较好。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1"/>
      <c r="Q19" s="1812" t="str">
        <f>B19</f>
        <v>公共配套设施</v>
      </c>
      <c r="R19" s="774" t="s">
        <v>17</v>
      </c>
      <c r="S19" s="775">
        <f>F19</f>
        <v>100</v>
      </c>
      <c r="T19" s="774" t="s">
        <v>17</v>
      </c>
      <c r="U19" s="775">
        <f>H19</f>
        <v>100</v>
      </c>
      <c r="V19" s="774" t="s">
        <v>17</v>
      </c>
      <c r="W19" s="775">
        <f>J19</f>
        <v>100</v>
      </c>
      <c r="X19" s="1815"/>
      <c r="Y19" s="3189"/>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34"/>
      <c r="P20" s="3241"/>
      <c r="Q20" s="1812"/>
      <c r="R20" s="774"/>
      <c r="S20" s="775"/>
      <c r="T20" s="774"/>
      <c r="U20" s="775"/>
      <c r="V20" s="774"/>
      <c r="W20" s="775"/>
      <c r="X20" s="1815"/>
      <c r="Y20" s="3189"/>
      <c r="Z20" s="1816"/>
      <c r="AA20" s="1813">
        <v>1</v>
      </c>
      <c r="AB20" s="1813">
        <v>1</v>
      </c>
      <c r="AC20" s="1813">
        <v>1</v>
      </c>
    </row>
    <row r="21" spans="1:29" ht="15">
      <c r="A21" s="428"/>
      <c r="B21" s="1387" t="s">
        <v>2644</v>
      </c>
      <c r="C21" s="2609"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1"/>
      <c r="Q21" s="1812" t="str">
        <f>B21</f>
        <v>基础设施水平</v>
      </c>
      <c r="R21" s="774" t="s">
        <v>17</v>
      </c>
      <c r="S21" s="775">
        <f>F21</f>
        <v>100</v>
      </c>
      <c r="T21" s="774" t="s">
        <v>17</v>
      </c>
      <c r="U21" s="775">
        <f>H21</f>
        <v>100</v>
      </c>
      <c r="V21" s="774" t="s">
        <v>17</v>
      </c>
      <c r="W21" s="775">
        <f>J21</f>
        <v>100</v>
      </c>
      <c r="X21" s="1815"/>
      <c r="Y21" s="3189"/>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34"/>
      <c r="P22" s="3241"/>
      <c r="Q22" s="1812"/>
      <c r="R22" s="774"/>
      <c r="S22" s="775"/>
      <c r="T22" s="774"/>
      <c r="U22" s="775"/>
      <c r="V22" s="774"/>
      <c r="W22" s="775"/>
      <c r="X22" s="1815"/>
      <c r="Y22" s="3189"/>
      <c r="Z22" s="1816"/>
      <c r="AA22" s="1813">
        <v>1</v>
      </c>
      <c r="AB22" s="1813">
        <v>1</v>
      </c>
      <c r="AC22" s="1813">
        <v>1</v>
      </c>
    </row>
    <row r="23" spans="1:29" ht="114">
      <c r="A23" s="428"/>
      <c r="B23" s="451" t="s">
        <v>2095</v>
      </c>
      <c r="C23" s="2666" t="str">
        <f>估价对象房地状况!C9</f>
        <v>估价对象所处区域自然环境及人文环境：有念坛公园、绿化条件一般，缺乏图书馆、博物馆等设施；综合评价环境状况一般。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1"/>
      <c r="Q23" s="1812" t="str">
        <f>B23</f>
        <v>自然及人文环境</v>
      </c>
      <c r="R23" s="774" t="s">
        <v>17</v>
      </c>
      <c r="S23" s="775">
        <f>F23</f>
        <v>100</v>
      </c>
      <c r="T23" s="774" t="s">
        <v>17</v>
      </c>
      <c r="U23" s="775">
        <f>H23</f>
        <v>100</v>
      </c>
      <c r="V23" s="774" t="s">
        <v>17</v>
      </c>
      <c r="W23" s="775">
        <f>J23</f>
        <v>100</v>
      </c>
      <c r="X23" s="1815"/>
      <c r="Y23" s="3189"/>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3"/>
      <c r="M24" s="1134"/>
      <c r="N24" s="1134"/>
      <c r="O24" s="1134"/>
      <c r="P24" s="3241"/>
      <c r="Q24" s="1812"/>
      <c r="R24" s="774"/>
      <c r="S24" s="775"/>
      <c r="T24" s="774"/>
      <c r="U24" s="775"/>
      <c r="V24" s="774"/>
      <c r="W24" s="775"/>
      <c r="X24" s="1815"/>
      <c r="Y24" s="3189"/>
      <c r="Z24" s="1816"/>
      <c r="AA24" s="1813">
        <v>1</v>
      </c>
      <c r="AB24" s="1813">
        <v>1</v>
      </c>
      <c r="AC24" s="1813">
        <v>1</v>
      </c>
    </row>
    <row r="25" spans="1:29" ht="15">
      <c r="A25" s="428"/>
      <c r="B25" s="422" t="s">
        <v>2645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1"/>
      <c r="Q25" s="1812" t="str">
        <f t="shared" ref="Q25:Q46" si="11">B25</f>
        <v>临街状况</v>
      </c>
      <c r="R25" s="774" t="s">
        <v>17</v>
      </c>
      <c r="S25" s="775">
        <f>F25</f>
        <v>100</v>
      </c>
      <c r="T25" s="774" t="s">
        <v>17</v>
      </c>
      <c r="U25" s="775">
        <f>H25</f>
        <v>100</v>
      </c>
      <c r="V25" s="774" t="s">
        <v>17</v>
      </c>
      <c r="W25" s="775">
        <f>J25</f>
        <v>100</v>
      </c>
      <c r="X25" s="1815"/>
      <c r="Y25" s="3189"/>
      <c r="Z25" s="1816" t="str">
        <f>Q25</f>
        <v>临街状况</v>
      </c>
      <c r="AA25" s="1813">
        <f t="shared" si="3"/>
        <v>1</v>
      </c>
      <c r="AB25" s="1813">
        <f t="shared" si="4"/>
        <v>1</v>
      </c>
      <c r="AC25" s="1813">
        <f t="shared" si="5"/>
        <v>1</v>
      </c>
    </row>
    <row r="26" spans="1:29" ht="15">
      <c r="A26" s="428"/>
      <c r="B26" s="1389" t="s">
        <v>2646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1"/>
      <c r="Q26" s="1812" t="str">
        <f t="shared" si="11"/>
        <v>平面位置/可视性</v>
      </c>
      <c r="R26" s="774" t="s">
        <v>17</v>
      </c>
      <c r="S26" s="775">
        <f>F26</f>
        <v>100</v>
      </c>
      <c r="T26" s="774" t="s">
        <v>17</v>
      </c>
      <c r="U26" s="775">
        <f>H26</f>
        <v>100</v>
      </c>
      <c r="V26" s="774" t="s">
        <v>17</v>
      </c>
      <c r="W26" s="775">
        <f>J26</f>
        <v>100</v>
      </c>
      <c r="X26" s="1815"/>
      <c r="Y26" s="3189"/>
      <c r="Z26" s="1816" t="str">
        <f>Q26</f>
        <v>平面位置/可视性</v>
      </c>
      <c r="AA26" s="1813">
        <f t="shared" si="3"/>
        <v>1</v>
      </c>
      <c r="AB26" s="1813">
        <f t="shared" si="4"/>
        <v>1</v>
      </c>
      <c r="AC26" s="1813">
        <f t="shared" si="5"/>
        <v>1</v>
      </c>
    </row>
    <row r="27" spans="1:29" s="117" customFormat="1" ht="15">
      <c r="A27" s="431"/>
      <c r="B27" s="451" t="s">
        <v>2647</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41"/>
      <c r="Q27" s="1797" t="str">
        <f t="shared" si="11"/>
        <v>人流量</v>
      </c>
      <c r="R27" s="770" t="s">
        <v>17</v>
      </c>
      <c r="S27" s="771">
        <f>F27</f>
        <v>100</v>
      </c>
      <c r="T27" s="770" t="s">
        <v>17</v>
      </c>
      <c r="U27" s="771">
        <f>H27</f>
        <v>100</v>
      </c>
      <c r="V27" s="770" t="s">
        <v>17</v>
      </c>
      <c r="W27" s="771">
        <f>J27</f>
        <v>100</v>
      </c>
      <c r="X27" s="772"/>
      <c r="Y27" s="3189"/>
      <c r="Z27" s="55" t="str">
        <f>Q27</f>
        <v>人流量</v>
      </c>
      <c r="AA27" s="1813">
        <f>D27/F27</f>
        <v>1</v>
      </c>
      <c r="AB27" s="1813">
        <f>D27/H27</f>
        <v>1</v>
      </c>
      <c r="AC27" s="1813">
        <f>D27/J27</f>
        <v>1</v>
      </c>
    </row>
    <row r="28" spans="1:29" ht="15">
      <c r="A28" s="428"/>
      <c r="B28" s="422" t="s">
        <v>2648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1"/>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9"/>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1"/>
      <c r="Q29" s="1812">
        <f t="shared" si="11"/>
        <v>111</v>
      </c>
      <c r="R29" s="774" t="s">
        <v>17</v>
      </c>
      <c r="S29" s="775">
        <f t="shared" si="12"/>
        <v>100</v>
      </c>
      <c r="T29" s="774" t="s">
        <v>17</v>
      </c>
      <c r="U29" s="775">
        <f t="shared" si="13"/>
        <v>100</v>
      </c>
      <c r="V29" s="774" t="s">
        <v>17</v>
      </c>
      <c r="W29" s="775">
        <f t="shared" si="14"/>
        <v>100</v>
      </c>
      <c r="X29" s="1815"/>
      <c r="Y29" s="3189"/>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1"/>
      <c r="Q30" s="1812">
        <f t="shared" si="11"/>
        <v>111</v>
      </c>
      <c r="R30" s="774" t="s">
        <v>17</v>
      </c>
      <c r="S30" s="775">
        <f t="shared" si="12"/>
        <v>100</v>
      </c>
      <c r="T30" s="774" t="s">
        <v>17</v>
      </c>
      <c r="U30" s="775">
        <f t="shared" si="13"/>
        <v>100</v>
      </c>
      <c r="V30" s="774" t="s">
        <v>17</v>
      </c>
      <c r="W30" s="775">
        <f t="shared" si="14"/>
        <v>100</v>
      </c>
      <c r="X30" s="1815"/>
      <c r="Y30" s="3189"/>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1"/>
      <c r="Q31" s="1812">
        <f t="shared" si="11"/>
        <v>111</v>
      </c>
      <c r="R31" s="774" t="s">
        <v>17</v>
      </c>
      <c r="S31" s="775">
        <f t="shared" si="12"/>
        <v>100</v>
      </c>
      <c r="T31" s="774" t="s">
        <v>17</v>
      </c>
      <c r="U31" s="775">
        <f t="shared" si="13"/>
        <v>100</v>
      </c>
      <c r="V31" s="774" t="s">
        <v>17</v>
      </c>
      <c r="W31" s="775">
        <f t="shared" si="14"/>
        <v>100</v>
      </c>
      <c r="X31" s="1815"/>
      <c r="Y31" s="3189"/>
      <c r="Z31" s="1816">
        <f t="shared" si="15"/>
        <v>111</v>
      </c>
      <c r="AA31" s="1813">
        <f t="shared" si="3"/>
        <v>1</v>
      </c>
      <c r="AB31" s="1813">
        <f t="shared" si="4"/>
        <v>1</v>
      </c>
      <c r="AC31" s="1813">
        <f t="shared" si="5"/>
        <v>1</v>
      </c>
    </row>
    <row r="32" spans="1:29" ht="15">
      <c r="A32" s="440" t="s">
        <v>2552</v>
      </c>
      <c r="B32" s="71" t="s">
        <v>2649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36" t="s">
        <v>2554</v>
      </c>
      <c r="Q32" s="1812" t="str">
        <f t="shared" si="11"/>
        <v>商业类型</v>
      </c>
      <c r="R32" s="774" t="s">
        <v>17</v>
      </c>
      <c r="S32" s="775">
        <f t="shared" si="12"/>
        <v>100</v>
      </c>
      <c r="T32" s="774" t="s">
        <v>17</v>
      </c>
      <c r="U32" s="775">
        <f t="shared" si="13"/>
        <v>100</v>
      </c>
      <c r="V32" s="774" t="s">
        <v>17</v>
      </c>
      <c r="W32" s="775">
        <f t="shared" si="14"/>
        <v>100</v>
      </c>
      <c r="X32" s="1815"/>
      <c r="Y32" s="3191" t="s">
        <v>2554</v>
      </c>
      <c r="Z32" s="1816" t="str">
        <f t="shared" si="15"/>
        <v>商业类型</v>
      </c>
      <c r="AA32" s="1813">
        <f t="shared" si="3"/>
        <v>1</v>
      </c>
      <c r="AB32" s="1813">
        <f t="shared" si="4"/>
        <v>1</v>
      </c>
      <c r="AC32" s="1813">
        <f t="shared" si="5"/>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7"/>
      <c r="Q33" s="776" t="str">
        <f t="shared" si="11"/>
        <v>项目建筑规模</v>
      </c>
      <c r="R33" s="777" t="s">
        <v>17</v>
      </c>
      <c r="S33" s="778" t="e">
        <f t="shared" si="12"/>
        <v>#N/A</v>
      </c>
      <c r="T33" s="777" t="s">
        <v>17</v>
      </c>
      <c r="U33" s="778" t="e">
        <f t="shared" si="13"/>
        <v>#N/A</v>
      </c>
      <c r="V33" s="777" t="s">
        <v>17</v>
      </c>
      <c r="W33" s="778" t="e">
        <f t="shared" si="14"/>
        <v>#N/A</v>
      </c>
      <c r="X33" s="779"/>
      <c r="Y33" s="3191"/>
      <c r="Z33" s="780" t="str">
        <f t="shared" si="15"/>
        <v>项目建筑规模</v>
      </c>
      <c r="AA33" s="1813" t="e">
        <f t="shared" si="3"/>
        <v>#N/A</v>
      </c>
      <c r="AB33" s="1813" t="e">
        <f t="shared" si="4"/>
        <v>#N/A</v>
      </c>
      <c r="AC33" s="1813" t="e">
        <f t="shared" si="5"/>
        <v>#N/A</v>
      </c>
    </row>
    <row r="34" spans="1:29" ht="15">
      <c r="A34" s="472"/>
      <c r="B34" s="422" t="s">
        <v>2556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37"/>
      <c r="Q34" s="1812" t="str">
        <f t="shared" si="11"/>
        <v>建筑结构</v>
      </c>
      <c r="R34" s="774" t="s">
        <v>17</v>
      </c>
      <c r="S34" s="775">
        <f t="shared" si="12"/>
        <v>100</v>
      </c>
      <c r="T34" s="774" t="s">
        <v>17</v>
      </c>
      <c r="U34" s="775">
        <f t="shared" si="13"/>
        <v>100</v>
      </c>
      <c r="V34" s="774" t="s">
        <v>17</v>
      </c>
      <c r="W34" s="775">
        <f t="shared" si="14"/>
        <v>100</v>
      </c>
      <c r="X34" s="1815"/>
      <c r="Y34" s="3191"/>
      <c r="Z34" s="1816" t="str">
        <f t="shared" si="15"/>
        <v>建筑结构</v>
      </c>
      <c r="AA34" s="1813">
        <f t="shared" si="3"/>
        <v>1</v>
      </c>
      <c r="AB34" s="1813">
        <f t="shared" si="4"/>
        <v>1</v>
      </c>
      <c r="AC34" s="1813">
        <f t="shared" si="5"/>
        <v>1</v>
      </c>
    </row>
    <row r="35" spans="1:29" ht="15">
      <c r="A35" s="472"/>
      <c r="B35" s="422" t="s">
        <v>2650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37"/>
      <c r="Q35" s="1812" t="str">
        <f t="shared" si="11"/>
        <v>公共部分装修</v>
      </c>
      <c r="R35" s="774" t="s">
        <v>17</v>
      </c>
      <c r="S35" s="775">
        <f t="shared" si="12"/>
        <v>100</v>
      </c>
      <c r="T35" s="774" t="s">
        <v>17</v>
      </c>
      <c r="U35" s="775">
        <f t="shared" si="13"/>
        <v>100</v>
      </c>
      <c r="V35" s="774" t="s">
        <v>17</v>
      </c>
      <c r="W35" s="775">
        <f t="shared" si="14"/>
        <v>100</v>
      </c>
      <c r="X35" s="1815"/>
      <c r="Y35" s="3191"/>
      <c r="Z35" s="1816" t="str">
        <f t="shared" si="15"/>
        <v>公共部分装修</v>
      </c>
      <c r="AA35" s="1813">
        <f t="shared" si="3"/>
        <v>1</v>
      </c>
      <c r="AB35" s="1813">
        <f t="shared" si="4"/>
        <v>1</v>
      </c>
      <c r="AC35" s="1813">
        <f t="shared" si="5"/>
        <v>1</v>
      </c>
    </row>
    <row r="36" spans="1:29" ht="15">
      <c r="A36" s="472"/>
      <c r="B36" s="422" t="s">
        <v>2651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7"/>
      <c r="Q36" s="1812" t="str">
        <f t="shared" si="11"/>
        <v>成新度</v>
      </c>
      <c r="R36" s="774" t="s">
        <v>17</v>
      </c>
      <c r="S36" s="775" t="e">
        <f t="shared" si="12"/>
        <v>#N/A</v>
      </c>
      <c r="T36" s="774" t="s">
        <v>17</v>
      </c>
      <c r="U36" s="775" t="e">
        <f t="shared" si="13"/>
        <v>#N/A</v>
      </c>
      <c r="V36" s="774" t="s">
        <v>17</v>
      </c>
      <c r="W36" s="775" t="e">
        <f t="shared" si="14"/>
        <v>#N/A</v>
      </c>
      <c r="X36" s="1815"/>
      <c r="Y36" s="3191"/>
      <c r="Z36" s="1816" t="str">
        <f t="shared" si="15"/>
        <v>成新度</v>
      </c>
      <c r="AA36" s="1813" t="e">
        <f t="shared" si="3"/>
        <v>#N/A</v>
      </c>
      <c r="AB36" s="1813" t="e">
        <f t="shared" si="4"/>
        <v>#N/A</v>
      </c>
      <c r="AC36" s="1813" t="e">
        <f t="shared" si="5"/>
        <v>#N/A</v>
      </c>
    </row>
    <row r="37" spans="1:29" s="117" customFormat="1" ht="15">
      <c r="A37" s="473"/>
      <c r="B37" s="422" t="s">
        <v>2652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37"/>
      <c r="Q37" s="1797" t="str">
        <f t="shared" si="11"/>
        <v>市政基础设施</v>
      </c>
      <c r="R37" s="770" t="s">
        <v>17</v>
      </c>
      <c r="S37" s="771">
        <f t="shared" si="12"/>
        <v>100</v>
      </c>
      <c r="T37" s="770" t="s">
        <v>17</v>
      </c>
      <c r="U37" s="771">
        <f t="shared" si="13"/>
        <v>100</v>
      </c>
      <c r="V37" s="770" t="s">
        <v>17</v>
      </c>
      <c r="W37" s="771">
        <f t="shared" si="14"/>
        <v>100</v>
      </c>
      <c r="X37" s="772"/>
      <c r="Y37" s="3191"/>
      <c r="Z37" s="55" t="str">
        <f t="shared" si="15"/>
        <v>市政基础设施</v>
      </c>
      <c r="AA37" s="773">
        <f t="shared" si="3"/>
        <v>1</v>
      </c>
      <c r="AB37" s="773">
        <f t="shared" si="4"/>
        <v>1</v>
      </c>
      <c r="AC37" s="773">
        <f t="shared" si="5"/>
        <v>1</v>
      </c>
    </row>
    <row r="38" spans="1:29" ht="15">
      <c r="A38" s="472"/>
      <c r="B38" s="422" t="s">
        <v>2653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37" t="s">
        <v>2554</v>
      </c>
      <c r="Q38" s="1812" t="str">
        <f t="shared" si="11"/>
        <v>业态</v>
      </c>
      <c r="R38" s="774" t="s">
        <v>17</v>
      </c>
      <c r="S38" s="775">
        <f t="shared" si="12"/>
        <v>100</v>
      </c>
      <c r="T38" s="774" t="s">
        <v>17</v>
      </c>
      <c r="U38" s="775">
        <f t="shared" si="13"/>
        <v>100</v>
      </c>
      <c r="V38" s="774" t="s">
        <v>17</v>
      </c>
      <c r="W38" s="775">
        <f t="shared" si="14"/>
        <v>100</v>
      </c>
      <c r="X38" s="1815"/>
      <c r="Y38" s="3191" t="s">
        <v>2554</v>
      </c>
      <c r="Z38" s="1816" t="str">
        <f t="shared" si="15"/>
        <v>业态</v>
      </c>
      <c r="AA38" s="1813">
        <f t="shared" si="3"/>
        <v>1</v>
      </c>
      <c r="AB38" s="1813">
        <f t="shared" si="4"/>
        <v>1</v>
      </c>
      <c r="AC38" s="1813">
        <f t="shared" si="5"/>
        <v>1</v>
      </c>
    </row>
    <row r="39" spans="1:29" ht="15">
      <c r="A39" s="472"/>
      <c r="B39" s="422" t="s">
        <v>2654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37"/>
      <c r="Q39" s="1812" t="str">
        <f t="shared" si="11"/>
        <v>层高</v>
      </c>
      <c r="R39" s="774" t="s">
        <v>17</v>
      </c>
      <c r="S39" s="775">
        <f t="shared" si="12"/>
        <v>100</v>
      </c>
      <c r="T39" s="774" t="s">
        <v>17</v>
      </c>
      <c r="U39" s="775">
        <f t="shared" si="13"/>
        <v>100</v>
      </c>
      <c r="V39" s="774" t="s">
        <v>17</v>
      </c>
      <c r="W39" s="775">
        <f t="shared" si="14"/>
        <v>100</v>
      </c>
      <c r="X39" s="1815"/>
      <c r="Y39" s="3191"/>
      <c r="Z39" s="1816" t="str">
        <f t="shared" si="15"/>
        <v>层高</v>
      </c>
      <c r="AA39" s="1813">
        <f t="shared" si="3"/>
        <v>1</v>
      </c>
      <c r="AB39" s="1813">
        <f t="shared" si="4"/>
        <v>1</v>
      </c>
      <c r="AC39" s="1813">
        <f t="shared" si="5"/>
        <v>1</v>
      </c>
    </row>
    <row r="40" spans="1:29" ht="15">
      <c r="A40" s="472"/>
      <c r="B40" s="422" t="s">
        <v>2655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7"/>
      <c r="Q40" s="1812" t="str">
        <f t="shared" si="11"/>
        <v>单套建筑面积</v>
      </c>
      <c r="R40" s="774" t="s">
        <v>17</v>
      </c>
      <c r="S40" s="775">
        <f t="shared" si="12"/>
        <v>100</v>
      </c>
      <c r="T40" s="774" t="s">
        <v>17</v>
      </c>
      <c r="U40" s="775">
        <f t="shared" si="13"/>
        <v>100</v>
      </c>
      <c r="V40" s="774" t="s">
        <v>17</v>
      </c>
      <c r="W40" s="775">
        <f t="shared" si="14"/>
        <v>100</v>
      </c>
      <c r="X40" s="1815"/>
      <c r="Y40" s="3191"/>
      <c r="Z40" s="1816" t="str">
        <f t="shared" si="15"/>
        <v>单套建筑面积</v>
      </c>
      <c r="AA40" s="1813">
        <f t="shared" si="3"/>
        <v>1</v>
      </c>
      <c r="AB40" s="1813">
        <f t="shared" si="4"/>
        <v>1</v>
      </c>
      <c r="AC40" s="1813">
        <f t="shared" si="5"/>
        <v>1</v>
      </c>
    </row>
    <row r="41" spans="1:29" s="471" customFormat="1" ht="15">
      <c r="A41" s="468"/>
      <c r="B41" s="1814" t="s">
        <v>2656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7"/>
      <c r="Q41" s="776" t="str">
        <f t="shared" si="11"/>
        <v>进深比</v>
      </c>
      <c r="R41" s="777" t="s">
        <v>17</v>
      </c>
      <c r="S41" s="778">
        <f t="shared" si="12"/>
        <v>100</v>
      </c>
      <c r="T41" s="777" t="s">
        <v>17</v>
      </c>
      <c r="U41" s="778">
        <f t="shared" si="13"/>
        <v>100</v>
      </c>
      <c r="V41" s="777" t="s">
        <v>17</v>
      </c>
      <c r="W41" s="778">
        <f t="shared" si="14"/>
        <v>100</v>
      </c>
      <c r="X41" s="779"/>
      <c r="Y41" s="3191"/>
      <c r="Z41" s="780" t="str">
        <f t="shared" si="15"/>
        <v>进深比</v>
      </c>
      <c r="AA41" s="1813">
        <f t="shared" si="3"/>
        <v>1</v>
      </c>
      <c r="AB41" s="1813">
        <f t="shared" si="4"/>
        <v>1</v>
      </c>
      <c r="AC41" s="1813">
        <f t="shared" si="5"/>
        <v>1</v>
      </c>
    </row>
    <row r="42" spans="1:29" ht="15">
      <c r="A42" s="472"/>
      <c r="B42" s="422" t="s">
        <v>2657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37"/>
      <c r="Q42" s="1812" t="str">
        <f t="shared" si="11"/>
        <v>内部装修</v>
      </c>
      <c r="R42" s="774" t="s">
        <v>17</v>
      </c>
      <c r="S42" s="775">
        <f t="shared" si="12"/>
        <v>100</v>
      </c>
      <c r="T42" s="774" t="s">
        <v>17</v>
      </c>
      <c r="U42" s="775">
        <f t="shared" si="13"/>
        <v>100</v>
      </c>
      <c r="V42" s="774" t="s">
        <v>17</v>
      </c>
      <c r="W42" s="775">
        <f t="shared" si="14"/>
        <v>100</v>
      </c>
      <c r="X42" s="1815"/>
      <c r="Y42" s="3191"/>
      <c r="Z42" s="1816" t="str">
        <f t="shared" si="15"/>
        <v>内部装修</v>
      </c>
      <c r="AA42" s="1813">
        <f t="shared" si="3"/>
        <v>1</v>
      </c>
      <c r="AB42" s="1813">
        <f t="shared" si="4"/>
        <v>1</v>
      </c>
      <c r="AC42" s="1813">
        <f t="shared" si="5"/>
        <v>1</v>
      </c>
    </row>
    <row r="43" spans="1:29" ht="15">
      <c r="A43" s="472"/>
      <c r="B43" s="422" t="s">
        <v>2565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37"/>
      <c r="Q43" s="1812" t="str">
        <f t="shared" si="11"/>
        <v>内部装修维护情况</v>
      </c>
      <c r="R43" s="774" t="s">
        <v>17</v>
      </c>
      <c r="S43" s="775">
        <f t="shared" si="12"/>
        <v>100</v>
      </c>
      <c r="T43" s="774" t="s">
        <v>17</v>
      </c>
      <c r="U43" s="775">
        <f t="shared" si="13"/>
        <v>100</v>
      </c>
      <c r="V43" s="774" t="s">
        <v>17</v>
      </c>
      <c r="W43" s="775">
        <f t="shared" si="14"/>
        <v>100</v>
      </c>
      <c r="X43" s="1815"/>
      <c r="Y43" s="3191"/>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7"/>
      <c r="Q44" s="1797">
        <f t="shared" si="11"/>
        <v>111</v>
      </c>
      <c r="R44" s="770" t="s">
        <v>17</v>
      </c>
      <c r="S44" s="771">
        <f t="shared" si="12"/>
        <v>100</v>
      </c>
      <c r="T44" s="770" t="s">
        <v>17</v>
      </c>
      <c r="U44" s="771">
        <f t="shared" si="13"/>
        <v>100</v>
      </c>
      <c r="V44" s="770" t="s">
        <v>17</v>
      </c>
      <c r="W44" s="771">
        <f t="shared" si="14"/>
        <v>100</v>
      </c>
      <c r="X44" s="772"/>
      <c r="Y44" s="319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7"/>
      <c r="Q45" s="1812">
        <f t="shared" si="11"/>
        <v>111</v>
      </c>
      <c r="R45" s="774" t="s">
        <v>17</v>
      </c>
      <c r="S45" s="775">
        <f t="shared" si="12"/>
        <v>100</v>
      </c>
      <c r="T45" s="774" t="s">
        <v>17</v>
      </c>
      <c r="U45" s="775">
        <f t="shared" si="13"/>
        <v>100</v>
      </c>
      <c r="V45" s="774" t="s">
        <v>17</v>
      </c>
      <c r="W45" s="775">
        <f t="shared" si="14"/>
        <v>100</v>
      </c>
      <c r="X45" s="1815"/>
      <c r="Y45" s="3191"/>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8"/>
      <c r="Q46" s="1812">
        <f t="shared" si="11"/>
        <v>111</v>
      </c>
      <c r="R46" s="774" t="s">
        <v>17</v>
      </c>
      <c r="S46" s="775">
        <f t="shared" si="12"/>
        <v>100</v>
      </c>
      <c r="T46" s="774" t="s">
        <v>17</v>
      </c>
      <c r="U46" s="775">
        <f t="shared" si="13"/>
        <v>100</v>
      </c>
      <c r="V46" s="774" t="s">
        <v>17</v>
      </c>
      <c r="W46" s="775">
        <f t="shared" si="14"/>
        <v>100</v>
      </c>
      <c r="X46" s="1815"/>
      <c r="Y46" s="3239"/>
      <c r="Z46" s="1816">
        <f t="shared" si="15"/>
        <v>111</v>
      </c>
      <c r="AA46" s="1813">
        <f t="shared" si="3"/>
        <v>1</v>
      </c>
      <c r="AB46" s="1813">
        <f t="shared" si="4"/>
        <v>1</v>
      </c>
      <c r="AC46" s="1813">
        <f t="shared" si="5"/>
        <v>1</v>
      </c>
    </row>
    <row r="47" spans="1:29" ht="15">
      <c r="A47" s="479" t="s">
        <v>2566</v>
      </c>
      <c r="B47" s="480"/>
      <c r="C47" s="1410" t="s">
        <v>1</v>
      </c>
      <c r="D47" s="1411"/>
      <c r="E47" s="1412"/>
      <c r="F47" s="1413"/>
      <c r="G47" s="1414"/>
      <c r="H47" s="1415"/>
      <c r="I47" s="1412"/>
      <c r="J47" s="1415"/>
      <c r="K47" s="783"/>
      <c r="L47" s="1146"/>
      <c r="M47" s="1147"/>
      <c r="N47" s="1134"/>
      <c r="O47" s="1147"/>
      <c r="P47" s="3173" t="str">
        <f>A47</f>
        <v>成交单价（元/平方米）</v>
      </c>
      <c r="Q47" s="3173"/>
      <c r="R47" s="3186">
        <f>E47</f>
        <v>0</v>
      </c>
      <c r="S47" s="3186"/>
      <c r="T47" s="3186">
        <f>G47</f>
        <v>0</v>
      </c>
      <c r="U47" s="3186"/>
      <c r="V47" s="3186">
        <f>I47</f>
        <v>0</v>
      </c>
      <c r="W47" s="3186"/>
      <c r="X47" s="759"/>
      <c r="Y47" s="781"/>
      <c r="Z47" s="759"/>
      <c r="AA47" s="759"/>
      <c r="AB47" s="759"/>
      <c r="AC47" s="759"/>
    </row>
    <row r="48" spans="1:29" ht="15.75" thickBot="1">
      <c r="A48" s="486" t="s">
        <v>2658</v>
      </c>
      <c r="B48" s="487"/>
      <c r="C48" s="1416" t="e">
        <f>R49</f>
        <v>#DIV/0!</v>
      </c>
      <c r="D48" s="1417"/>
      <c r="E48" s="1418" t="e">
        <f>R48</f>
        <v>#DIV/0!</v>
      </c>
      <c r="F48" s="1418"/>
      <c r="G48" s="1416" t="e">
        <f>T48</f>
        <v>#DIV/0!</v>
      </c>
      <c r="H48" s="1417"/>
      <c r="I48" s="1418" t="e">
        <f>V48</f>
        <v>#DIV/0!</v>
      </c>
      <c r="J48" s="1417"/>
      <c r="K48" s="784"/>
      <c r="L48" s="1146"/>
      <c r="M48" s="1147"/>
      <c r="N48" s="1134"/>
      <c r="O48" s="1147"/>
      <c r="P48" s="3173" t="str">
        <f>A48</f>
        <v>比较价值（元/平方米）</v>
      </c>
      <c r="Q48" s="3173"/>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2659</v>
      </c>
      <c r="B49" s="493"/>
      <c r="C49" s="1420" t="e">
        <f>R49</f>
        <v>#DIV/0!</v>
      </c>
      <c r="D49" s="1420"/>
      <c r="E49" s="1420"/>
      <c r="F49" s="1420"/>
      <c r="G49" s="1420"/>
      <c r="H49" s="1420"/>
      <c r="I49" s="1420"/>
      <c r="J49" s="1420"/>
      <c r="K49" s="785"/>
      <c r="L49" s="1146"/>
      <c r="M49" s="1147"/>
      <c r="N49" s="1134"/>
      <c r="O49" s="1147"/>
      <c r="P49" s="3193" t="str">
        <f>A49</f>
        <v>估价对象XX用房的比较价值（楼面单价，元/平方米）</v>
      </c>
      <c r="Q49" s="3194"/>
      <c r="R49" s="3234" t="e">
        <f>IF(F1="售价",ROUND(AVERAGE(R48:V48),0),ROUND(AVERAGE(R48:V48),1))</f>
        <v>#DIV/0!</v>
      </c>
      <c r="S49" s="3234"/>
      <c r="T49" s="3234"/>
      <c r="U49" s="3234"/>
      <c r="V49" s="3234"/>
      <c r="W49" s="3234"/>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2663</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2537</v>
      </c>
      <c r="B58" s="506"/>
      <c r="C58" s="1576" t="str">
        <f>YEAR(C7)&amp;"-"&amp;MONTH(C7)</f>
        <v>2018-5</v>
      </c>
      <c r="D58" s="1577">
        <f>EDATE(C58,-1)</f>
        <v>43191</v>
      </c>
      <c r="E58" s="1577">
        <f t="shared" ref="E58:N58" si="16">EDATE(D58,-1)</f>
        <v>43160</v>
      </c>
      <c r="F58" s="1577">
        <f t="shared" si="16"/>
        <v>43132</v>
      </c>
      <c r="G58" s="1577">
        <f t="shared" si="16"/>
        <v>43101</v>
      </c>
      <c r="H58" s="1577">
        <f t="shared" si="16"/>
        <v>43070</v>
      </c>
      <c r="I58" s="1577">
        <f t="shared" si="16"/>
        <v>43040</v>
      </c>
      <c r="J58" s="1577">
        <f t="shared" si="16"/>
        <v>43009</v>
      </c>
      <c r="K58" s="1577">
        <f t="shared" si="16"/>
        <v>42979</v>
      </c>
      <c r="L58" s="1577">
        <f t="shared" si="16"/>
        <v>42948</v>
      </c>
      <c r="M58" s="1577">
        <f t="shared" si="16"/>
        <v>42917</v>
      </c>
      <c r="N58" s="1577">
        <f t="shared" si="16"/>
        <v>42887</v>
      </c>
      <c r="O58" s="1577">
        <f>EDATE(N58,-1)</f>
        <v>42856</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2574</v>
      </c>
      <c r="B60" s="516"/>
      <c r="C60" s="517"/>
      <c r="D60" s="518"/>
      <c r="E60" s="518"/>
      <c r="F60" s="518"/>
      <c r="G60" s="518"/>
      <c r="H60" s="518"/>
      <c r="I60" s="518"/>
      <c r="J60" s="518"/>
      <c r="K60" s="518"/>
      <c r="L60" s="518"/>
      <c r="M60" s="519"/>
      <c r="N60" s="518"/>
      <c r="O60" s="519"/>
      <c r="P60" s="2630"/>
      <c r="Q60" s="504"/>
    </row>
    <row r="61" spans="1:29" s="117" customFormat="1" ht="15">
      <c r="A61" s="521" t="s">
        <v>2539</v>
      </c>
      <c r="B61" s="510"/>
      <c r="C61" s="522" t="s">
        <v>2641</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2577</v>
      </c>
      <c r="B63" s="528" t="s">
        <v>2543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2547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2644</v>
      </c>
      <c r="C82" s="660" t="s">
        <v>2664</v>
      </c>
      <c r="D82" s="660" t="s">
        <v>2665</v>
      </c>
      <c r="E82" s="660" t="s">
        <v>2666</v>
      </c>
      <c r="F82" s="660" t="s">
        <v>2667</v>
      </c>
      <c r="G82" s="660" t="s">
        <v>2668</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2669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2552</v>
      </c>
      <c r="B100" s="528" t="s">
        <v>2670</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2602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2603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2605</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2607</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2671</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2672</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2673</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2674</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2609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2517</v>
      </c>
      <c r="B1" s="2671" t="s">
        <v>2675</v>
      </c>
      <c r="C1" s="1622" t="s">
        <v>2519</v>
      </c>
      <c r="D1" s="1623"/>
      <c r="E1" s="1632"/>
      <c r="F1" s="2586"/>
      <c r="G1" s="1633" t="s">
        <v>2632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2316</v>
      </c>
      <c r="B2" s="1421" t="e">
        <f ca="1">IF(C2="——",ROUND(C50*D3/10000,0),ROUND(C50*D3/10000,0)-D2)</f>
        <v>#DIV/0!</v>
      </c>
      <c r="C2" s="2588"/>
      <c r="D2" s="1368" t="e">
        <f ca="1">SUMIF(INDIRECT("'"&amp;F2&amp;"'"&amp;"!A:A"),"承租人权益价值",INDIRECT("'"&amp;F2&amp;"'"&amp;"!c:c"))</f>
        <v>#REF!</v>
      </c>
      <c r="E2" s="2589" t="s">
        <v>2317</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t="e">
        <f ca="1">IF(C2="——",C50,ROUND(B2*10000/D3,0))</f>
        <v>#DIV/0!</v>
      </c>
      <c r="C3" s="400" t="s">
        <v>2633</v>
      </c>
      <c r="D3" s="399">
        <f>IF(D1="",'数据-汇总表'!E3,SUMIF('数据-汇总表'!$C19:$C33,D1,'数据-汇总表'!$E19:$E33))</f>
        <v>210956.06</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248" t="s">
        <v>2640</v>
      </c>
      <c r="Q4" s="3249"/>
      <c r="R4" s="3243" t="s">
        <v>2636</v>
      </c>
      <c r="S4" s="3244"/>
      <c r="T4" s="3243" t="s">
        <v>2637</v>
      </c>
      <c r="U4" s="3244"/>
      <c r="V4" s="3252" t="s">
        <v>2638</v>
      </c>
      <c r="W4" s="3252"/>
      <c r="X4" s="2672"/>
      <c r="Y4" s="3243" t="s">
        <v>2640</v>
      </c>
      <c r="Z4" s="3244"/>
      <c r="AA4" s="3242" t="s">
        <v>2636</v>
      </c>
      <c r="AB4" s="3242" t="s">
        <v>2637</v>
      </c>
      <c r="AC4" s="3245" t="s">
        <v>2638</v>
      </c>
    </row>
    <row r="5" spans="1:29" ht="15">
      <c r="A5" s="404"/>
      <c r="B5" s="405"/>
      <c r="C5" s="3228" t="s">
        <v>2531</v>
      </c>
      <c r="D5" s="3229"/>
      <c r="E5" s="3226" t="s">
        <v>2532</v>
      </c>
      <c r="F5" s="3227"/>
      <c r="G5" s="3228" t="s">
        <v>2533</v>
      </c>
      <c r="H5" s="3229"/>
      <c r="I5" s="3228" t="s">
        <v>2534</v>
      </c>
      <c r="J5" s="3229"/>
      <c r="K5" s="610"/>
      <c r="L5" s="1133"/>
      <c r="M5" s="1134"/>
      <c r="N5" s="1134"/>
      <c r="O5" s="1134"/>
      <c r="P5" s="3250"/>
      <c r="Q5" s="3181"/>
      <c r="R5" s="3162"/>
      <c r="S5" s="3163"/>
      <c r="T5" s="3162"/>
      <c r="U5" s="3163"/>
      <c r="V5" s="3186"/>
      <c r="W5" s="3186"/>
      <c r="X5" s="1815"/>
      <c r="Y5" s="3162"/>
      <c r="Z5" s="3163"/>
      <c r="AA5" s="3156"/>
      <c r="AB5" s="3156"/>
      <c r="AC5" s="3246"/>
    </row>
    <row r="6" spans="1:29" ht="15.75" thickBot="1">
      <c r="A6" s="406"/>
      <c r="B6" s="407"/>
      <c r="C6" s="3230" t="s">
        <v>2535</v>
      </c>
      <c r="D6" s="3231"/>
      <c r="E6" s="3232" t="s">
        <v>2535</v>
      </c>
      <c r="F6" s="3233"/>
      <c r="G6" s="3230" t="s">
        <v>2535</v>
      </c>
      <c r="H6" s="3231"/>
      <c r="I6" s="3230" t="s">
        <v>2535</v>
      </c>
      <c r="J6" s="3231"/>
      <c r="K6" s="610" t="s">
        <v>2536</v>
      </c>
      <c r="L6" s="1133"/>
      <c r="M6" s="1134"/>
      <c r="N6" s="1134"/>
      <c r="O6" s="1134"/>
      <c r="P6" s="3251"/>
      <c r="Q6" s="3183"/>
      <c r="R6" s="3162"/>
      <c r="S6" s="3163"/>
      <c r="T6" s="3184"/>
      <c r="U6" s="3185"/>
      <c r="V6" s="3186"/>
      <c r="W6" s="3186"/>
      <c r="X6" s="1815"/>
      <c r="Y6" s="3184"/>
      <c r="Z6" s="3185"/>
      <c r="AA6" s="3157"/>
      <c r="AB6" s="3157"/>
      <c r="AC6" s="3247"/>
    </row>
    <row r="7" spans="1:29" s="117" customFormat="1" ht="15.75" thickBot="1">
      <c r="A7" s="408" t="s">
        <v>2537</v>
      </c>
      <c r="B7" s="409"/>
      <c r="C7" s="410">
        <f>'数据-取费表'!B2</f>
        <v>43235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3" t="s">
        <v>2538</v>
      </c>
      <c r="Q7" s="3187"/>
      <c r="R7" s="770" t="s">
        <v>17</v>
      </c>
      <c r="S7" s="771">
        <f t="shared" ref="S7:S15" si="0">F7</f>
        <v>0</v>
      </c>
      <c r="T7" s="770" t="s">
        <v>17</v>
      </c>
      <c r="U7" s="771">
        <f t="shared" ref="U7:U15" si="1">H7</f>
        <v>0</v>
      </c>
      <c r="V7" s="770" t="s">
        <v>17</v>
      </c>
      <c r="W7" s="771">
        <f t="shared" ref="W7:W15" si="2">J7</f>
        <v>0</v>
      </c>
      <c r="X7" s="772"/>
      <c r="Y7" s="3158" t="s">
        <v>2538</v>
      </c>
      <c r="Z7" s="3159"/>
      <c r="AA7" s="773" t="e">
        <f>D7/F7</f>
        <v>#DIV/0!</v>
      </c>
      <c r="AB7" s="773" t="e">
        <f>D7/H7</f>
        <v>#DIV/0!</v>
      </c>
      <c r="AC7" s="2673" t="e">
        <f>D7/J7</f>
        <v>#DIV/0!</v>
      </c>
    </row>
    <row r="8" spans="1:29" s="117" customFormat="1" ht="15.75" thickBot="1">
      <c r="A8" s="408" t="s">
        <v>2539</v>
      </c>
      <c r="B8" s="409"/>
      <c r="C8" s="414" t="s">
        <v>2641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3" t="s">
        <v>2541</v>
      </c>
      <c r="Q8" s="3159"/>
      <c r="R8" s="770" t="s">
        <v>17</v>
      </c>
      <c r="S8" s="771">
        <f t="shared" si="0"/>
        <v>0</v>
      </c>
      <c r="T8" s="770" t="s">
        <v>17</v>
      </c>
      <c r="U8" s="771">
        <f t="shared" si="1"/>
        <v>0</v>
      </c>
      <c r="V8" s="770" t="s">
        <v>17</v>
      </c>
      <c r="W8" s="771">
        <f t="shared" si="2"/>
        <v>0</v>
      </c>
      <c r="X8" s="772"/>
      <c r="Y8" s="3158" t="s">
        <v>2541</v>
      </c>
      <c r="Z8" s="3159"/>
      <c r="AA8" s="773" t="e">
        <f t="shared" ref="AA8:AA47" si="3">D8/F8</f>
        <v>#DIV/0!</v>
      </c>
      <c r="AB8" s="773" t="e">
        <f t="shared" ref="AB8:AB47" si="4">D8/H8</f>
        <v>#DIV/0!</v>
      </c>
      <c r="AC8" s="2673" t="e">
        <f t="shared" ref="AC8:AC47" si="5">D8/J8</f>
        <v>#DIV/0!</v>
      </c>
    </row>
    <row r="9" spans="1:29" s="117" customFormat="1">
      <c r="A9" s="415" t="s">
        <v>2542</v>
      </c>
      <c r="B9" s="71" t="s">
        <v>2543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7" t="s">
        <v>2544</v>
      </c>
      <c r="Q9" s="1797" t="str">
        <f t="shared" ref="Q9:Q15" si="6">B9</f>
        <v>用途</v>
      </c>
      <c r="R9" s="770" t="s">
        <v>17</v>
      </c>
      <c r="S9" s="771">
        <f t="shared" si="0"/>
        <v>100</v>
      </c>
      <c r="T9" s="770" t="s">
        <v>17</v>
      </c>
      <c r="U9" s="771">
        <f t="shared" si="1"/>
        <v>100</v>
      </c>
      <c r="V9" s="770" t="s">
        <v>17</v>
      </c>
      <c r="W9" s="771">
        <f t="shared" si="2"/>
        <v>100</v>
      </c>
      <c r="X9" s="772"/>
      <c r="Y9" s="3032" t="s">
        <v>2545</v>
      </c>
      <c r="Z9" s="55" t="str">
        <f t="shared" ref="Z9:Z15" si="7">Q9</f>
        <v>用途</v>
      </c>
      <c r="AA9" s="773">
        <f t="shared" si="3"/>
        <v>1</v>
      </c>
      <c r="AB9" s="773">
        <f t="shared" si="4"/>
        <v>1</v>
      </c>
      <c r="AC9" s="2673">
        <f t="shared" si="5"/>
        <v>1</v>
      </c>
    </row>
    <row r="10" spans="1:29" s="427" customFormat="1" ht="27">
      <c r="A10" s="421"/>
      <c r="B10" s="422" t="s">
        <v>2546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7"/>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2673">
        <f t="shared" si="5"/>
        <v>1</v>
      </c>
    </row>
    <row r="11" spans="1:29" ht="15">
      <c r="A11" s="428"/>
      <c r="B11" s="422" t="s">
        <v>2547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7"/>
      <c r="Q11" s="1797"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97"/>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97"/>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97"/>
      <c r="Q14" s="1797">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2673">
        <f t="shared" si="5"/>
        <v>1</v>
      </c>
    </row>
    <row r="15" spans="1:29" ht="15">
      <c r="A15" s="440" t="s">
        <v>2548</v>
      </c>
      <c r="B15" s="629" t="s">
        <v>2676</v>
      </c>
      <c r="C15" s="2675">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0" t="s">
        <v>2549</v>
      </c>
      <c r="Q15" s="1812" t="str">
        <f t="shared" si="6"/>
        <v>办公集聚程度</v>
      </c>
      <c r="R15" s="774" t="s">
        <v>17</v>
      </c>
      <c r="S15" s="775">
        <f t="shared" si="0"/>
        <v>100</v>
      </c>
      <c r="T15" s="774" t="s">
        <v>17</v>
      </c>
      <c r="U15" s="775">
        <f t="shared" si="1"/>
        <v>100</v>
      </c>
      <c r="V15" s="774" t="s">
        <v>17</v>
      </c>
      <c r="W15" s="775">
        <f t="shared" si="2"/>
        <v>100</v>
      </c>
      <c r="X15" s="1815"/>
      <c r="Y15" s="3188" t="s">
        <v>2549</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3"/>
      <c r="M16" s="1134"/>
      <c r="N16" s="1134"/>
      <c r="O16" s="1134"/>
      <c r="P16" s="3241"/>
      <c r="Q16" s="1812"/>
      <c r="R16" s="774"/>
      <c r="S16" s="775"/>
      <c r="T16" s="774"/>
      <c r="U16" s="775"/>
      <c r="V16" s="774"/>
      <c r="W16" s="775"/>
      <c r="X16" s="1815"/>
      <c r="Y16" s="3189"/>
      <c r="Z16" s="1816"/>
      <c r="AA16" s="1813">
        <v>1</v>
      </c>
      <c r="AB16" s="1813">
        <v>1</v>
      </c>
      <c r="AC16" s="2676">
        <v>1</v>
      </c>
    </row>
    <row r="17" spans="1:29" ht="85.5">
      <c r="A17" s="428"/>
      <c r="B17" s="631" t="s">
        <v>2092</v>
      </c>
      <c r="C17" s="2677" t="str">
        <f>估价对象房地状况!C6</f>
        <v>估价对象周边路网密集、公共交通通达情况较好、停车便捷程度好，综合评价交通便捷度较好。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1"/>
      <c r="Q17" s="1812" t="str">
        <f>B17</f>
        <v>交通便捷度</v>
      </c>
      <c r="R17" s="774" t="s">
        <v>17</v>
      </c>
      <c r="S17" s="775">
        <f>F17</f>
        <v>100</v>
      </c>
      <c r="T17" s="774" t="s">
        <v>17</v>
      </c>
      <c r="U17" s="775">
        <f>H17</f>
        <v>100</v>
      </c>
      <c r="V17" s="774" t="s">
        <v>17</v>
      </c>
      <c r="W17" s="775">
        <f>J17</f>
        <v>100</v>
      </c>
      <c r="X17" s="1815"/>
      <c r="Y17" s="3189"/>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3"/>
      <c r="M18" s="1134"/>
      <c r="N18" s="1134"/>
      <c r="O18" s="1134"/>
      <c r="P18" s="3241"/>
      <c r="Q18" s="1812"/>
      <c r="R18" s="774"/>
      <c r="S18" s="775"/>
      <c r="T18" s="774"/>
      <c r="U18" s="775"/>
      <c r="V18" s="774"/>
      <c r="W18" s="775"/>
      <c r="X18" s="1815"/>
      <c r="Y18" s="3189"/>
      <c r="Z18" s="1816"/>
      <c r="AA18" s="1813">
        <v>1</v>
      </c>
      <c r="AB18" s="1813">
        <v>1</v>
      </c>
      <c r="AC18" s="2676">
        <v>1</v>
      </c>
    </row>
    <row r="19" spans="1:29" ht="99.75">
      <c r="A19" s="428"/>
      <c r="B19" s="631" t="s">
        <v>2677</v>
      </c>
      <c r="C19" s="2677" t="str">
        <f>估价对象房地状况!C7</f>
        <v>估价对象所在区域有北京市农村商业银行(北臧村支行)、北京市大兴区向阳希望学校、华联超市等公共配套设施齐备情况较好。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1"/>
      <c r="Q19" s="1812" t="str">
        <f>B19</f>
        <v>公共配套设施</v>
      </c>
      <c r="R19" s="774" t="s">
        <v>17</v>
      </c>
      <c r="S19" s="775">
        <f>F19</f>
        <v>100</v>
      </c>
      <c r="T19" s="774" t="s">
        <v>17</v>
      </c>
      <c r="U19" s="775">
        <f>H19</f>
        <v>100</v>
      </c>
      <c r="V19" s="774" t="s">
        <v>17</v>
      </c>
      <c r="W19" s="775">
        <f>J19</f>
        <v>100</v>
      </c>
      <c r="X19" s="1815"/>
      <c r="Y19" s="3189"/>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3"/>
      <c r="M20" s="1134"/>
      <c r="N20" s="1134"/>
      <c r="O20" s="1134"/>
      <c r="P20" s="3241"/>
      <c r="Q20" s="1812"/>
      <c r="R20" s="774"/>
      <c r="S20" s="775"/>
      <c r="T20" s="774"/>
      <c r="U20" s="775"/>
      <c r="V20" s="774"/>
      <c r="W20" s="775"/>
      <c r="X20" s="1815"/>
      <c r="Y20" s="3189"/>
      <c r="Z20" s="1816"/>
      <c r="AA20" s="1813">
        <v>1</v>
      </c>
      <c r="AB20" s="1813">
        <v>1</v>
      </c>
      <c r="AC20" s="2676">
        <v>1</v>
      </c>
    </row>
    <row r="21" spans="1:29" ht="15">
      <c r="A21" s="428"/>
      <c r="B21" s="633" t="s">
        <v>2678</v>
      </c>
      <c r="C21" s="2677"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1"/>
      <c r="Q21" s="1812" t="str">
        <f>B21</f>
        <v>基础设施水平</v>
      </c>
      <c r="R21" s="774" t="s">
        <v>17</v>
      </c>
      <c r="S21" s="775">
        <f>F21</f>
        <v>100</v>
      </c>
      <c r="T21" s="774" t="s">
        <v>17</v>
      </c>
      <c r="U21" s="775">
        <f>H21</f>
        <v>100</v>
      </c>
      <c r="V21" s="774" t="s">
        <v>17</v>
      </c>
      <c r="W21" s="775">
        <f>J21</f>
        <v>100</v>
      </c>
      <c r="X21" s="1815"/>
      <c r="Y21" s="3189"/>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6"/>
      <c r="L22" s="1143"/>
      <c r="M22" s="1134"/>
      <c r="N22" s="1134"/>
      <c r="O22" s="1134"/>
      <c r="P22" s="3241"/>
      <c r="Q22" s="1812"/>
      <c r="R22" s="774"/>
      <c r="S22" s="775"/>
      <c r="T22" s="774"/>
      <c r="U22" s="775"/>
      <c r="V22" s="774"/>
      <c r="W22" s="775"/>
      <c r="X22" s="1815"/>
      <c r="Y22" s="3189"/>
      <c r="Z22" s="1816"/>
      <c r="AA22" s="1813">
        <v>1</v>
      </c>
      <c r="AB22" s="1813">
        <v>1</v>
      </c>
      <c r="AC22" s="2676">
        <v>1</v>
      </c>
    </row>
    <row r="23" spans="1:29" ht="99.75">
      <c r="A23" s="428"/>
      <c r="B23" s="631" t="s">
        <v>2679</v>
      </c>
      <c r="C23" s="2677" t="str">
        <f>估价对象房地状况!C9</f>
        <v>估价对象所处区域自然环境及人文环境：有念坛公园、绿化条件一般，缺乏图书馆、博物馆等设施；综合评价环境状况一般。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1"/>
      <c r="Q23" s="1812" t="str">
        <f>B23</f>
        <v>环境质量</v>
      </c>
      <c r="R23" s="774" t="s">
        <v>17</v>
      </c>
      <c r="S23" s="775">
        <f>F23</f>
        <v>100</v>
      </c>
      <c r="T23" s="774" t="s">
        <v>17</v>
      </c>
      <c r="U23" s="775">
        <f>H23</f>
        <v>100</v>
      </c>
      <c r="V23" s="774" t="s">
        <v>17</v>
      </c>
      <c r="W23" s="775">
        <f>J23</f>
        <v>100</v>
      </c>
      <c r="X23" s="1815"/>
      <c r="Y23" s="3189"/>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3"/>
      <c r="M24" s="1134"/>
      <c r="N24" s="1134"/>
      <c r="O24" s="1134"/>
      <c r="P24" s="3241"/>
      <c r="Q24" s="1812"/>
      <c r="R24" s="774"/>
      <c r="S24" s="775"/>
      <c r="T24" s="774"/>
      <c r="U24" s="775"/>
      <c r="V24" s="774"/>
      <c r="W24" s="775"/>
      <c r="X24" s="1815"/>
      <c r="Y24" s="3189"/>
      <c r="Z24" s="1816"/>
      <c r="AA24" s="1813">
        <v>1</v>
      </c>
      <c r="AB24" s="1813">
        <v>1</v>
      </c>
      <c r="AC24" s="2676">
        <v>1</v>
      </c>
    </row>
    <row r="25" spans="1:29" ht="27">
      <c r="A25" s="404"/>
      <c r="B25" s="631" t="s">
        <v>2680</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41"/>
      <c r="Q25" s="1812" t="str">
        <f>B25</f>
        <v>毗邻道路的类型与等级</v>
      </c>
      <c r="R25" s="774" t="s">
        <v>17</v>
      </c>
      <c r="S25" s="775">
        <f>F25</f>
        <v>100</v>
      </c>
      <c r="T25" s="774" t="s">
        <v>17</v>
      </c>
      <c r="U25" s="775">
        <f>H25</f>
        <v>100</v>
      </c>
      <c r="V25" s="774" t="s">
        <v>17</v>
      </c>
      <c r="W25" s="775">
        <f>J25</f>
        <v>100</v>
      </c>
      <c r="X25" s="1815"/>
      <c r="Y25" s="3189"/>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3"/>
      <c r="M26" s="1134"/>
      <c r="N26" s="1134"/>
      <c r="O26" s="1134"/>
      <c r="P26" s="3241"/>
      <c r="Q26" s="1812"/>
      <c r="R26" s="774"/>
      <c r="S26" s="775"/>
      <c r="T26" s="774"/>
      <c r="U26" s="775"/>
      <c r="V26" s="774"/>
      <c r="W26" s="775"/>
      <c r="X26" s="1815"/>
      <c r="Y26" s="3189"/>
      <c r="Z26" s="1816"/>
      <c r="AA26" s="1813">
        <v>1</v>
      </c>
      <c r="AB26" s="1813">
        <v>1</v>
      </c>
      <c r="AC26" s="2676">
        <v>1</v>
      </c>
    </row>
    <row r="27" spans="1:29" ht="15">
      <c r="A27" s="428"/>
      <c r="B27" s="632" t="s">
        <v>2648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1"/>
      <c r="Q27" s="1812" t="str">
        <f t="shared" ref="Q27:Q47" si="11">B27</f>
        <v>楼层</v>
      </c>
      <c r="R27" s="774" t="s">
        <v>17</v>
      </c>
      <c r="S27" s="775">
        <f>F27</f>
        <v>100</v>
      </c>
      <c r="T27" s="774" t="s">
        <v>17</v>
      </c>
      <c r="U27" s="775">
        <f>H27</f>
        <v>100</v>
      </c>
      <c r="V27" s="774" t="s">
        <v>17</v>
      </c>
      <c r="W27" s="775">
        <f>J27</f>
        <v>100</v>
      </c>
      <c r="X27" s="1815"/>
      <c r="Y27" s="3189"/>
      <c r="Z27" s="1816" t="str">
        <f>Q27</f>
        <v>楼层</v>
      </c>
      <c r="AA27" s="1813">
        <f t="shared" si="3"/>
        <v>1</v>
      </c>
      <c r="AB27" s="1813">
        <f t="shared" si="4"/>
        <v>1</v>
      </c>
      <c r="AC27" s="2676">
        <f t="shared" si="5"/>
        <v>1</v>
      </c>
    </row>
    <row r="28" spans="1:29" s="117" customFormat="1" ht="15">
      <c r="A28" s="431"/>
      <c r="B28" s="631" t="s">
        <v>2681</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41"/>
      <c r="Q28" s="1797" t="str">
        <f t="shared" si="11"/>
        <v>朝向</v>
      </c>
      <c r="R28" s="770" t="s">
        <v>17</v>
      </c>
      <c r="S28" s="771">
        <f>F28</f>
        <v>100</v>
      </c>
      <c r="T28" s="770" t="s">
        <v>17</v>
      </c>
      <c r="U28" s="771">
        <f>H28</f>
        <v>100</v>
      </c>
      <c r="V28" s="770" t="s">
        <v>17</v>
      </c>
      <c r="W28" s="771">
        <f>J28</f>
        <v>100</v>
      </c>
      <c r="X28" s="772"/>
      <c r="Y28" s="3189"/>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41"/>
      <c r="Q29" s="1812">
        <f t="shared" si="11"/>
        <v>111</v>
      </c>
      <c r="R29" s="774" t="s">
        <v>17</v>
      </c>
      <c r="S29" s="775">
        <f t="shared" ref="S29:S47" si="12">F29</f>
        <v>100</v>
      </c>
      <c r="T29" s="774" t="s">
        <v>17</v>
      </c>
      <c r="U29" s="775">
        <f t="shared" ref="U29:U47" si="13">H29</f>
        <v>100</v>
      </c>
      <c r="V29" s="774" t="s">
        <v>17</v>
      </c>
      <c r="W29" s="775">
        <f t="shared" ref="W29:W47" si="14">J29</f>
        <v>100</v>
      </c>
      <c r="X29" s="1815"/>
      <c r="Y29" s="3189"/>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41"/>
      <c r="Q30" s="1812">
        <f t="shared" si="11"/>
        <v>111</v>
      </c>
      <c r="R30" s="774" t="s">
        <v>17</v>
      </c>
      <c r="S30" s="775">
        <f t="shared" si="12"/>
        <v>100</v>
      </c>
      <c r="T30" s="774" t="s">
        <v>17</v>
      </c>
      <c r="U30" s="775">
        <f t="shared" si="13"/>
        <v>100</v>
      </c>
      <c r="V30" s="774" t="s">
        <v>17</v>
      </c>
      <c r="W30" s="775">
        <f t="shared" si="14"/>
        <v>100</v>
      </c>
      <c r="X30" s="1815"/>
      <c r="Y30" s="3189"/>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41"/>
      <c r="Q31" s="1812">
        <f t="shared" si="11"/>
        <v>111</v>
      </c>
      <c r="R31" s="774" t="s">
        <v>17</v>
      </c>
      <c r="S31" s="775">
        <f t="shared" si="12"/>
        <v>100</v>
      </c>
      <c r="T31" s="774" t="s">
        <v>17</v>
      </c>
      <c r="U31" s="775">
        <f t="shared" si="13"/>
        <v>100</v>
      </c>
      <c r="V31" s="774" t="s">
        <v>17</v>
      </c>
      <c r="W31" s="775">
        <f t="shared" si="14"/>
        <v>100</v>
      </c>
      <c r="X31" s="1815"/>
      <c r="Y31" s="3189"/>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41"/>
      <c r="Q32" s="1812">
        <f t="shared" si="11"/>
        <v>111</v>
      </c>
      <c r="R32" s="774" t="s">
        <v>17</v>
      </c>
      <c r="S32" s="775">
        <f t="shared" si="12"/>
        <v>100</v>
      </c>
      <c r="T32" s="774" t="s">
        <v>17</v>
      </c>
      <c r="U32" s="775">
        <f t="shared" si="13"/>
        <v>100</v>
      </c>
      <c r="V32" s="774" t="s">
        <v>17</v>
      </c>
      <c r="W32" s="775">
        <f t="shared" si="14"/>
        <v>100</v>
      </c>
      <c r="X32" s="1815"/>
      <c r="Y32" s="3189"/>
      <c r="Z32" s="1816">
        <f t="shared" si="15"/>
        <v>111</v>
      </c>
      <c r="AA32" s="1813">
        <f t="shared" si="3"/>
        <v>1</v>
      </c>
      <c r="AB32" s="1813">
        <f t="shared" si="4"/>
        <v>1</v>
      </c>
      <c r="AC32" s="2676">
        <f t="shared" si="5"/>
        <v>1</v>
      </c>
    </row>
    <row r="33" spans="1:29" ht="15">
      <c r="A33" s="440" t="s">
        <v>2552</v>
      </c>
      <c r="B33" s="71" t="s">
        <v>2682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36" t="s">
        <v>2554</v>
      </c>
      <c r="Q33" s="1812" t="str">
        <f t="shared" si="11"/>
        <v>建筑类型</v>
      </c>
      <c r="R33" s="774" t="s">
        <v>17</v>
      </c>
      <c r="S33" s="775">
        <f t="shared" si="12"/>
        <v>100</v>
      </c>
      <c r="T33" s="774" t="s">
        <v>17</v>
      </c>
      <c r="U33" s="775">
        <f t="shared" si="13"/>
        <v>100</v>
      </c>
      <c r="V33" s="774" t="s">
        <v>17</v>
      </c>
      <c r="W33" s="775">
        <f t="shared" si="14"/>
        <v>100</v>
      </c>
      <c r="X33" s="1815"/>
      <c r="Y33" s="3191" t="s">
        <v>2554</v>
      </c>
      <c r="Z33" s="1816" t="str">
        <f t="shared" si="15"/>
        <v>建筑类型</v>
      </c>
      <c r="AA33" s="1813">
        <f t="shared" si="3"/>
        <v>1</v>
      </c>
      <c r="AB33" s="1813">
        <f t="shared" si="4"/>
        <v>1</v>
      </c>
      <c r="AC33" s="2676">
        <f t="shared" si="5"/>
        <v>1</v>
      </c>
    </row>
    <row r="34" spans="1:29" s="471" customFormat="1" ht="15">
      <c r="A34" s="468"/>
      <c r="B34" s="422" t="s">
        <v>2555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7"/>
      <c r="Q34" s="776" t="str">
        <f t="shared" si="11"/>
        <v>项目建筑规模</v>
      </c>
      <c r="R34" s="777" t="s">
        <v>17</v>
      </c>
      <c r="S34" s="778" t="e">
        <f t="shared" si="12"/>
        <v>#N/A</v>
      </c>
      <c r="T34" s="777" t="s">
        <v>17</v>
      </c>
      <c r="U34" s="778" t="e">
        <f t="shared" si="13"/>
        <v>#N/A</v>
      </c>
      <c r="V34" s="777" t="s">
        <v>17</v>
      </c>
      <c r="W34" s="778" t="e">
        <f t="shared" si="14"/>
        <v>#N/A</v>
      </c>
      <c r="X34" s="779"/>
      <c r="Y34" s="3191"/>
      <c r="Z34" s="780" t="str">
        <f t="shared" si="15"/>
        <v>项目建筑规模</v>
      </c>
      <c r="AA34" s="1813" t="e">
        <f t="shared" si="3"/>
        <v>#N/A</v>
      </c>
      <c r="AB34" s="1813" t="e">
        <f t="shared" si="4"/>
        <v>#N/A</v>
      </c>
      <c r="AC34" s="2676" t="e">
        <f t="shared" si="5"/>
        <v>#N/A</v>
      </c>
    </row>
    <row r="35" spans="1:29" ht="15">
      <c r="A35" s="472"/>
      <c r="B35" s="422" t="s">
        <v>2556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7"/>
      <c r="Q35" s="1812" t="str">
        <f t="shared" si="11"/>
        <v>建筑结构</v>
      </c>
      <c r="R35" s="774" t="s">
        <v>17</v>
      </c>
      <c r="S35" s="775">
        <f t="shared" si="12"/>
        <v>100</v>
      </c>
      <c r="T35" s="774" t="s">
        <v>17</v>
      </c>
      <c r="U35" s="775">
        <f t="shared" si="13"/>
        <v>100</v>
      </c>
      <c r="V35" s="774" t="s">
        <v>17</v>
      </c>
      <c r="W35" s="775">
        <f t="shared" si="14"/>
        <v>100</v>
      </c>
      <c r="X35" s="1815"/>
      <c r="Y35" s="3191"/>
      <c r="Z35" s="1816" t="str">
        <f t="shared" si="15"/>
        <v>建筑结构</v>
      </c>
      <c r="AA35" s="1813">
        <f t="shared" si="3"/>
        <v>1</v>
      </c>
      <c r="AB35" s="1813">
        <f t="shared" si="4"/>
        <v>1</v>
      </c>
      <c r="AC35" s="2676">
        <f t="shared" si="5"/>
        <v>1</v>
      </c>
    </row>
    <row r="36" spans="1:29" ht="15">
      <c r="A36" s="472"/>
      <c r="B36" s="422" t="s">
        <v>2650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7"/>
      <c r="Q36" s="1812" t="str">
        <f t="shared" si="11"/>
        <v>公共部分装修</v>
      </c>
      <c r="R36" s="774" t="s">
        <v>17</v>
      </c>
      <c r="S36" s="775">
        <f t="shared" si="12"/>
        <v>100</v>
      </c>
      <c r="T36" s="774" t="s">
        <v>17</v>
      </c>
      <c r="U36" s="775">
        <f t="shared" si="13"/>
        <v>100</v>
      </c>
      <c r="V36" s="774" t="s">
        <v>17</v>
      </c>
      <c r="W36" s="775">
        <f t="shared" si="14"/>
        <v>100</v>
      </c>
      <c r="X36" s="1815"/>
      <c r="Y36" s="3191"/>
      <c r="Z36" s="1816" t="str">
        <f t="shared" si="15"/>
        <v>公共部分装修</v>
      </c>
      <c r="AA36" s="1813">
        <f t="shared" si="3"/>
        <v>1</v>
      </c>
      <c r="AB36" s="1813">
        <f t="shared" si="4"/>
        <v>1</v>
      </c>
      <c r="AC36" s="2676">
        <f t="shared" si="5"/>
        <v>1</v>
      </c>
    </row>
    <row r="37" spans="1:29" ht="15">
      <c r="A37" s="472"/>
      <c r="B37" s="422" t="s">
        <v>2651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7"/>
      <c r="Q37" s="1812" t="str">
        <f t="shared" si="11"/>
        <v>成新度</v>
      </c>
      <c r="R37" s="774" t="s">
        <v>17</v>
      </c>
      <c r="S37" s="775" t="e">
        <f t="shared" si="12"/>
        <v>#N/A</v>
      </c>
      <c r="T37" s="774" t="s">
        <v>17</v>
      </c>
      <c r="U37" s="775" t="e">
        <f t="shared" si="13"/>
        <v>#N/A</v>
      </c>
      <c r="V37" s="774" t="s">
        <v>17</v>
      </c>
      <c r="W37" s="775" t="e">
        <f t="shared" si="14"/>
        <v>#N/A</v>
      </c>
      <c r="X37" s="1815"/>
      <c r="Y37" s="3191"/>
      <c r="Z37" s="1816" t="str">
        <f t="shared" si="15"/>
        <v>成新度</v>
      </c>
      <c r="AA37" s="1813" t="e">
        <f t="shared" si="3"/>
        <v>#N/A</v>
      </c>
      <c r="AB37" s="1813" t="e">
        <f t="shared" si="4"/>
        <v>#N/A</v>
      </c>
      <c r="AC37" s="2676" t="e">
        <f t="shared" si="5"/>
        <v>#N/A</v>
      </c>
    </row>
    <row r="38" spans="1:29" s="117" customFormat="1" ht="15">
      <c r="A38" s="473"/>
      <c r="B38" s="422" t="s">
        <v>2683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7"/>
      <c r="Q38" s="1797" t="str">
        <f t="shared" si="11"/>
        <v>写字楼等级</v>
      </c>
      <c r="R38" s="770" t="s">
        <v>17</v>
      </c>
      <c r="S38" s="771">
        <f t="shared" si="12"/>
        <v>100</v>
      </c>
      <c r="T38" s="770" t="s">
        <v>17</v>
      </c>
      <c r="U38" s="771">
        <f t="shared" si="13"/>
        <v>100</v>
      </c>
      <c r="V38" s="770" t="s">
        <v>17</v>
      </c>
      <c r="W38" s="771">
        <f t="shared" si="14"/>
        <v>100</v>
      </c>
      <c r="X38" s="772"/>
      <c r="Y38" s="3191"/>
      <c r="Z38" s="55" t="str">
        <f t="shared" si="15"/>
        <v>写字楼等级</v>
      </c>
      <c r="AA38" s="773">
        <f t="shared" si="3"/>
        <v>1</v>
      </c>
      <c r="AB38" s="773">
        <f t="shared" si="4"/>
        <v>1</v>
      </c>
      <c r="AC38" s="2673">
        <f t="shared" si="5"/>
        <v>1</v>
      </c>
    </row>
    <row r="39" spans="1:29" ht="15">
      <c r="A39" s="472"/>
      <c r="B39" s="422" t="s">
        <v>2684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7" t="s">
        <v>2554</v>
      </c>
      <c r="Q39" s="1812" t="str">
        <f t="shared" si="11"/>
        <v>物业管理</v>
      </c>
      <c r="R39" s="774" t="s">
        <v>17</v>
      </c>
      <c r="S39" s="775">
        <f t="shared" si="12"/>
        <v>100</v>
      </c>
      <c r="T39" s="774" t="s">
        <v>17</v>
      </c>
      <c r="U39" s="775">
        <f t="shared" si="13"/>
        <v>100</v>
      </c>
      <c r="V39" s="774" t="s">
        <v>17</v>
      </c>
      <c r="W39" s="775">
        <f t="shared" si="14"/>
        <v>100</v>
      </c>
      <c r="X39" s="1815"/>
      <c r="Y39" s="3191" t="s">
        <v>2554</v>
      </c>
      <c r="Z39" s="1816" t="str">
        <f t="shared" si="15"/>
        <v>物业管理</v>
      </c>
      <c r="AA39" s="1813">
        <f t="shared" si="3"/>
        <v>1</v>
      </c>
      <c r="AB39" s="1813">
        <f t="shared" si="4"/>
        <v>1</v>
      </c>
      <c r="AC39" s="2676">
        <f t="shared" si="5"/>
        <v>1</v>
      </c>
    </row>
    <row r="40" spans="1:29" ht="15">
      <c r="A40" s="472"/>
      <c r="B40" s="422" t="s">
        <v>2652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7"/>
      <c r="Q40" s="1812" t="str">
        <f t="shared" si="11"/>
        <v>市政基础设施</v>
      </c>
      <c r="R40" s="774" t="s">
        <v>17</v>
      </c>
      <c r="S40" s="775">
        <f t="shared" si="12"/>
        <v>100</v>
      </c>
      <c r="T40" s="774" t="s">
        <v>17</v>
      </c>
      <c r="U40" s="775">
        <f t="shared" si="13"/>
        <v>100</v>
      </c>
      <c r="V40" s="774" t="s">
        <v>17</v>
      </c>
      <c r="W40" s="775">
        <f t="shared" si="14"/>
        <v>100</v>
      </c>
      <c r="X40" s="1815"/>
      <c r="Y40" s="3191"/>
      <c r="Z40" s="1816" t="str">
        <f t="shared" si="15"/>
        <v>市政基础设施</v>
      </c>
      <c r="AA40" s="1813">
        <f t="shared" si="3"/>
        <v>1</v>
      </c>
      <c r="AB40" s="1813">
        <f t="shared" si="4"/>
        <v>1</v>
      </c>
      <c r="AC40" s="2676">
        <f t="shared" si="5"/>
        <v>1</v>
      </c>
    </row>
    <row r="41" spans="1:29" ht="15">
      <c r="A41" s="472"/>
      <c r="B41" s="422" t="s">
        <v>2654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7"/>
      <c r="Q41" s="1812" t="str">
        <f t="shared" si="11"/>
        <v>层高</v>
      </c>
      <c r="R41" s="774" t="s">
        <v>17</v>
      </c>
      <c r="S41" s="775">
        <f t="shared" si="12"/>
        <v>100</v>
      </c>
      <c r="T41" s="774" t="s">
        <v>17</v>
      </c>
      <c r="U41" s="775">
        <f t="shared" si="13"/>
        <v>100</v>
      </c>
      <c r="V41" s="774" t="s">
        <v>17</v>
      </c>
      <c r="W41" s="775">
        <f t="shared" si="14"/>
        <v>100</v>
      </c>
      <c r="X41" s="1815"/>
      <c r="Y41" s="3191"/>
      <c r="Z41" s="1816" t="str">
        <f t="shared" si="15"/>
        <v>层高</v>
      </c>
      <c r="AA41" s="1813">
        <f t="shared" si="3"/>
        <v>1</v>
      </c>
      <c r="AB41" s="1813">
        <f t="shared" si="4"/>
        <v>1</v>
      </c>
      <c r="AC41" s="2676">
        <f t="shared" si="5"/>
        <v>1</v>
      </c>
    </row>
    <row r="42" spans="1:29" s="471" customFormat="1" ht="15">
      <c r="A42" s="468"/>
      <c r="B42" s="1814" t="s">
        <v>2685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7"/>
      <c r="Q42" s="776" t="str">
        <f t="shared" si="11"/>
        <v>单套建筑面积</v>
      </c>
      <c r="R42" s="777" t="s">
        <v>17</v>
      </c>
      <c r="S42" s="778">
        <f t="shared" si="12"/>
        <v>100</v>
      </c>
      <c r="T42" s="777" t="s">
        <v>17</v>
      </c>
      <c r="U42" s="778">
        <f t="shared" si="13"/>
        <v>100</v>
      </c>
      <c r="V42" s="777" t="s">
        <v>17</v>
      </c>
      <c r="W42" s="778">
        <f t="shared" si="14"/>
        <v>100</v>
      </c>
      <c r="X42" s="779"/>
      <c r="Y42" s="3191"/>
      <c r="Z42" s="780" t="str">
        <f t="shared" si="15"/>
        <v>单套建筑面积</v>
      </c>
      <c r="AA42" s="1813">
        <f t="shared" si="3"/>
        <v>1</v>
      </c>
      <c r="AB42" s="1813">
        <f t="shared" si="4"/>
        <v>1</v>
      </c>
      <c r="AC42" s="2676">
        <f t="shared" si="5"/>
        <v>1</v>
      </c>
    </row>
    <row r="43" spans="1:29" ht="15">
      <c r="A43" s="472"/>
      <c r="B43" s="422" t="s">
        <v>2657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7"/>
      <c r="Q43" s="1812" t="str">
        <f t="shared" si="11"/>
        <v>内部装修</v>
      </c>
      <c r="R43" s="774" t="s">
        <v>17</v>
      </c>
      <c r="S43" s="775">
        <f t="shared" si="12"/>
        <v>100</v>
      </c>
      <c r="T43" s="774" t="s">
        <v>17</v>
      </c>
      <c r="U43" s="775">
        <f t="shared" si="13"/>
        <v>100</v>
      </c>
      <c r="V43" s="774" t="s">
        <v>17</v>
      </c>
      <c r="W43" s="775">
        <f t="shared" si="14"/>
        <v>100</v>
      </c>
      <c r="X43" s="1815"/>
      <c r="Y43" s="3191"/>
      <c r="Z43" s="1816" t="str">
        <f t="shared" si="15"/>
        <v>内部装修</v>
      </c>
      <c r="AA43" s="1813">
        <f t="shared" si="3"/>
        <v>1</v>
      </c>
      <c r="AB43" s="1813">
        <f t="shared" si="4"/>
        <v>1</v>
      </c>
      <c r="AC43" s="2676">
        <f t="shared" si="5"/>
        <v>1</v>
      </c>
    </row>
    <row r="44" spans="1:29" ht="15">
      <c r="A44" s="472"/>
      <c r="B44" s="422" t="s">
        <v>2565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37"/>
      <c r="Q44" s="1812" t="str">
        <f t="shared" si="11"/>
        <v>内部装修维护情况</v>
      </c>
      <c r="R44" s="774" t="s">
        <v>17</v>
      </c>
      <c r="S44" s="775">
        <f t="shared" si="12"/>
        <v>100</v>
      </c>
      <c r="T44" s="774" t="s">
        <v>17</v>
      </c>
      <c r="U44" s="775">
        <f t="shared" si="13"/>
        <v>100</v>
      </c>
      <c r="V44" s="774" t="s">
        <v>17</v>
      </c>
      <c r="W44" s="775">
        <f t="shared" si="14"/>
        <v>100</v>
      </c>
      <c r="X44" s="1815"/>
      <c r="Y44" s="3191"/>
      <c r="Z44" s="1816" t="str">
        <f t="shared" si="15"/>
        <v>内部装修维护情况</v>
      </c>
      <c r="AA44" s="1813">
        <f t="shared" si="3"/>
        <v>1</v>
      </c>
      <c r="AB44" s="1813">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7"/>
      <c r="Q45" s="1797">
        <f t="shared" si="11"/>
        <v>111</v>
      </c>
      <c r="R45" s="770" t="s">
        <v>17</v>
      </c>
      <c r="S45" s="771">
        <f t="shared" si="12"/>
        <v>100</v>
      </c>
      <c r="T45" s="770" t="s">
        <v>17</v>
      </c>
      <c r="U45" s="771">
        <f t="shared" si="13"/>
        <v>100</v>
      </c>
      <c r="V45" s="770" t="s">
        <v>17</v>
      </c>
      <c r="W45" s="771">
        <f t="shared" si="14"/>
        <v>100</v>
      </c>
      <c r="X45" s="772"/>
      <c r="Y45" s="3191"/>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7"/>
      <c r="Q46" s="1812">
        <f t="shared" si="11"/>
        <v>111</v>
      </c>
      <c r="R46" s="774" t="s">
        <v>17</v>
      </c>
      <c r="S46" s="775">
        <f t="shared" si="12"/>
        <v>100</v>
      </c>
      <c r="T46" s="774" t="s">
        <v>17</v>
      </c>
      <c r="U46" s="775">
        <f t="shared" si="13"/>
        <v>100</v>
      </c>
      <c r="V46" s="774" t="s">
        <v>17</v>
      </c>
      <c r="W46" s="775">
        <f t="shared" si="14"/>
        <v>100</v>
      </c>
      <c r="X46" s="1815"/>
      <c r="Y46" s="3191"/>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8"/>
      <c r="Q47" s="1812">
        <f t="shared" si="11"/>
        <v>111</v>
      </c>
      <c r="R47" s="774" t="s">
        <v>17</v>
      </c>
      <c r="S47" s="775">
        <f t="shared" si="12"/>
        <v>100</v>
      </c>
      <c r="T47" s="774" t="s">
        <v>17</v>
      </c>
      <c r="U47" s="775">
        <f t="shared" si="13"/>
        <v>100</v>
      </c>
      <c r="V47" s="774" t="s">
        <v>17</v>
      </c>
      <c r="W47" s="775">
        <f t="shared" si="14"/>
        <v>100</v>
      </c>
      <c r="X47" s="1815"/>
      <c r="Y47" s="3239"/>
      <c r="Z47" s="1816">
        <f t="shared" si="15"/>
        <v>111</v>
      </c>
      <c r="AA47" s="1813">
        <f t="shared" si="3"/>
        <v>1</v>
      </c>
      <c r="AB47" s="1813">
        <f t="shared" si="4"/>
        <v>1</v>
      </c>
      <c r="AC47" s="2676">
        <f t="shared" si="5"/>
        <v>1</v>
      </c>
    </row>
    <row r="48" spans="1:29" ht="15">
      <c r="A48" s="479" t="s">
        <v>2566</v>
      </c>
      <c r="B48" s="480"/>
      <c r="C48" s="1410" t="s">
        <v>1</v>
      </c>
      <c r="D48" s="1411"/>
      <c r="E48" s="1412"/>
      <c r="F48" s="1413"/>
      <c r="G48" s="1414"/>
      <c r="H48" s="1415"/>
      <c r="I48" s="1412"/>
      <c r="J48" s="485"/>
      <c r="K48" s="783"/>
      <c r="L48" s="1146"/>
      <c r="M48" s="1134"/>
      <c r="N48" s="1134"/>
      <c r="O48" s="1134"/>
      <c r="P48" s="3197" t="str">
        <f>A48</f>
        <v>成交单价（元/平方米）</v>
      </c>
      <c r="Q48" s="3173"/>
      <c r="R48" s="3235">
        <f>E48</f>
        <v>0</v>
      </c>
      <c r="S48" s="3235"/>
      <c r="T48" s="3235">
        <f>G48</f>
        <v>0</v>
      </c>
      <c r="U48" s="3235"/>
      <c r="V48" s="3235">
        <f>I48</f>
        <v>0</v>
      </c>
      <c r="W48" s="3235"/>
      <c r="X48" s="446"/>
      <c r="Y48" s="781"/>
      <c r="Z48" s="446"/>
      <c r="AA48" s="446"/>
      <c r="AB48" s="446"/>
      <c r="AC48" s="630"/>
    </row>
    <row r="49" spans="1:29" ht="15.75" thickBot="1">
      <c r="A49" s="486" t="s">
        <v>2658</v>
      </c>
      <c r="B49" s="487"/>
      <c r="C49" s="1416" t="e">
        <f>R50</f>
        <v>#DIV/0!</v>
      </c>
      <c r="D49" s="1417"/>
      <c r="E49" s="1418" t="e">
        <f>R49</f>
        <v>#DIV/0!</v>
      </c>
      <c r="F49" s="1418"/>
      <c r="G49" s="1416" t="e">
        <f>T49</f>
        <v>#DIV/0!</v>
      </c>
      <c r="H49" s="1417"/>
      <c r="I49" s="1418" t="e">
        <f>V49</f>
        <v>#DIV/0!</v>
      </c>
      <c r="J49" s="489"/>
      <c r="K49" s="784"/>
      <c r="L49" s="1146"/>
      <c r="M49" s="1134"/>
      <c r="N49" s="1134"/>
      <c r="O49" s="1134"/>
      <c r="P49" s="3197" t="str">
        <f>A49</f>
        <v>比较价值（元/平方米）</v>
      </c>
      <c r="Q49" s="3173"/>
      <c r="R49" s="3235" t="e">
        <f>IF(F1="售价",ROUND(PRODUCT(R48,AA7:AA47),0),ROUND(PRODUCT(R48,AA7:AA47),1))</f>
        <v>#DIV/0!</v>
      </c>
      <c r="S49" s="3235"/>
      <c r="T49" s="3235" t="e">
        <f>IF(F1="售价",ROUND(PRODUCT(T48,AB7:AB47),0),ROUND(PRODUCT(T48,AB7:AB47),1))</f>
        <v>#DIV/0!</v>
      </c>
      <c r="U49" s="3235"/>
      <c r="V49" s="3235" t="e">
        <f>IF(F1="售价",ROUND(PRODUCT(V48,AC7:AC47),0),ROUND(PRODUCT(V48,AC7:AC47),1))</f>
        <v>#DIV/0!</v>
      </c>
      <c r="W49" s="3235"/>
      <c r="X49" s="446"/>
      <c r="Y49" s="446"/>
      <c r="Z49" s="446"/>
      <c r="AA49" s="446"/>
      <c r="AB49" s="446"/>
      <c r="AC49" s="630"/>
    </row>
    <row r="50" spans="1:29" ht="15.75" thickBot="1">
      <c r="A50" s="492" t="s">
        <v>2659</v>
      </c>
      <c r="B50" s="493"/>
      <c r="C50" s="1420" t="e">
        <f>R50</f>
        <v>#DIV/0!</v>
      </c>
      <c r="D50" s="1420"/>
      <c r="E50" s="1420"/>
      <c r="F50" s="1420"/>
      <c r="G50" s="1420"/>
      <c r="H50" s="1420"/>
      <c r="I50" s="1420"/>
      <c r="J50" s="494"/>
      <c r="K50" s="785"/>
      <c r="L50" s="1146"/>
      <c r="M50" s="1134"/>
      <c r="N50" s="1134"/>
      <c r="O50" s="1134"/>
      <c r="P50" s="3254" t="str">
        <f>A50</f>
        <v>估价对象XX用房的比较价值（楼面单价，元/平方米）</v>
      </c>
      <c r="Q50" s="3255"/>
      <c r="R50" s="3256" t="e">
        <f>IF(F1="售价",ROUND(AVERAGE(R49:V49),0),ROUND(AVERAGE(R49:V49),1))</f>
        <v>#DIV/0!</v>
      </c>
      <c r="S50" s="3256"/>
      <c r="T50" s="3256"/>
      <c r="U50" s="3256"/>
      <c r="V50" s="3256"/>
      <c r="W50" s="3256"/>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2663</v>
      </c>
      <c r="B58" s="759"/>
      <c r="C58" s="764"/>
      <c r="D58" s="764"/>
      <c r="E58" s="764"/>
      <c r="F58" s="765"/>
      <c r="G58" s="765"/>
      <c r="H58" s="764"/>
      <c r="I58" s="764"/>
      <c r="J58" s="764"/>
      <c r="K58" s="766"/>
      <c r="L58" s="1164"/>
      <c r="M58" s="1162"/>
      <c r="N58" s="1162"/>
      <c r="O58" s="1162"/>
      <c r="P58" s="2683"/>
      <c r="Q58" s="504"/>
    </row>
    <row r="59" spans="1:29" s="508" customFormat="1" ht="15">
      <c r="A59" s="505" t="s">
        <v>2537</v>
      </c>
      <c r="B59" s="506"/>
      <c r="C59" s="1576" t="str">
        <f>YEAR(C7)&amp;"-"&amp;MONTH(C7)</f>
        <v>2018-5</v>
      </c>
      <c r="D59" s="1577">
        <f>EDATE(C59,-1)</f>
        <v>43191</v>
      </c>
      <c r="E59" s="1577">
        <f>EDATE(D59,-1)</f>
        <v>43160</v>
      </c>
      <c r="F59" s="1577">
        <f t="shared" ref="F59:O59" si="16">EDATE(E59,-1)</f>
        <v>43132</v>
      </c>
      <c r="G59" s="1577">
        <f t="shared" si="16"/>
        <v>43101</v>
      </c>
      <c r="H59" s="1577">
        <f t="shared" si="16"/>
        <v>43070</v>
      </c>
      <c r="I59" s="1577">
        <f t="shared" si="16"/>
        <v>43040</v>
      </c>
      <c r="J59" s="1577">
        <f t="shared" si="16"/>
        <v>43009</v>
      </c>
      <c r="K59" s="1577">
        <f t="shared" si="16"/>
        <v>42979</v>
      </c>
      <c r="L59" s="1577">
        <f t="shared" si="16"/>
        <v>42948</v>
      </c>
      <c r="M59" s="1577">
        <f t="shared" si="16"/>
        <v>42917</v>
      </c>
      <c r="N59" s="1577">
        <f t="shared" si="16"/>
        <v>42887</v>
      </c>
      <c r="O59" s="1577">
        <f t="shared" si="16"/>
        <v>42856</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2574</v>
      </c>
      <c r="B61" s="516"/>
      <c r="C61" s="517"/>
      <c r="D61" s="518"/>
      <c r="E61" s="518"/>
      <c r="F61" s="518"/>
      <c r="G61" s="518"/>
      <c r="H61" s="518"/>
      <c r="I61" s="518"/>
      <c r="J61" s="518"/>
      <c r="K61" s="518"/>
      <c r="L61" s="518"/>
      <c r="M61" s="519"/>
      <c r="N61" s="518"/>
      <c r="O61" s="519"/>
      <c r="P61" s="2684"/>
      <c r="Q61" s="504"/>
    </row>
    <row r="62" spans="1:29" s="117" customFormat="1" ht="15">
      <c r="A62" s="521" t="s">
        <v>2539</v>
      </c>
      <c r="B62" s="510"/>
      <c r="C62" s="522" t="s">
        <v>2641</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2577</v>
      </c>
      <c r="B64" s="528" t="s">
        <v>2543</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2546</v>
      </c>
      <c r="C66" s="539" t="s">
        <v>2578</v>
      </c>
      <c r="D66" s="539" t="s">
        <v>2579</v>
      </c>
      <c r="E66" s="539" t="s">
        <v>2580</v>
      </c>
      <c r="F66" s="539" t="s">
        <v>2581</v>
      </c>
      <c r="G66" s="539" t="s">
        <v>2582</v>
      </c>
      <c r="H66" s="539" t="s">
        <v>2583</v>
      </c>
      <c r="I66" s="539" t="s">
        <v>2584</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2547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2548</v>
      </c>
      <c r="B77" s="528" t="s">
        <v>2686</v>
      </c>
      <c r="C77" s="573" t="s">
        <v>2586</v>
      </c>
      <c r="D77" s="573" t="s">
        <v>2587</v>
      </c>
      <c r="E77" s="573" t="s">
        <v>2588</v>
      </c>
      <c r="F77" s="573" t="s">
        <v>2589</v>
      </c>
      <c r="G77" s="573" t="s">
        <v>2590</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2591</v>
      </c>
      <c r="C79" s="578" t="s">
        <v>2586</v>
      </c>
      <c r="D79" s="578" t="s">
        <v>2587</v>
      </c>
      <c r="E79" s="578" t="s">
        <v>2588</v>
      </c>
      <c r="F79" s="578" t="s">
        <v>2589</v>
      </c>
      <c r="G79" s="578" t="s">
        <v>2590</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2592</v>
      </c>
      <c r="C81" s="578" t="s">
        <v>2586</v>
      </c>
      <c r="D81" s="578" t="s">
        <v>2587</v>
      </c>
      <c r="E81" s="578" t="s">
        <v>2588</v>
      </c>
      <c r="F81" s="578" t="s">
        <v>2589</v>
      </c>
      <c r="G81" s="578" t="s">
        <v>2590</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2678</v>
      </c>
      <c r="C83" s="660" t="s">
        <v>2664</v>
      </c>
      <c r="D83" s="660" t="s">
        <v>2665</v>
      </c>
      <c r="E83" s="660" t="s">
        <v>2666</v>
      </c>
      <c r="F83" s="660" t="s">
        <v>2667</v>
      </c>
      <c r="G83" s="660" t="s">
        <v>2668</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2687</v>
      </c>
      <c r="C85" s="578" t="s">
        <v>2586</v>
      </c>
      <c r="D85" s="578" t="s">
        <v>2587</v>
      </c>
      <c r="E85" s="578" t="s">
        <v>2588</v>
      </c>
      <c r="F85" s="578" t="s">
        <v>2589</v>
      </c>
      <c r="G85" s="578" t="s">
        <v>2590</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2688</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2552</v>
      </c>
      <c r="B101" s="528" t="s">
        <v>2601</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2602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2603</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2605</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2689</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2606</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2607</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2690</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2673</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2609</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2610</v>
      </c>
      <c r="C125" s="578" t="s">
        <v>2586</v>
      </c>
      <c r="D125" s="578" t="s">
        <v>2587</v>
      </c>
      <c r="E125" s="578" t="s">
        <v>2588</v>
      </c>
      <c r="F125" s="578" t="s">
        <v>2589</v>
      </c>
      <c r="G125" s="578" t="s">
        <v>2590</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2517</v>
      </c>
      <c r="B1" s="2671" t="s">
        <v>2691</v>
      </c>
      <c r="C1" s="1622" t="s">
        <v>2519</v>
      </c>
      <c r="D1" s="1623"/>
      <c r="E1" s="1632"/>
      <c r="F1" s="2586"/>
      <c r="G1" s="1633" t="s">
        <v>2632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2316</v>
      </c>
      <c r="B2" s="1421" t="e">
        <f ca="1">IF(C2="——",ROUND(C43*D3/10000,0),ROUND(C43*D3/10000,0)-D2)</f>
        <v>#DIV/0!</v>
      </c>
      <c r="C2" s="2588"/>
      <c r="D2" s="1127" t="e">
        <f ca="1">SUMIF(INDIRECT("'"&amp;F2&amp;"'"&amp;"!A:A"),"承租人权益价值",INDIRECT("'"&amp;F2&amp;"'"&amp;"!c:c"))</f>
        <v>#REF!</v>
      </c>
      <c r="E2" s="2589" t="s">
        <v>2317</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2318</v>
      </c>
      <c r="B3" s="609" t="e">
        <f ca="1">IF(C2="——",C43,ROUND(B2*10000/D3,0))</f>
        <v>#DIV/0!</v>
      </c>
      <c r="C3" s="400" t="s">
        <v>2633</v>
      </c>
      <c r="D3" s="399">
        <f>IF(D1="",'数据-汇总表'!E3,SUMIF('数据-汇总表'!$C19:$C33,D1,'数据-汇总表'!$E19:$E33))</f>
        <v>210956.06</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56" t="s">
        <v>2637</v>
      </c>
      <c r="AC4" s="3155" t="s">
        <v>2638</v>
      </c>
    </row>
    <row r="5" spans="1:29" ht="15">
      <c r="A5" s="404"/>
      <c r="B5" s="405"/>
      <c r="C5" s="3228" t="s">
        <v>2531</v>
      </c>
      <c r="D5" s="3229"/>
      <c r="E5" s="3226" t="s">
        <v>2532</v>
      </c>
      <c r="F5" s="3227"/>
      <c r="G5" s="3228" t="s">
        <v>2533</v>
      </c>
      <c r="H5" s="3229"/>
      <c r="I5" s="3228" t="s">
        <v>2534</v>
      </c>
      <c r="J5" s="3229"/>
      <c r="K5" s="610"/>
      <c r="L5" s="1133"/>
      <c r="M5" s="1134"/>
      <c r="N5" s="1134"/>
      <c r="O5" s="1134"/>
      <c r="P5" s="3180"/>
      <c r="Q5" s="3181"/>
      <c r="R5" s="3162"/>
      <c r="S5" s="3163"/>
      <c r="T5" s="3162"/>
      <c r="U5" s="3163"/>
      <c r="V5" s="3186"/>
      <c r="W5" s="3186"/>
      <c r="X5" s="1815"/>
      <c r="Y5" s="3162"/>
      <c r="Z5" s="3163"/>
      <c r="AA5" s="3156"/>
      <c r="AB5" s="3156"/>
      <c r="AC5" s="3156"/>
    </row>
    <row r="6" spans="1:29" ht="15.75" thickBot="1">
      <c r="A6" s="406"/>
      <c r="B6" s="407"/>
      <c r="C6" s="3230" t="s">
        <v>2535</v>
      </c>
      <c r="D6" s="3231"/>
      <c r="E6" s="3232" t="s">
        <v>2535</v>
      </c>
      <c r="F6" s="3233"/>
      <c r="G6" s="3230" t="s">
        <v>2535</v>
      </c>
      <c r="H6" s="3231"/>
      <c r="I6" s="3230" t="s">
        <v>2535</v>
      </c>
      <c r="J6" s="3231"/>
      <c r="K6" s="610" t="s">
        <v>2536</v>
      </c>
      <c r="L6" s="1133"/>
      <c r="M6" s="1134"/>
      <c r="N6" s="1134"/>
      <c r="O6" s="1134"/>
      <c r="P6" s="3182"/>
      <c r="Q6" s="3183"/>
      <c r="R6" s="3162"/>
      <c r="S6" s="3163"/>
      <c r="T6" s="3184"/>
      <c r="U6" s="3185"/>
      <c r="V6" s="3186"/>
      <c r="W6" s="3186"/>
      <c r="X6" s="1815"/>
      <c r="Y6" s="3184"/>
      <c r="Z6" s="3185"/>
      <c r="AA6" s="3157"/>
      <c r="AB6" s="3157"/>
      <c r="AC6" s="3157"/>
    </row>
    <row r="7" spans="1:29" s="117" customFormat="1" ht="15.75" thickBot="1">
      <c r="A7" s="408" t="s">
        <v>2537</v>
      </c>
      <c r="B7" s="409"/>
      <c r="C7" s="410">
        <f>'数据-取费表'!B2</f>
        <v>43235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8" t="s">
        <v>2538</v>
      </c>
      <c r="Q7" s="3187"/>
      <c r="R7" s="770" t="s">
        <v>17</v>
      </c>
      <c r="S7" s="771">
        <f t="shared" ref="S7:S15" si="0">F7</f>
        <v>0</v>
      </c>
      <c r="T7" s="770" t="s">
        <v>17</v>
      </c>
      <c r="U7" s="771">
        <f t="shared" ref="U7:U15" si="1">H7</f>
        <v>0</v>
      </c>
      <c r="V7" s="770" t="s">
        <v>17</v>
      </c>
      <c r="W7" s="771">
        <f t="shared" ref="W7:W15" si="2">J7</f>
        <v>0</v>
      </c>
      <c r="X7" s="772"/>
      <c r="Y7" s="3158" t="s">
        <v>2538</v>
      </c>
      <c r="Z7" s="3159"/>
      <c r="AA7" s="773" t="e">
        <f>D7/F7</f>
        <v>#DIV/0!</v>
      </c>
      <c r="AB7" s="773" t="e">
        <f>D7/H7</f>
        <v>#DIV/0!</v>
      </c>
      <c r="AC7" s="773" t="e">
        <f>D7/J7</f>
        <v>#DIV/0!</v>
      </c>
    </row>
    <row r="8" spans="1:29" s="117" customFormat="1" ht="15.75" thickBot="1">
      <c r="A8" s="408" t="s">
        <v>2539</v>
      </c>
      <c r="B8" s="409"/>
      <c r="C8" s="414" t="s">
        <v>2540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8" t="s">
        <v>2541</v>
      </c>
      <c r="Q8" s="3159"/>
      <c r="R8" s="770" t="s">
        <v>17</v>
      </c>
      <c r="S8" s="771">
        <f t="shared" si="0"/>
        <v>0</v>
      </c>
      <c r="T8" s="770" t="s">
        <v>17</v>
      </c>
      <c r="U8" s="771">
        <f t="shared" si="1"/>
        <v>0</v>
      </c>
      <c r="V8" s="770" t="s">
        <v>17</v>
      </c>
      <c r="W8" s="771">
        <f t="shared" si="2"/>
        <v>0</v>
      </c>
      <c r="X8" s="772"/>
      <c r="Y8" s="3158" t="s">
        <v>2541</v>
      </c>
      <c r="Z8" s="3159"/>
      <c r="AA8" s="773" t="e">
        <f t="shared" ref="AA8:AA40" si="3">D8/F8</f>
        <v>#DIV/0!</v>
      </c>
      <c r="AB8" s="773" t="e">
        <f t="shared" ref="AB8:AB40" si="4">D8/H8</f>
        <v>#DIV/0!</v>
      </c>
      <c r="AC8" s="773" t="e">
        <f t="shared" ref="AC8:AC40" si="5">D8/J8</f>
        <v>#DIV/0!</v>
      </c>
    </row>
    <row r="9" spans="1:29" s="117" customFormat="1">
      <c r="A9" s="415" t="s">
        <v>2542</v>
      </c>
      <c r="B9" s="71" t="s">
        <v>2543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3" t="s">
        <v>2544</v>
      </c>
      <c r="Q9" s="1797" t="str">
        <f t="shared" ref="Q9:Q15" si="6">B9</f>
        <v>用途</v>
      </c>
      <c r="R9" s="770" t="s">
        <v>17</v>
      </c>
      <c r="S9" s="771">
        <f t="shared" si="0"/>
        <v>100</v>
      </c>
      <c r="T9" s="770" t="s">
        <v>17</v>
      </c>
      <c r="U9" s="771">
        <f t="shared" si="1"/>
        <v>100</v>
      </c>
      <c r="V9" s="770" t="s">
        <v>17</v>
      </c>
      <c r="W9" s="771">
        <f t="shared" si="2"/>
        <v>100</v>
      </c>
      <c r="X9" s="772"/>
      <c r="Y9" s="3032"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3"/>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2547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3"/>
      <c r="Q11" s="1797"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173"/>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173"/>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173"/>
      <c r="Q14" s="1797">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15">
      <c r="A15" s="440" t="s">
        <v>2548</v>
      </c>
      <c r="B15" s="69" t="s">
        <v>2692</v>
      </c>
      <c r="C15" s="2695">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8" t="s">
        <v>2549</v>
      </c>
      <c r="Q15" s="1812" t="str">
        <f t="shared" si="6"/>
        <v>产业集聚程度</v>
      </c>
      <c r="R15" s="774" t="s">
        <v>17</v>
      </c>
      <c r="S15" s="775">
        <f t="shared" si="0"/>
        <v>100</v>
      </c>
      <c r="T15" s="774" t="s">
        <v>17</v>
      </c>
      <c r="U15" s="775">
        <f t="shared" si="1"/>
        <v>100</v>
      </c>
      <c r="V15" s="774" t="s">
        <v>17</v>
      </c>
      <c r="W15" s="775">
        <f t="shared" si="2"/>
        <v>100</v>
      </c>
      <c r="X15" s="1815"/>
      <c r="Y15" s="3188" t="s">
        <v>2549</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89"/>
      <c r="Q16" s="1812"/>
      <c r="R16" s="774"/>
      <c r="S16" s="775"/>
      <c r="T16" s="774"/>
      <c r="U16" s="775"/>
      <c r="V16" s="774"/>
      <c r="W16" s="775"/>
      <c r="X16" s="1815"/>
      <c r="Y16" s="3189"/>
      <c r="Z16" s="1816"/>
      <c r="AA16" s="1813">
        <v>1</v>
      </c>
      <c r="AB16" s="1813">
        <v>1</v>
      </c>
      <c r="AC16" s="1813">
        <v>1</v>
      </c>
    </row>
    <row r="17" spans="1:29" ht="15">
      <c r="A17" s="428"/>
      <c r="B17" s="451" t="s">
        <v>2092</v>
      </c>
      <c r="C17" s="2609">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9"/>
      <c r="Q17" s="1812" t="str">
        <f>B17</f>
        <v>交通便捷度</v>
      </c>
      <c r="R17" s="774" t="s">
        <v>17</v>
      </c>
      <c r="S17" s="775">
        <f>F17</f>
        <v>100</v>
      </c>
      <c r="T17" s="774" t="s">
        <v>17</v>
      </c>
      <c r="U17" s="775">
        <f>H17</f>
        <v>100</v>
      </c>
      <c r="V17" s="774" t="s">
        <v>17</v>
      </c>
      <c r="W17" s="775">
        <f>J17</f>
        <v>100</v>
      </c>
      <c r="X17" s="1815"/>
      <c r="Y17" s="3189"/>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3"/>
      <c r="M18" s="1134"/>
      <c r="N18" s="1134"/>
      <c r="O18" s="1142"/>
      <c r="P18" s="3189"/>
      <c r="Q18" s="1812"/>
      <c r="R18" s="774"/>
      <c r="S18" s="775"/>
      <c r="T18" s="774"/>
      <c r="U18" s="775"/>
      <c r="V18" s="774"/>
      <c r="W18" s="775"/>
      <c r="X18" s="1815"/>
      <c r="Y18" s="3189"/>
      <c r="Z18" s="1816"/>
      <c r="AA18" s="1813">
        <v>1</v>
      </c>
      <c r="AB18" s="1813">
        <v>1</v>
      </c>
      <c r="AC18" s="1813">
        <v>1</v>
      </c>
    </row>
    <row r="19" spans="1:29" ht="15">
      <c r="A19" s="428"/>
      <c r="B19" s="451" t="s">
        <v>2677</v>
      </c>
      <c r="C19" s="2609">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9"/>
      <c r="Q19" s="1812" t="str">
        <f>B19</f>
        <v>公共配套设施</v>
      </c>
      <c r="R19" s="774" t="s">
        <v>17</v>
      </c>
      <c r="S19" s="775">
        <f>F19</f>
        <v>100</v>
      </c>
      <c r="T19" s="774" t="s">
        <v>17</v>
      </c>
      <c r="U19" s="775">
        <f>H19</f>
        <v>100</v>
      </c>
      <c r="V19" s="774" t="s">
        <v>17</v>
      </c>
      <c r="W19" s="775">
        <f>J19</f>
        <v>100</v>
      </c>
      <c r="X19" s="1815"/>
      <c r="Y19" s="3189"/>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3"/>
      <c r="M20" s="1134"/>
      <c r="N20" s="1134"/>
      <c r="O20" s="1142"/>
      <c r="P20" s="3189"/>
      <c r="Q20" s="1812"/>
      <c r="R20" s="774"/>
      <c r="S20" s="775"/>
      <c r="T20" s="774"/>
      <c r="U20" s="775"/>
      <c r="V20" s="774"/>
      <c r="W20" s="775"/>
      <c r="X20" s="1815"/>
      <c r="Y20" s="3189"/>
      <c r="Z20" s="1816"/>
      <c r="AA20" s="1813">
        <v>1</v>
      </c>
      <c r="AB20" s="1813">
        <v>1</v>
      </c>
      <c r="AC20" s="1813">
        <v>1</v>
      </c>
    </row>
    <row r="21" spans="1:29" ht="15">
      <c r="A21" s="428"/>
      <c r="B21" s="1387" t="s">
        <v>2678</v>
      </c>
      <c r="C21" s="2609">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9"/>
      <c r="Q21" s="1812" t="str">
        <f>B21</f>
        <v>基础设施水平</v>
      </c>
      <c r="R21" s="774" t="s">
        <v>17</v>
      </c>
      <c r="S21" s="775">
        <f>F21</f>
        <v>100</v>
      </c>
      <c r="T21" s="774" t="s">
        <v>17</v>
      </c>
      <c r="U21" s="775">
        <f>H21</f>
        <v>100</v>
      </c>
      <c r="V21" s="774" t="s">
        <v>17</v>
      </c>
      <c r="W21" s="775">
        <f>J21</f>
        <v>100</v>
      </c>
      <c r="X21" s="1815"/>
      <c r="Y21" s="3189"/>
      <c r="Z21" s="1816" t="str">
        <f>Q21</f>
        <v>基础设施水平</v>
      </c>
      <c r="AA21" s="1813">
        <f t="shared" ref="AA21" si="8">D21/F21</f>
        <v>1</v>
      </c>
      <c r="AB21" s="1813">
        <f t="shared" ref="AB21" si="9">D21/H21</f>
        <v>1</v>
      </c>
      <c r="AC21" s="1813">
        <f t="shared" ref="AC21" si="10">D21/J21</f>
        <v>1</v>
      </c>
    </row>
    <row r="22" spans="1:29" ht="15">
      <c r="A22" s="428"/>
      <c r="B22" s="1387"/>
      <c r="C22" s="2610"/>
      <c r="D22" s="448"/>
      <c r="E22" s="447"/>
      <c r="F22" s="449"/>
      <c r="G22" s="447"/>
      <c r="H22" s="448"/>
      <c r="I22" s="447"/>
      <c r="J22" s="448"/>
      <c r="K22" s="1386"/>
      <c r="L22" s="1143"/>
      <c r="M22" s="1134"/>
      <c r="N22" s="1134"/>
      <c r="O22" s="1142"/>
      <c r="P22" s="3189"/>
      <c r="Q22" s="1812"/>
      <c r="R22" s="774"/>
      <c r="S22" s="775"/>
      <c r="T22" s="774"/>
      <c r="U22" s="775"/>
      <c r="V22" s="774"/>
      <c r="W22" s="775"/>
      <c r="X22" s="1815"/>
      <c r="Y22" s="3189"/>
      <c r="Z22" s="1816"/>
      <c r="AA22" s="1813">
        <v>1</v>
      </c>
      <c r="AB22" s="1813">
        <v>1</v>
      </c>
      <c r="AC22" s="1813">
        <v>1</v>
      </c>
    </row>
    <row r="23" spans="1:29" ht="15">
      <c r="A23" s="428"/>
      <c r="B23" s="451" t="s">
        <v>2679</v>
      </c>
      <c r="C23" s="2609">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9"/>
      <c r="Q23" s="1812" t="str">
        <f>B23</f>
        <v>环境质量</v>
      </c>
      <c r="R23" s="774" t="s">
        <v>17</v>
      </c>
      <c r="S23" s="775">
        <f>F23</f>
        <v>100</v>
      </c>
      <c r="T23" s="774" t="s">
        <v>17</v>
      </c>
      <c r="U23" s="775">
        <f>H23</f>
        <v>100</v>
      </c>
      <c r="V23" s="774" t="s">
        <v>17</v>
      </c>
      <c r="W23" s="775">
        <f>J23</f>
        <v>100</v>
      </c>
      <c r="X23" s="1815"/>
      <c r="Y23" s="3189"/>
      <c r="Z23" s="1816" t="str">
        <f>Q23</f>
        <v>环境质量</v>
      </c>
      <c r="AA23" s="1813">
        <f t="shared" si="3"/>
        <v>1</v>
      </c>
      <c r="AB23" s="1813">
        <f t="shared" si="4"/>
        <v>1</v>
      </c>
      <c r="AC23" s="1813">
        <f t="shared" si="5"/>
        <v>1</v>
      </c>
    </row>
    <row r="24" spans="1:29" ht="15">
      <c r="A24" s="428"/>
      <c r="B24" s="1387"/>
      <c r="C24" s="447"/>
      <c r="D24" s="448"/>
      <c r="E24" s="2607"/>
      <c r="F24" s="449"/>
      <c r="G24" s="2606"/>
      <c r="H24" s="448"/>
      <c r="I24" s="2607"/>
      <c r="J24" s="448"/>
      <c r="K24" s="615"/>
      <c r="L24" s="1143"/>
      <c r="M24" s="1134"/>
      <c r="N24" s="1134"/>
      <c r="O24" s="1142"/>
      <c r="P24" s="3189"/>
      <c r="Q24" s="1812"/>
      <c r="R24" s="774"/>
      <c r="S24" s="775"/>
      <c r="T24" s="774"/>
      <c r="U24" s="775"/>
      <c r="V24" s="774"/>
      <c r="W24" s="775"/>
      <c r="X24" s="1815"/>
      <c r="Y24" s="3189"/>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9"/>
      <c r="Q25" s="1812">
        <f>B25</f>
        <v>111</v>
      </c>
      <c r="R25" s="774" t="s">
        <v>17</v>
      </c>
      <c r="S25" s="775">
        <f>F25</f>
        <v>100</v>
      </c>
      <c r="T25" s="774" t="s">
        <v>17</v>
      </c>
      <c r="U25" s="775">
        <f>H25</f>
        <v>100</v>
      </c>
      <c r="V25" s="774" t="s">
        <v>17</v>
      </c>
      <c r="W25" s="775">
        <f>J25</f>
        <v>100</v>
      </c>
      <c r="X25" s="1815"/>
      <c r="Y25" s="3189"/>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9"/>
      <c r="Q26" s="1812">
        <f t="shared" ref="Q26:Q40" si="11">B26</f>
        <v>111</v>
      </c>
      <c r="R26" s="774" t="s">
        <v>17</v>
      </c>
      <c r="S26" s="775">
        <f>F26</f>
        <v>100</v>
      </c>
      <c r="T26" s="774" t="s">
        <v>17</v>
      </c>
      <c r="U26" s="775">
        <f>H26</f>
        <v>100</v>
      </c>
      <c r="V26" s="774" t="s">
        <v>17</v>
      </c>
      <c r="W26" s="775">
        <f>J26</f>
        <v>100</v>
      </c>
      <c r="X26" s="1815"/>
      <c r="Y26" s="3189"/>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9"/>
      <c r="Q27" s="1797">
        <f t="shared" si="11"/>
        <v>111</v>
      </c>
      <c r="R27" s="770" t="s">
        <v>17</v>
      </c>
      <c r="S27" s="771">
        <f>F27</f>
        <v>100</v>
      </c>
      <c r="T27" s="770" t="s">
        <v>17</v>
      </c>
      <c r="U27" s="771">
        <f>H27</f>
        <v>100</v>
      </c>
      <c r="V27" s="770" t="s">
        <v>17</v>
      </c>
      <c r="W27" s="771">
        <f>J27</f>
        <v>100</v>
      </c>
      <c r="X27" s="772"/>
      <c r="Y27" s="3189"/>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9"/>
      <c r="Q28" s="1812">
        <f t="shared" si="11"/>
        <v>111</v>
      </c>
      <c r="R28" s="774" t="s">
        <v>17</v>
      </c>
      <c r="S28" s="775">
        <f t="shared" ref="S28:S40" si="12">F28</f>
        <v>100</v>
      </c>
      <c r="T28" s="774" t="s">
        <v>17</v>
      </c>
      <c r="U28" s="775">
        <f t="shared" ref="U28:U40" si="13">H28</f>
        <v>100</v>
      </c>
      <c r="V28" s="774" t="s">
        <v>17</v>
      </c>
      <c r="W28" s="775">
        <f t="shared" ref="W28:W40" si="14">J28</f>
        <v>100</v>
      </c>
      <c r="X28" s="1815"/>
      <c r="Y28" s="3189"/>
      <c r="Z28" s="1816">
        <f t="shared" ref="Z28:Z40" si="15">Q28</f>
        <v>111</v>
      </c>
      <c r="AA28" s="1813">
        <f t="shared" si="3"/>
        <v>1</v>
      </c>
      <c r="AB28" s="1813">
        <f t="shared" si="4"/>
        <v>1</v>
      </c>
      <c r="AC28" s="1813">
        <f t="shared" si="5"/>
        <v>1</v>
      </c>
    </row>
    <row r="29" spans="1:29" ht="15">
      <c r="A29" s="466" t="s">
        <v>2552</v>
      </c>
      <c r="B29" s="71" t="s">
        <v>2682</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190" t="s">
        <v>2554</v>
      </c>
      <c r="Q29" s="1812" t="str">
        <f t="shared" si="11"/>
        <v>建筑类型</v>
      </c>
      <c r="R29" s="774" t="s">
        <v>17</v>
      </c>
      <c r="S29" s="775">
        <f t="shared" si="12"/>
        <v>100</v>
      </c>
      <c r="T29" s="774" t="s">
        <v>17</v>
      </c>
      <c r="U29" s="775">
        <f t="shared" si="13"/>
        <v>100</v>
      </c>
      <c r="V29" s="774" t="s">
        <v>17</v>
      </c>
      <c r="W29" s="775">
        <f t="shared" si="14"/>
        <v>100</v>
      </c>
      <c r="X29" s="1815"/>
      <c r="Y29" s="3191" t="s">
        <v>2554</v>
      </c>
      <c r="Z29" s="1816" t="str">
        <f t="shared" si="15"/>
        <v>建筑类型</v>
      </c>
      <c r="AA29" s="1813">
        <f t="shared" si="3"/>
        <v>1</v>
      </c>
      <c r="AB29" s="1813">
        <f t="shared" si="4"/>
        <v>1</v>
      </c>
      <c r="AC29" s="1813">
        <f t="shared" si="5"/>
        <v>1</v>
      </c>
    </row>
    <row r="30" spans="1:29" s="471" customFormat="1" ht="15">
      <c r="A30" s="468"/>
      <c r="B30" s="422" t="s">
        <v>2555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1"/>
      <c r="Q30" s="776" t="str">
        <f t="shared" si="11"/>
        <v>项目建筑规模</v>
      </c>
      <c r="R30" s="777" t="s">
        <v>17</v>
      </c>
      <c r="S30" s="778" t="e">
        <f t="shared" si="12"/>
        <v>#N/A</v>
      </c>
      <c r="T30" s="777" t="s">
        <v>17</v>
      </c>
      <c r="U30" s="778" t="e">
        <f t="shared" si="13"/>
        <v>#N/A</v>
      </c>
      <c r="V30" s="777" t="s">
        <v>17</v>
      </c>
      <c r="W30" s="778" t="e">
        <f t="shared" si="14"/>
        <v>#N/A</v>
      </c>
      <c r="X30" s="779"/>
      <c r="Y30" s="3191"/>
      <c r="Z30" s="780" t="str">
        <f t="shared" si="15"/>
        <v>项目建筑规模</v>
      </c>
      <c r="AA30" s="1813" t="e">
        <f t="shared" si="3"/>
        <v>#N/A</v>
      </c>
      <c r="AB30" s="1813" t="e">
        <f t="shared" si="4"/>
        <v>#N/A</v>
      </c>
      <c r="AC30" s="1813" t="e">
        <f t="shared" si="5"/>
        <v>#N/A</v>
      </c>
    </row>
    <row r="31" spans="1:29" ht="15">
      <c r="A31" s="472"/>
      <c r="B31" s="422" t="s">
        <v>2556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1"/>
      <c r="Q31" s="1812" t="str">
        <f t="shared" si="11"/>
        <v>建筑结构</v>
      </c>
      <c r="R31" s="774" t="s">
        <v>17</v>
      </c>
      <c r="S31" s="775">
        <f t="shared" si="12"/>
        <v>100</v>
      </c>
      <c r="T31" s="774" t="s">
        <v>17</v>
      </c>
      <c r="U31" s="775">
        <f t="shared" si="13"/>
        <v>100</v>
      </c>
      <c r="V31" s="774" t="s">
        <v>17</v>
      </c>
      <c r="W31" s="775">
        <f t="shared" si="14"/>
        <v>100</v>
      </c>
      <c r="X31" s="1815"/>
      <c r="Y31" s="3191"/>
      <c r="Z31" s="1816" t="str">
        <f t="shared" si="15"/>
        <v>建筑结构</v>
      </c>
      <c r="AA31" s="1813">
        <f t="shared" si="3"/>
        <v>1</v>
      </c>
      <c r="AB31" s="1813">
        <f t="shared" si="4"/>
        <v>1</v>
      </c>
      <c r="AC31" s="1813">
        <f t="shared" si="5"/>
        <v>1</v>
      </c>
    </row>
    <row r="32" spans="1:29" ht="15">
      <c r="A32" s="472"/>
      <c r="B32" s="422" t="s">
        <v>2650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1"/>
      <c r="Q32" s="1812" t="str">
        <f t="shared" si="11"/>
        <v>公共部分装修</v>
      </c>
      <c r="R32" s="774" t="s">
        <v>17</v>
      </c>
      <c r="S32" s="775">
        <f t="shared" si="12"/>
        <v>100</v>
      </c>
      <c r="T32" s="774" t="s">
        <v>17</v>
      </c>
      <c r="U32" s="775">
        <f t="shared" si="13"/>
        <v>100</v>
      </c>
      <c r="V32" s="774" t="s">
        <v>17</v>
      </c>
      <c r="W32" s="775">
        <f t="shared" si="14"/>
        <v>100</v>
      </c>
      <c r="X32" s="1815"/>
      <c r="Y32" s="3191"/>
      <c r="Z32" s="1816" t="str">
        <f t="shared" si="15"/>
        <v>公共部分装修</v>
      </c>
      <c r="AA32" s="1813">
        <f t="shared" si="3"/>
        <v>1</v>
      </c>
      <c r="AB32" s="1813">
        <f t="shared" si="4"/>
        <v>1</v>
      </c>
      <c r="AC32" s="1813">
        <f t="shared" si="5"/>
        <v>1</v>
      </c>
    </row>
    <row r="33" spans="1:29" ht="15">
      <c r="A33" s="472"/>
      <c r="B33" s="422" t="s">
        <v>2651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1"/>
      <c r="Q33" s="1812" t="str">
        <f t="shared" si="11"/>
        <v>成新度</v>
      </c>
      <c r="R33" s="774" t="s">
        <v>17</v>
      </c>
      <c r="S33" s="775" t="e">
        <f t="shared" si="12"/>
        <v>#N/A</v>
      </c>
      <c r="T33" s="774" t="s">
        <v>17</v>
      </c>
      <c r="U33" s="775" t="e">
        <f t="shared" si="13"/>
        <v>#N/A</v>
      </c>
      <c r="V33" s="774" t="s">
        <v>17</v>
      </c>
      <c r="W33" s="775" t="e">
        <f t="shared" si="14"/>
        <v>#N/A</v>
      </c>
      <c r="X33" s="1815"/>
      <c r="Y33" s="3191"/>
      <c r="Z33" s="1816" t="str">
        <f t="shared" si="15"/>
        <v>成新度</v>
      </c>
      <c r="AA33" s="1813" t="e">
        <f t="shared" si="3"/>
        <v>#N/A</v>
      </c>
      <c r="AB33" s="1813" t="e">
        <f t="shared" si="4"/>
        <v>#N/A</v>
      </c>
      <c r="AC33" s="1813" t="e">
        <f t="shared" si="5"/>
        <v>#N/A</v>
      </c>
    </row>
    <row r="34" spans="1:29" s="117" customFormat="1" ht="15">
      <c r="A34" s="473"/>
      <c r="B34" s="422" t="s">
        <v>2684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1"/>
      <c r="Q34" s="1797" t="str">
        <f t="shared" si="11"/>
        <v>物业管理</v>
      </c>
      <c r="R34" s="770" t="s">
        <v>17</v>
      </c>
      <c r="S34" s="771">
        <f t="shared" si="12"/>
        <v>100</v>
      </c>
      <c r="T34" s="770" t="s">
        <v>17</v>
      </c>
      <c r="U34" s="771">
        <f t="shared" si="13"/>
        <v>100</v>
      </c>
      <c r="V34" s="770" t="s">
        <v>17</v>
      </c>
      <c r="W34" s="771">
        <f t="shared" si="14"/>
        <v>100</v>
      </c>
      <c r="X34" s="772"/>
      <c r="Y34" s="3191"/>
      <c r="Z34" s="55" t="str">
        <f t="shared" si="15"/>
        <v>物业管理</v>
      </c>
      <c r="AA34" s="773">
        <f t="shared" si="3"/>
        <v>1</v>
      </c>
      <c r="AB34" s="773">
        <f t="shared" si="4"/>
        <v>1</v>
      </c>
      <c r="AC34" s="773">
        <f t="shared" si="5"/>
        <v>1</v>
      </c>
    </row>
    <row r="35" spans="1:29" ht="15">
      <c r="A35" s="472"/>
      <c r="B35" s="422" t="s">
        <v>2652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1" t="s">
        <v>2554</v>
      </c>
      <c r="Q35" s="1812" t="str">
        <f t="shared" si="11"/>
        <v>市政基础设施</v>
      </c>
      <c r="R35" s="774" t="s">
        <v>17</v>
      </c>
      <c r="S35" s="775">
        <f t="shared" si="12"/>
        <v>100</v>
      </c>
      <c r="T35" s="774" t="s">
        <v>17</v>
      </c>
      <c r="U35" s="775">
        <f t="shared" si="13"/>
        <v>100</v>
      </c>
      <c r="V35" s="774" t="s">
        <v>17</v>
      </c>
      <c r="W35" s="775">
        <f t="shared" si="14"/>
        <v>100</v>
      </c>
      <c r="X35" s="1815"/>
      <c r="Y35" s="3191" t="s">
        <v>2554</v>
      </c>
      <c r="Z35" s="1816" t="str">
        <f t="shared" si="15"/>
        <v>市政基础设施</v>
      </c>
      <c r="AA35" s="1813">
        <f t="shared" si="3"/>
        <v>1</v>
      </c>
      <c r="AB35" s="1813">
        <f t="shared" si="4"/>
        <v>1</v>
      </c>
      <c r="AC35" s="1813">
        <f t="shared" si="5"/>
        <v>1</v>
      </c>
    </row>
    <row r="36" spans="1:29" ht="15">
      <c r="A36" s="472"/>
      <c r="B36" s="422" t="s">
        <v>2657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1"/>
      <c r="Q36" s="1812" t="str">
        <f t="shared" si="11"/>
        <v>内部装修</v>
      </c>
      <c r="R36" s="774" t="s">
        <v>17</v>
      </c>
      <c r="S36" s="775">
        <f t="shared" si="12"/>
        <v>100</v>
      </c>
      <c r="T36" s="774" t="s">
        <v>17</v>
      </c>
      <c r="U36" s="775">
        <f t="shared" si="13"/>
        <v>100</v>
      </c>
      <c r="V36" s="774" t="s">
        <v>17</v>
      </c>
      <c r="W36" s="775">
        <f t="shared" si="14"/>
        <v>100</v>
      </c>
      <c r="X36" s="1815"/>
      <c r="Y36" s="3191"/>
      <c r="Z36" s="1816" t="str">
        <f t="shared" si="15"/>
        <v>内部装修</v>
      </c>
      <c r="AA36" s="1813">
        <f t="shared" si="3"/>
        <v>1</v>
      </c>
      <c r="AB36" s="1813">
        <f t="shared" si="4"/>
        <v>1</v>
      </c>
      <c r="AC36" s="1813">
        <f t="shared" si="5"/>
        <v>1</v>
      </c>
    </row>
    <row r="37" spans="1:29" ht="15">
      <c r="A37" s="472"/>
      <c r="B37" s="422" t="s">
        <v>2693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1"/>
      <c r="Q37" s="1812" t="str">
        <f t="shared" si="11"/>
        <v>内部装修状况</v>
      </c>
      <c r="R37" s="774" t="s">
        <v>17</v>
      </c>
      <c r="S37" s="775">
        <f t="shared" si="12"/>
        <v>100</v>
      </c>
      <c r="T37" s="774" t="s">
        <v>17</v>
      </c>
      <c r="U37" s="775">
        <f t="shared" si="13"/>
        <v>100</v>
      </c>
      <c r="V37" s="774" t="s">
        <v>17</v>
      </c>
      <c r="W37" s="775">
        <f t="shared" si="14"/>
        <v>100</v>
      </c>
      <c r="X37" s="1815"/>
      <c r="Y37" s="3191"/>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1"/>
      <c r="Q38" s="776">
        <f t="shared" si="11"/>
        <v>111</v>
      </c>
      <c r="R38" s="777" t="s">
        <v>17</v>
      </c>
      <c r="S38" s="778">
        <f t="shared" si="12"/>
        <v>100</v>
      </c>
      <c r="T38" s="777" t="s">
        <v>17</v>
      </c>
      <c r="U38" s="778">
        <f t="shared" si="13"/>
        <v>100</v>
      </c>
      <c r="V38" s="777" t="s">
        <v>17</v>
      </c>
      <c r="W38" s="778">
        <f t="shared" si="14"/>
        <v>100</v>
      </c>
      <c r="X38" s="779"/>
      <c r="Y38" s="3191"/>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1"/>
      <c r="Q39" s="1812">
        <f t="shared" si="11"/>
        <v>111</v>
      </c>
      <c r="R39" s="774" t="s">
        <v>17</v>
      </c>
      <c r="S39" s="775">
        <f t="shared" si="12"/>
        <v>100</v>
      </c>
      <c r="T39" s="774" t="s">
        <v>17</v>
      </c>
      <c r="U39" s="775">
        <f t="shared" si="13"/>
        <v>100</v>
      </c>
      <c r="V39" s="774" t="s">
        <v>17</v>
      </c>
      <c r="W39" s="775">
        <f t="shared" si="14"/>
        <v>100</v>
      </c>
      <c r="X39" s="1815"/>
      <c r="Y39" s="3191"/>
      <c r="Z39" s="1816">
        <f t="shared" si="15"/>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9"/>
      <c r="Q40" s="1812">
        <f t="shared" si="11"/>
        <v>111</v>
      </c>
      <c r="R40" s="774" t="s">
        <v>17</v>
      </c>
      <c r="S40" s="775">
        <f t="shared" si="12"/>
        <v>100</v>
      </c>
      <c r="T40" s="774" t="s">
        <v>17</v>
      </c>
      <c r="U40" s="775">
        <f t="shared" si="13"/>
        <v>100</v>
      </c>
      <c r="V40" s="774" t="s">
        <v>17</v>
      </c>
      <c r="W40" s="775">
        <f t="shared" si="14"/>
        <v>100</v>
      </c>
      <c r="X40" s="1815"/>
      <c r="Y40" s="3239"/>
      <c r="Z40" s="1816">
        <f t="shared" si="15"/>
        <v>111</v>
      </c>
      <c r="AA40" s="1813">
        <f t="shared" si="3"/>
        <v>1</v>
      </c>
      <c r="AB40" s="1813">
        <f t="shared" si="4"/>
        <v>1</v>
      </c>
      <c r="AC40" s="1813">
        <f t="shared" si="5"/>
        <v>1</v>
      </c>
    </row>
    <row r="41" spans="1:29" ht="15">
      <c r="A41" s="479" t="s">
        <v>2566</v>
      </c>
      <c r="B41" s="480"/>
      <c r="C41" s="1410" t="s">
        <v>1</v>
      </c>
      <c r="D41" s="1411"/>
      <c r="E41" s="1412"/>
      <c r="F41" s="1413"/>
      <c r="G41" s="1414"/>
      <c r="H41" s="1415"/>
      <c r="I41" s="1412"/>
      <c r="J41" s="1415"/>
      <c r="K41" s="783"/>
      <c r="L41" s="1146"/>
      <c r="M41" s="1147"/>
      <c r="N41" s="1134"/>
      <c r="O41" s="1147"/>
      <c r="P41" s="3173" t="str">
        <f>A41</f>
        <v>成交单价（元/平方米）</v>
      </c>
      <c r="Q41" s="3173"/>
      <c r="R41" s="3235">
        <f>E41</f>
        <v>0</v>
      </c>
      <c r="S41" s="3235"/>
      <c r="T41" s="3235">
        <f>G41</f>
        <v>0</v>
      </c>
      <c r="U41" s="3235"/>
      <c r="V41" s="3235">
        <f>I41</f>
        <v>0</v>
      </c>
      <c r="W41" s="3235"/>
      <c r="X41" s="759"/>
      <c r="Y41" s="781"/>
      <c r="Z41" s="759"/>
      <c r="AA41" s="759"/>
      <c r="AB41" s="759"/>
      <c r="AC41" s="759"/>
    </row>
    <row r="42" spans="1:29" ht="15.75" thickBot="1">
      <c r="A42" s="486" t="s">
        <v>2658</v>
      </c>
      <c r="B42" s="487"/>
      <c r="C42" s="1416" t="e">
        <f>R43</f>
        <v>#DIV/0!</v>
      </c>
      <c r="D42" s="1417"/>
      <c r="E42" s="1418" t="e">
        <f>R42</f>
        <v>#DIV/0!</v>
      </c>
      <c r="F42" s="1418"/>
      <c r="G42" s="1416" t="e">
        <f>T42</f>
        <v>#DIV/0!</v>
      </c>
      <c r="H42" s="1417"/>
      <c r="I42" s="1418" t="e">
        <f>V42</f>
        <v>#DIV/0!</v>
      </c>
      <c r="J42" s="1417"/>
      <c r="K42" s="784"/>
      <c r="L42" s="1146"/>
      <c r="M42" s="1147"/>
      <c r="N42" s="1134"/>
      <c r="O42" s="1147"/>
      <c r="P42" s="3173" t="str">
        <f>A42</f>
        <v>比较价值（元/平方米）</v>
      </c>
      <c r="Q42" s="3173"/>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2659</v>
      </c>
      <c r="B43" s="493"/>
      <c r="C43" s="1420" t="e">
        <f>R43</f>
        <v>#DIV/0!</v>
      </c>
      <c r="D43" s="1420"/>
      <c r="E43" s="1420"/>
      <c r="F43" s="1420"/>
      <c r="G43" s="1420"/>
      <c r="H43" s="1420"/>
      <c r="I43" s="1420"/>
      <c r="J43" s="1420"/>
      <c r="K43" s="785"/>
      <c r="L43" s="1146"/>
      <c r="M43" s="1147"/>
      <c r="N43" s="1147"/>
      <c r="O43" s="1147"/>
      <c r="P43" s="3193" t="str">
        <f>A43</f>
        <v>估价对象XX用房的比较价值（楼面单价，元/平方米）</v>
      </c>
      <c r="Q43" s="3194"/>
      <c r="R43" s="3234" t="e">
        <f>IF(F1="售价",ROUND(AVERAGE(R42:V42),0),ROUND(AVERAGE(R42:V42),1))</f>
        <v>#DIV/0!</v>
      </c>
      <c r="S43" s="3234"/>
      <c r="T43" s="3234"/>
      <c r="U43" s="3234"/>
      <c r="V43" s="3234"/>
      <c r="W43" s="3234"/>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2663</v>
      </c>
      <c r="B51" s="759"/>
      <c r="C51" s="764"/>
      <c r="D51" s="764"/>
      <c r="E51" s="764"/>
      <c r="F51" s="765"/>
      <c r="G51" s="765"/>
      <c r="H51" s="764"/>
      <c r="I51" s="764"/>
      <c r="J51" s="764"/>
      <c r="K51" s="1163"/>
      <c r="L51" s="1164"/>
      <c r="M51" s="1162"/>
      <c r="N51" s="1162"/>
      <c r="O51" s="1162"/>
      <c r="P51" s="503"/>
      <c r="Q51" s="504"/>
    </row>
    <row r="52" spans="1:17" s="508" customFormat="1" ht="15">
      <c r="A52" s="505" t="s">
        <v>2537</v>
      </c>
      <c r="B52" s="506"/>
      <c r="C52" s="1576" t="str">
        <f>YEAR(C7)&amp;"-"&amp;MONTH(C7)</f>
        <v>2018-5</v>
      </c>
      <c r="D52" s="1577">
        <f>EDATE(C52,-1)</f>
        <v>43191</v>
      </c>
      <c r="E52" s="1577">
        <f t="shared" ref="E52:O52" si="16">EDATE(D52,-1)</f>
        <v>43160</v>
      </c>
      <c r="F52" s="1577">
        <f t="shared" si="16"/>
        <v>43132</v>
      </c>
      <c r="G52" s="1577">
        <f t="shared" si="16"/>
        <v>43101</v>
      </c>
      <c r="H52" s="1577">
        <f t="shared" si="16"/>
        <v>43070</v>
      </c>
      <c r="I52" s="1577">
        <f t="shared" si="16"/>
        <v>43040</v>
      </c>
      <c r="J52" s="1577">
        <f t="shared" si="16"/>
        <v>43009</v>
      </c>
      <c r="K52" s="1577">
        <f t="shared" si="16"/>
        <v>42979</v>
      </c>
      <c r="L52" s="1577">
        <f t="shared" si="16"/>
        <v>42948</v>
      </c>
      <c r="M52" s="1577">
        <f t="shared" si="16"/>
        <v>42917</v>
      </c>
      <c r="N52" s="1577">
        <f t="shared" si="16"/>
        <v>42887</v>
      </c>
      <c r="O52" s="1577">
        <f t="shared" si="16"/>
        <v>42856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2574</v>
      </c>
      <c r="B54" s="516"/>
      <c r="C54" s="517"/>
      <c r="D54" s="518"/>
      <c r="E54" s="518"/>
      <c r="F54" s="518"/>
      <c r="G54" s="518"/>
      <c r="H54" s="518"/>
      <c r="I54" s="518"/>
      <c r="J54" s="518"/>
      <c r="K54" s="518"/>
      <c r="L54" s="518"/>
      <c r="M54" s="519"/>
      <c r="N54" s="518"/>
      <c r="O54" s="520"/>
      <c r="P54" s="504"/>
      <c r="Q54" s="504"/>
    </row>
    <row r="55" spans="1:17" s="117" customFormat="1" ht="15">
      <c r="A55" s="521" t="s">
        <v>2539</v>
      </c>
      <c r="B55" s="510"/>
      <c r="C55" s="522" t="s">
        <v>2641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2577</v>
      </c>
      <c r="B57" s="528" t="s">
        <v>2543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2546</v>
      </c>
      <c r="C59" s="539" t="s">
        <v>2578</v>
      </c>
      <c r="D59" s="539" t="s">
        <v>2579</v>
      </c>
      <c r="E59" s="539" t="s">
        <v>2580</v>
      </c>
      <c r="F59" s="539" t="s">
        <v>2581</v>
      </c>
      <c r="G59" s="539" t="s">
        <v>2582</v>
      </c>
      <c r="H59" s="539" t="s">
        <v>2583</v>
      </c>
      <c r="I59" s="539" t="s">
        <v>2584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2548</v>
      </c>
      <c r="B70" s="528" t="s">
        <v>2694</v>
      </c>
      <c r="C70" s="573" t="s">
        <v>2586</v>
      </c>
      <c r="D70" s="573" t="s">
        <v>2587</v>
      </c>
      <c r="E70" s="573" t="s">
        <v>2588</v>
      </c>
      <c r="F70" s="573" t="s">
        <v>2589</v>
      </c>
      <c r="G70" s="573" t="s">
        <v>2590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2591</v>
      </c>
      <c r="C72" s="578" t="s">
        <v>2586</v>
      </c>
      <c r="D72" s="578" t="s">
        <v>2587</v>
      </c>
      <c r="E72" s="578" t="s">
        <v>2588</v>
      </c>
      <c r="F72" s="578" t="s">
        <v>2589</v>
      </c>
      <c r="G72" s="578" t="s">
        <v>2590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2592</v>
      </c>
      <c r="C74" s="578" t="s">
        <v>2586</v>
      </c>
      <c r="D74" s="578" t="s">
        <v>2587</v>
      </c>
      <c r="E74" s="578" t="s">
        <v>2588</v>
      </c>
      <c r="F74" s="578" t="s">
        <v>2589</v>
      </c>
      <c r="G74" s="578" t="s">
        <v>2590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2678</v>
      </c>
      <c r="C76" s="660" t="s">
        <v>2664</v>
      </c>
      <c r="D76" s="660" t="s">
        <v>2665</v>
      </c>
      <c r="E76" s="660" t="s">
        <v>2666</v>
      </c>
      <c r="F76" s="660" t="s">
        <v>2667</v>
      </c>
      <c r="G76" s="660" t="s">
        <v>2668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2687</v>
      </c>
      <c r="C78" s="578" t="s">
        <v>2586</v>
      </c>
      <c r="D78" s="578" t="s">
        <v>2587</v>
      </c>
      <c r="E78" s="578" t="s">
        <v>2588</v>
      </c>
      <c r="F78" s="578" t="s">
        <v>2589</v>
      </c>
      <c r="G78" s="578" t="s">
        <v>2590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2552</v>
      </c>
      <c r="B88" s="528" t="s">
        <v>2601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2609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2695</v>
      </c>
      <c r="C106" s="578" t="s">
        <v>2586</v>
      </c>
      <c r="D106" s="578" t="s">
        <v>2587</v>
      </c>
      <c r="E106" s="578" t="s">
        <v>2588</v>
      </c>
      <c r="F106" s="578" t="s">
        <v>2589</v>
      </c>
      <c r="G106" s="578" t="s">
        <v>2590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2696</v>
      </c>
      <c r="B1" s="1621"/>
      <c r="C1" s="1622" t="s">
        <v>2519</v>
      </c>
      <c r="D1" s="1623"/>
      <c r="E1" s="1624"/>
      <c r="F1" s="2586"/>
      <c r="G1" s="1625" t="s">
        <v>2632</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2316</v>
      </c>
      <c r="B2" s="1421" t="e">
        <f ca="1">IF(C2="——",IF(B37="元/平方米",ROUND(C39*D3/10000,0),ROUND(F3*C39/10000,0)),IF(B37="元/平方米",ROUND(C39*D3/10000,0),ROUND(F3*C39/10000,0))-D2)</f>
        <v>#DIV/0!</v>
      </c>
      <c r="C2" s="2588"/>
      <c r="D2" s="1127" t="e">
        <f ca="1">SUMIF(INDIRECT("'"&amp;F2&amp;"'"&amp;"!A:A"),"承租人权益价值",INDIRECT("'"&amp;F2&amp;"'"&amp;"!c:c"))</f>
        <v>#REF!</v>
      </c>
      <c r="E2" s="2589" t="s">
        <v>2317</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2318</v>
      </c>
      <c r="B3" s="609" t="e">
        <f ca="1">IF(AND(C2="——",B37="元/平方米"),C39,ROUND(B2*10000/D3,0))</f>
        <v>#DIV/0!</v>
      </c>
      <c r="C3" s="400" t="s">
        <v>2633</v>
      </c>
      <c r="D3" s="399">
        <f>SUMIF('数据-汇总表'!$C19:$C33,D1,'数据-汇总表'!$E19:$E33)</f>
        <v>0</v>
      </c>
      <c r="E3" s="400" t="s">
        <v>2697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56" t="s">
        <v>2637</v>
      </c>
      <c r="AC4" s="3155" t="s">
        <v>2638</v>
      </c>
    </row>
    <row r="5" spans="1:29" ht="15">
      <c r="A5" s="404"/>
      <c r="B5" s="405"/>
      <c r="C5" s="3228" t="s">
        <v>2531</v>
      </c>
      <c r="D5" s="3229"/>
      <c r="E5" s="3226" t="s">
        <v>2532</v>
      </c>
      <c r="F5" s="3227"/>
      <c r="G5" s="3228" t="s">
        <v>2533</v>
      </c>
      <c r="H5" s="3229"/>
      <c r="I5" s="3228" t="s">
        <v>2534</v>
      </c>
      <c r="J5" s="3229"/>
      <c r="K5" s="610"/>
      <c r="L5" s="1133"/>
      <c r="M5" s="1134"/>
      <c r="N5" s="1134"/>
      <c r="O5" s="1134"/>
      <c r="P5" s="3180"/>
      <c r="Q5" s="3181"/>
      <c r="R5" s="3162"/>
      <c r="S5" s="3163"/>
      <c r="T5" s="3162"/>
      <c r="U5" s="3163"/>
      <c r="V5" s="3186"/>
      <c r="W5" s="3186"/>
      <c r="X5" s="1815"/>
      <c r="Y5" s="3162"/>
      <c r="Z5" s="3163"/>
      <c r="AA5" s="3156"/>
      <c r="AB5" s="3156"/>
      <c r="AC5" s="3156"/>
    </row>
    <row r="6" spans="1:29" ht="15.75" thickBot="1">
      <c r="A6" s="406"/>
      <c r="B6" s="407"/>
      <c r="C6" s="3230" t="s">
        <v>2535</v>
      </c>
      <c r="D6" s="3231"/>
      <c r="E6" s="3232" t="s">
        <v>2535</v>
      </c>
      <c r="F6" s="3233"/>
      <c r="G6" s="3230" t="s">
        <v>2535</v>
      </c>
      <c r="H6" s="3231"/>
      <c r="I6" s="3230" t="s">
        <v>2535</v>
      </c>
      <c r="J6" s="3231"/>
      <c r="K6" s="610" t="s">
        <v>2536</v>
      </c>
      <c r="L6" s="1133"/>
      <c r="M6" s="1134"/>
      <c r="N6" s="1134"/>
      <c r="O6" s="1134"/>
      <c r="P6" s="3182"/>
      <c r="Q6" s="3183"/>
      <c r="R6" s="3162"/>
      <c r="S6" s="3163"/>
      <c r="T6" s="3184"/>
      <c r="U6" s="3185"/>
      <c r="V6" s="3186"/>
      <c r="W6" s="3186"/>
      <c r="X6" s="1815"/>
      <c r="Y6" s="3184"/>
      <c r="Z6" s="3185"/>
      <c r="AA6" s="3157"/>
      <c r="AB6" s="3157"/>
      <c r="AC6" s="3157"/>
    </row>
    <row r="7" spans="1:29" s="117" customFormat="1" ht="15.75" thickBot="1">
      <c r="A7" s="408" t="s">
        <v>2537</v>
      </c>
      <c r="B7" s="409"/>
      <c r="C7" s="410">
        <f>'数据-取费表'!B2</f>
        <v>43235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8" t="s">
        <v>2538</v>
      </c>
      <c r="Q7" s="3187"/>
      <c r="R7" s="770" t="s">
        <v>17</v>
      </c>
      <c r="S7" s="771">
        <f t="shared" ref="S7:S14" si="0">F7</f>
        <v>0</v>
      </c>
      <c r="T7" s="770" t="s">
        <v>17</v>
      </c>
      <c r="U7" s="771">
        <f t="shared" ref="U7:U14" si="1">H7</f>
        <v>0</v>
      </c>
      <c r="V7" s="770" t="s">
        <v>17</v>
      </c>
      <c r="W7" s="771">
        <f t="shared" ref="W7:W14" si="2">J7</f>
        <v>0</v>
      </c>
      <c r="X7" s="772"/>
      <c r="Y7" s="3158" t="s">
        <v>2538</v>
      </c>
      <c r="Z7" s="3159"/>
      <c r="AA7" s="773" t="e">
        <f>D7/F7</f>
        <v>#DIV/0!</v>
      </c>
      <c r="AB7" s="773" t="e">
        <f>D7/H7</f>
        <v>#DIV/0!</v>
      </c>
      <c r="AC7" s="773" t="e">
        <f>D7/J7</f>
        <v>#DIV/0!</v>
      </c>
    </row>
    <row r="8" spans="1:29" s="117" customFormat="1" ht="15.75" thickBot="1">
      <c r="A8" s="408" t="s">
        <v>2539</v>
      </c>
      <c r="B8" s="409"/>
      <c r="C8" s="414" t="s">
        <v>2641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8" t="s">
        <v>2541</v>
      </c>
      <c r="Q8" s="3159"/>
      <c r="R8" s="770" t="s">
        <v>17</v>
      </c>
      <c r="S8" s="771">
        <f t="shared" si="0"/>
        <v>0</v>
      </c>
      <c r="T8" s="770" t="s">
        <v>17</v>
      </c>
      <c r="U8" s="771">
        <f t="shared" si="1"/>
        <v>0</v>
      </c>
      <c r="V8" s="770" t="s">
        <v>17</v>
      </c>
      <c r="W8" s="771">
        <f t="shared" si="2"/>
        <v>0</v>
      </c>
      <c r="X8" s="772"/>
      <c r="Y8" s="3158" t="s">
        <v>2541</v>
      </c>
      <c r="Z8" s="3159"/>
      <c r="AA8" s="773" t="e">
        <f t="shared" ref="AA8:AA36" si="3">D8/F8</f>
        <v>#DIV/0!</v>
      </c>
      <c r="AB8" s="773" t="e">
        <f t="shared" ref="AB8:AB36" si="4">D8/H8</f>
        <v>#DIV/0!</v>
      </c>
      <c r="AC8" s="773" t="e">
        <f t="shared" ref="AC8:AC36" si="5">D8/J8</f>
        <v>#DIV/0!</v>
      </c>
    </row>
    <row r="9" spans="1:29" s="117" customFormat="1">
      <c r="A9" s="68" t="s">
        <v>2542</v>
      </c>
      <c r="B9" s="640" t="s">
        <v>2543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3" t="s">
        <v>2544</v>
      </c>
      <c r="Q9" s="1797" t="str">
        <f t="shared" ref="Q9:Q14" si="6">B9</f>
        <v>用途</v>
      </c>
      <c r="R9" s="770" t="s">
        <v>17</v>
      </c>
      <c r="S9" s="771">
        <f t="shared" si="0"/>
        <v>100</v>
      </c>
      <c r="T9" s="770" t="s">
        <v>17</v>
      </c>
      <c r="U9" s="771">
        <f t="shared" si="1"/>
        <v>100</v>
      </c>
      <c r="V9" s="770" t="s">
        <v>17</v>
      </c>
      <c r="W9" s="771">
        <f t="shared" si="2"/>
        <v>100</v>
      </c>
      <c r="X9" s="772"/>
      <c r="Y9" s="3032" t="s">
        <v>2545</v>
      </c>
      <c r="Z9" s="55" t="str">
        <f t="shared" ref="Z9:Z14" si="7">Q9</f>
        <v>用途</v>
      </c>
      <c r="AA9" s="773">
        <f t="shared" si="3"/>
        <v>1</v>
      </c>
      <c r="AB9" s="773">
        <f t="shared" si="4"/>
        <v>1</v>
      </c>
      <c r="AC9" s="773">
        <f t="shared" si="5"/>
        <v>1</v>
      </c>
    </row>
    <row r="10" spans="1:29" s="427" customFormat="1" ht="27">
      <c r="A10" s="641"/>
      <c r="B10" s="642" t="s">
        <v>2546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3"/>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3"/>
      <c r="Q11" s="1797">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3"/>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3"/>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01" t="s">
        <v>2548</v>
      </c>
      <c r="B14" s="629" t="s">
        <v>2698</v>
      </c>
      <c r="C14" s="2695" t="str">
        <f>IF(B1="工业",估价对象房地状况!G4,估价对象房地状况!C6)</f>
        <v>估价对象周边路网密集、公共交通通达情况较好、停车便捷程度好，综合评价交通便捷度较好。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8" t="s">
        <v>2549</v>
      </c>
      <c r="Q14" s="1812" t="str">
        <f t="shared" si="6"/>
        <v>交通便捷度</v>
      </c>
      <c r="R14" s="774" t="s">
        <v>17</v>
      </c>
      <c r="S14" s="775">
        <f t="shared" si="0"/>
        <v>100</v>
      </c>
      <c r="T14" s="774" t="s">
        <v>17</v>
      </c>
      <c r="U14" s="775">
        <f t="shared" si="1"/>
        <v>100</v>
      </c>
      <c r="V14" s="774" t="s">
        <v>17</v>
      </c>
      <c r="W14" s="775">
        <f t="shared" si="2"/>
        <v>100</v>
      </c>
      <c r="X14" s="1815"/>
      <c r="Y14" s="3188" t="s">
        <v>2549</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89"/>
      <c r="Q15" s="1812"/>
      <c r="R15" s="774"/>
      <c r="S15" s="775"/>
      <c r="T15" s="774"/>
      <c r="U15" s="775"/>
      <c r="V15" s="774"/>
      <c r="W15" s="775"/>
      <c r="X15" s="1815"/>
      <c r="Y15" s="3189"/>
      <c r="Z15" s="1816"/>
      <c r="AA15" s="1813">
        <v>1</v>
      </c>
      <c r="AB15" s="1813">
        <v>1</v>
      </c>
      <c r="AC15" s="1813">
        <v>1</v>
      </c>
    </row>
    <row r="16" spans="1:29" ht="114">
      <c r="A16" s="404"/>
      <c r="B16" s="631" t="s">
        <v>2677</v>
      </c>
      <c r="C16" s="2609" t="str">
        <f>IF(B1="工业",估价对象房地状况!G5,估价对象房地状况!C7)</f>
        <v>估价对象所在区域有北京市农村商业银行(北臧村支行)、北京市大兴区向阳希望学校、华联超市等公共配套设施齐备情况较好。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9"/>
      <c r="Q16" s="1812" t="str">
        <f>B16</f>
        <v>公共配套设施</v>
      </c>
      <c r="R16" s="774" t="s">
        <v>17</v>
      </c>
      <c r="S16" s="775">
        <f>F16</f>
        <v>100</v>
      </c>
      <c r="T16" s="774" t="s">
        <v>17</v>
      </c>
      <c r="U16" s="775">
        <f>H16</f>
        <v>100</v>
      </c>
      <c r="V16" s="774" t="s">
        <v>17</v>
      </c>
      <c r="W16" s="775">
        <f>J16</f>
        <v>100</v>
      </c>
      <c r="X16" s="1815"/>
      <c r="Y16" s="3189"/>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3"/>
      <c r="M17" s="1134"/>
      <c r="N17" s="1134"/>
      <c r="O17" s="1134"/>
      <c r="P17" s="3189"/>
      <c r="Q17" s="1812"/>
      <c r="R17" s="774"/>
      <c r="S17" s="775"/>
      <c r="T17" s="774"/>
      <c r="U17" s="775"/>
      <c r="V17" s="774"/>
      <c r="W17" s="775"/>
      <c r="X17" s="1815"/>
      <c r="Y17" s="3189"/>
      <c r="Z17" s="1816"/>
      <c r="AA17" s="1813">
        <v>1</v>
      </c>
      <c r="AB17" s="1813">
        <v>1</v>
      </c>
      <c r="AC17" s="1813">
        <v>1</v>
      </c>
    </row>
    <row r="18" spans="1:29" ht="15">
      <c r="A18" s="404"/>
      <c r="B18" s="633" t="s">
        <v>2678</v>
      </c>
      <c r="C18" s="2609"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9"/>
      <c r="Q18" s="1812" t="str">
        <f>B18</f>
        <v>基础设施水平</v>
      </c>
      <c r="R18" s="774" t="s">
        <v>17</v>
      </c>
      <c r="S18" s="775">
        <f>F18</f>
        <v>100</v>
      </c>
      <c r="T18" s="774" t="s">
        <v>17</v>
      </c>
      <c r="U18" s="775">
        <f>H18</f>
        <v>100</v>
      </c>
      <c r="V18" s="774" t="s">
        <v>17</v>
      </c>
      <c r="W18" s="775">
        <f>J18</f>
        <v>100</v>
      </c>
      <c r="X18" s="1815"/>
      <c r="Y18" s="3189"/>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6"/>
      <c r="L19" s="1143"/>
      <c r="M19" s="1134"/>
      <c r="N19" s="1134"/>
      <c r="O19" s="1134"/>
      <c r="P19" s="3189"/>
      <c r="Q19" s="1812"/>
      <c r="R19" s="774"/>
      <c r="S19" s="775"/>
      <c r="T19" s="774"/>
      <c r="U19" s="775"/>
      <c r="V19" s="774"/>
      <c r="W19" s="775"/>
      <c r="X19" s="1815"/>
      <c r="Y19" s="3189"/>
      <c r="Z19" s="1816"/>
      <c r="AA19" s="1813">
        <v>1</v>
      </c>
      <c r="AB19" s="1813">
        <v>1</v>
      </c>
      <c r="AC19" s="1813">
        <v>1</v>
      </c>
    </row>
    <row r="20" spans="1:29" ht="114">
      <c r="A20" s="404"/>
      <c r="B20" s="631" t="s">
        <v>2699</v>
      </c>
      <c r="C20" s="2609" t="str">
        <f>IF(B1="工业",估价对象房地状况!G7,估价对象房地状况!C9)</f>
        <v>估价对象所处区域自然环境及人文环境：有念坛公园、绿化条件一般，缺乏图书馆、博物馆等设施；综合评价环境状况一般。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9"/>
      <c r="Q20" s="1812" t="str">
        <f>B20</f>
        <v>自然及人文环境</v>
      </c>
      <c r="R20" s="774" t="s">
        <v>17</v>
      </c>
      <c r="S20" s="775">
        <f>F20</f>
        <v>100</v>
      </c>
      <c r="T20" s="774" t="s">
        <v>17</v>
      </c>
      <c r="U20" s="775">
        <f>H20</f>
        <v>100</v>
      </c>
      <c r="V20" s="774" t="s">
        <v>17</v>
      </c>
      <c r="W20" s="775">
        <f>J20</f>
        <v>100</v>
      </c>
      <c r="X20" s="1815"/>
      <c r="Y20" s="3189"/>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89"/>
      <c r="Q21" s="1812"/>
      <c r="R21" s="774"/>
      <c r="S21" s="775"/>
      <c r="T21" s="774"/>
      <c r="U21" s="775"/>
      <c r="V21" s="774"/>
      <c r="W21" s="775"/>
      <c r="X21" s="1815"/>
      <c r="Y21" s="3189"/>
      <c r="Z21" s="1816"/>
      <c r="AA21" s="1813">
        <v>1</v>
      </c>
      <c r="AB21" s="1813">
        <v>1</v>
      </c>
      <c r="AC21" s="1813">
        <v>1</v>
      </c>
    </row>
    <row r="22" spans="1:29" ht="15">
      <c r="A22" s="404"/>
      <c r="B22" s="631" t="s">
        <v>2700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9"/>
      <c r="Q22" s="1812" t="str">
        <f>B22</f>
        <v>楼层</v>
      </c>
      <c r="R22" s="774" t="s">
        <v>17</v>
      </c>
      <c r="S22" s="775">
        <f>F22</f>
        <v>100</v>
      </c>
      <c r="T22" s="774" t="s">
        <v>17</v>
      </c>
      <c r="U22" s="775">
        <f>H22</f>
        <v>100</v>
      </c>
      <c r="V22" s="774" t="s">
        <v>17</v>
      </c>
      <c r="W22" s="775">
        <f>J22</f>
        <v>100</v>
      </c>
      <c r="X22" s="1815"/>
      <c r="Y22" s="3189"/>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9"/>
      <c r="Q23" s="1812">
        <f>B23</f>
        <v>111</v>
      </c>
      <c r="R23" s="774" t="s">
        <v>17</v>
      </c>
      <c r="S23" s="775">
        <f>F23</f>
        <v>100</v>
      </c>
      <c r="T23" s="774" t="s">
        <v>17</v>
      </c>
      <c r="U23" s="775">
        <f>H23</f>
        <v>100</v>
      </c>
      <c r="V23" s="774" t="s">
        <v>17</v>
      </c>
      <c r="W23" s="775">
        <f>J23</f>
        <v>100</v>
      </c>
      <c r="X23" s="1815"/>
      <c r="Y23" s="3189"/>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9"/>
      <c r="Q24" s="1812">
        <f t="shared" ref="Q24:Q36" si="11">B24</f>
        <v>111</v>
      </c>
      <c r="R24" s="774" t="s">
        <v>17</v>
      </c>
      <c r="S24" s="775">
        <f>F24</f>
        <v>100</v>
      </c>
      <c r="T24" s="774" t="s">
        <v>17</v>
      </c>
      <c r="U24" s="775">
        <f>H24</f>
        <v>100</v>
      </c>
      <c r="V24" s="774" t="s">
        <v>17</v>
      </c>
      <c r="W24" s="775">
        <f>J24</f>
        <v>100</v>
      </c>
      <c r="X24" s="1815"/>
      <c r="Y24" s="3189"/>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9"/>
      <c r="Q25" s="1797">
        <f t="shared" si="11"/>
        <v>111</v>
      </c>
      <c r="R25" s="770" t="s">
        <v>17</v>
      </c>
      <c r="S25" s="771">
        <f>F25</f>
        <v>100</v>
      </c>
      <c r="T25" s="770" t="s">
        <v>17</v>
      </c>
      <c r="U25" s="771">
        <f>H25</f>
        <v>100</v>
      </c>
      <c r="V25" s="770" t="s">
        <v>17</v>
      </c>
      <c r="W25" s="771">
        <f>J25</f>
        <v>100</v>
      </c>
      <c r="X25" s="772"/>
      <c r="Y25" s="3189"/>
      <c r="Z25" s="55">
        <f>Q25</f>
        <v>111</v>
      </c>
      <c r="AA25" s="1813">
        <f>D25/F25</f>
        <v>1</v>
      </c>
      <c r="AB25" s="1813">
        <f>D25/H25</f>
        <v>1</v>
      </c>
      <c r="AC25" s="1813">
        <f>D25/J25</f>
        <v>1</v>
      </c>
    </row>
    <row r="26" spans="1:29" ht="15">
      <c r="A26" s="652" t="s">
        <v>2552</v>
      </c>
      <c r="B26" s="70" t="s">
        <v>2701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90" t="s">
        <v>2554</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91" t="s">
        <v>2554</v>
      </c>
      <c r="Z26" s="1816" t="str">
        <f t="shared" ref="Z26:Z36" si="15">Q26</f>
        <v>配套类型</v>
      </c>
      <c r="AA26" s="1813">
        <f t="shared" si="3"/>
        <v>1</v>
      </c>
      <c r="AB26" s="1813">
        <f t="shared" si="4"/>
        <v>1</v>
      </c>
      <c r="AC26" s="1813">
        <f t="shared" si="5"/>
        <v>1</v>
      </c>
    </row>
    <row r="27" spans="1:29" s="471" customFormat="1" ht="15">
      <c r="A27" s="653"/>
      <c r="B27" s="654" t="s">
        <v>2702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1"/>
      <c r="Q27" s="776" t="str">
        <f t="shared" si="11"/>
        <v>项目停车位配比</v>
      </c>
      <c r="R27" s="777" t="s">
        <v>17</v>
      </c>
      <c r="S27" s="778">
        <f t="shared" si="12"/>
        <v>100</v>
      </c>
      <c r="T27" s="777" t="s">
        <v>17</v>
      </c>
      <c r="U27" s="778">
        <f t="shared" si="13"/>
        <v>100</v>
      </c>
      <c r="V27" s="777" t="s">
        <v>17</v>
      </c>
      <c r="W27" s="778">
        <f t="shared" si="14"/>
        <v>100</v>
      </c>
      <c r="X27" s="779"/>
      <c r="Y27" s="3191"/>
      <c r="Z27" s="780" t="str">
        <f t="shared" si="15"/>
        <v>项目停车位配比</v>
      </c>
      <c r="AA27" s="1813">
        <f t="shared" si="3"/>
        <v>1</v>
      </c>
      <c r="AB27" s="1813">
        <f t="shared" si="4"/>
        <v>1</v>
      </c>
      <c r="AC27" s="1813">
        <f t="shared" si="5"/>
        <v>1</v>
      </c>
    </row>
    <row r="28" spans="1:29" ht="15">
      <c r="A28" s="656"/>
      <c r="B28" s="654" t="s">
        <v>2703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1"/>
      <c r="Q28" s="1812" t="str">
        <f t="shared" si="11"/>
        <v>公共部分装修</v>
      </c>
      <c r="R28" s="774" t="s">
        <v>17</v>
      </c>
      <c r="S28" s="775">
        <f t="shared" si="12"/>
        <v>100</v>
      </c>
      <c r="T28" s="774" t="s">
        <v>17</v>
      </c>
      <c r="U28" s="775">
        <f t="shared" si="13"/>
        <v>100</v>
      </c>
      <c r="V28" s="774" t="s">
        <v>17</v>
      </c>
      <c r="W28" s="775">
        <f t="shared" si="14"/>
        <v>100</v>
      </c>
      <c r="X28" s="1815"/>
      <c r="Y28" s="3191"/>
      <c r="Z28" s="1816" t="str">
        <f t="shared" si="15"/>
        <v>公共部分装修</v>
      </c>
      <c r="AA28" s="1813">
        <f t="shared" si="3"/>
        <v>1</v>
      </c>
      <c r="AB28" s="1813">
        <f t="shared" si="4"/>
        <v>1</v>
      </c>
      <c r="AC28" s="1813">
        <f t="shared" si="5"/>
        <v>1</v>
      </c>
    </row>
    <row r="29" spans="1:29" ht="15">
      <c r="A29" s="656"/>
      <c r="B29" s="654" t="s">
        <v>2704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1"/>
      <c r="Q29" s="1812" t="str">
        <f t="shared" si="11"/>
        <v>成新率</v>
      </c>
      <c r="R29" s="774" t="s">
        <v>17</v>
      </c>
      <c r="S29" s="775" t="e">
        <f t="shared" si="12"/>
        <v>#N/A</v>
      </c>
      <c r="T29" s="774" t="s">
        <v>17</v>
      </c>
      <c r="U29" s="775" t="e">
        <f t="shared" si="13"/>
        <v>#N/A</v>
      </c>
      <c r="V29" s="774" t="s">
        <v>17</v>
      </c>
      <c r="W29" s="775" t="e">
        <f t="shared" si="14"/>
        <v>#N/A</v>
      </c>
      <c r="X29" s="1815"/>
      <c r="Y29" s="3191"/>
      <c r="Z29" s="1816" t="str">
        <f t="shared" si="15"/>
        <v>成新率</v>
      </c>
      <c r="AA29" s="1813" t="e">
        <f t="shared" si="3"/>
        <v>#N/A</v>
      </c>
      <c r="AB29" s="1813" t="e">
        <f t="shared" si="4"/>
        <v>#N/A</v>
      </c>
      <c r="AC29" s="1813" t="e">
        <f t="shared" si="5"/>
        <v>#N/A</v>
      </c>
    </row>
    <row r="30" spans="1:29" ht="15">
      <c r="A30" s="656"/>
      <c r="B30" s="654" t="s">
        <v>2705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1"/>
      <c r="Q30" s="1812" t="str">
        <f t="shared" si="11"/>
        <v>物业等级</v>
      </c>
      <c r="R30" s="774" t="s">
        <v>17</v>
      </c>
      <c r="S30" s="775">
        <f t="shared" si="12"/>
        <v>100</v>
      </c>
      <c r="T30" s="774" t="s">
        <v>17</v>
      </c>
      <c r="U30" s="775">
        <f t="shared" si="13"/>
        <v>100</v>
      </c>
      <c r="V30" s="774" t="s">
        <v>17</v>
      </c>
      <c r="W30" s="775">
        <f t="shared" si="14"/>
        <v>100</v>
      </c>
      <c r="X30" s="1815"/>
      <c r="Y30" s="3191"/>
      <c r="Z30" s="1816" t="str">
        <f t="shared" si="15"/>
        <v>物业等级</v>
      </c>
      <c r="AA30" s="1813">
        <f t="shared" si="3"/>
        <v>1</v>
      </c>
      <c r="AB30" s="1813">
        <f t="shared" si="4"/>
        <v>1</v>
      </c>
      <c r="AC30" s="1813">
        <f t="shared" si="5"/>
        <v>1</v>
      </c>
    </row>
    <row r="31" spans="1:29" s="117" customFormat="1" ht="15">
      <c r="A31" s="658"/>
      <c r="B31" s="654" t="s">
        <v>2706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1"/>
      <c r="Q31" s="1797" t="str">
        <f t="shared" si="11"/>
        <v>停车位面积</v>
      </c>
      <c r="R31" s="770" t="s">
        <v>17</v>
      </c>
      <c r="S31" s="771" t="e">
        <f t="shared" si="12"/>
        <v>#N/A</v>
      </c>
      <c r="T31" s="770" t="s">
        <v>17</v>
      </c>
      <c r="U31" s="771" t="e">
        <f t="shared" si="13"/>
        <v>#N/A</v>
      </c>
      <c r="V31" s="770" t="s">
        <v>17</v>
      </c>
      <c r="W31" s="771" t="e">
        <f t="shared" si="14"/>
        <v>#N/A</v>
      </c>
      <c r="X31" s="772"/>
      <c r="Y31" s="3191"/>
      <c r="Z31" s="55" t="str">
        <f t="shared" si="15"/>
        <v>停车位面积</v>
      </c>
      <c r="AA31" s="773" t="e">
        <f t="shared" si="3"/>
        <v>#N/A</v>
      </c>
      <c r="AB31" s="773" t="e">
        <f t="shared" si="4"/>
        <v>#N/A</v>
      </c>
      <c r="AC31" s="773" t="e">
        <f t="shared" si="5"/>
        <v>#N/A</v>
      </c>
    </row>
    <row r="32" spans="1:29" ht="15">
      <c r="A32" s="656"/>
      <c r="B32" s="654" t="s">
        <v>2707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1" t="s">
        <v>2554</v>
      </c>
      <c r="Q32" s="1812" t="str">
        <f t="shared" si="11"/>
        <v>车位类型</v>
      </c>
      <c r="R32" s="774" t="s">
        <v>17</v>
      </c>
      <c r="S32" s="775">
        <f t="shared" si="12"/>
        <v>100</v>
      </c>
      <c r="T32" s="774" t="s">
        <v>17</v>
      </c>
      <c r="U32" s="775">
        <f t="shared" si="13"/>
        <v>100</v>
      </c>
      <c r="V32" s="774" t="s">
        <v>17</v>
      </c>
      <c r="W32" s="775">
        <f t="shared" si="14"/>
        <v>100</v>
      </c>
      <c r="X32" s="1815"/>
      <c r="Y32" s="3191" t="s">
        <v>2554</v>
      </c>
      <c r="Z32" s="1816" t="str">
        <f t="shared" si="15"/>
        <v>车位类型</v>
      </c>
      <c r="AA32" s="1813">
        <f t="shared" si="3"/>
        <v>1</v>
      </c>
      <c r="AB32" s="1813">
        <f t="shared" si="4"/>
        <v>1</v>
      </c>
      <c r="AC32" s="1813">
        <f t="shared" si="5"/>
        <v>1</v>
      </c>
    </row>
    <row r="33" spans="1:29" ht="15">
      <c r="A33" s="656"/>
      <c r="B33" s="654" t="s">
        <v>2708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1"/>
      <c r="Q33" s="1812" t="str">
        <f t="shared" si="11"/>
        <v>是否直接入户</v>
      </c>
      <c r="R33" s="774" t="s">
        <v>17</v>
      </c>
      <c r="S33" s="775">
        <f t="shared" si="12"/>
        <v>100</v>
      </c>
      <c r="T33" s="774" t="s">
        <v>17</v>
      </c>
      <c r="U33" s="775">
        <f t="shared" si="13"/>
        <v>100</v>
      </c>
      <c r="V33" s="774" t="s">
        <v>17</v>
      </c>
      <c r="W33" s="775">
        <f t="shared" si="14"/>
        <v>100</v>
      </c>
      <c r="X33" s="1815"/>
      <c r="Y33" s="3191"/>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1"/>
      <c r="Q34" s="1812">
        <f t="shared" si="11"/>
        <v>111</v>
      </c>
      <c r="R34" s="774" t="s">
        <v>17</v>
      </c>
      <c r="S34" s="775">
        <f t="shared" si="12"/>
        <v>100</v>
      </c>
      <c r="T34" s="774" t="s">
        <v>17</v>
      </c>
      <c r="U34" s="775">
        <f t="shared" si="13"/>
        <v>100</v>
      </c>
      <c r="V34" s="774" t="s">
        <v>17</v>
      </c>
      <c r="W34" s="775">
        <f t="shared" si="14"/>
        <v>100</v>
      </c>
      <c r="X34" s="1815"/>
      <c r="Y34" s="3191"/>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1"/>
      <c r="Q35" s="776">
        <f t="shared" si="11"/>
        <v>111</v>
      </c>
      <c r="R35" s="777" t="s">
        <v>17</v>
      </c>
      <c r="S35" s="778">
        <f t="shared" si="12"/>
        <v>100</v>
      </c>
      <c r="T35" s="777" t="s">
        <v>17</v>
      </c>
      <c r="U35" s="778">
        <f t="shared" si="13"/>
        <v>100</v>
      </c>
      <c r="V35" s="777" t="s">
        <v>17</v>
      </c>
      <c r="W35" s="778">
        <f t="shared" si="14"/>
        <v>100</v>
      </c>
      <c r="X35" s="779"/>
      <c r="Y35" s="3191"/>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1"/>
      <c r="Q36" s="1812">
        <f t="shared" si="11"/>
        <v>111</v>
      </c>
      <c r="R36" s="774" t="s">
        <v>17</v>
      </c>
      <c r="S36" s="775">
        <f t="shared" si="12"/>
        <v>100</v>
      </c>
      <c r="T36" s="774" t="s">
        <v>17</v>
      </c>
      <c r="U36" s="775">
        <f t="shared" si="13"/>
        <v>100</v>
      </c>
      <c r="V36" s="774" t="s">
        <v>17</v>
      </c>
      <c r="W36" s="775">
        <f t="shared" si="14"/>
        <v>100</v>
      </c>
      <c r="X36" s="1815"/>
      <c r="Y36" s="3191"/>
      <c r="Z36" s="1816">
        <f t="shared" si="15"/>
        <v>111</v>
      </c>
      <c r="AA36" s="1813">
        <f t="shared" si="3"/>
        <v>1</v>
      </c>
      <c r="AB36" s="1813">
        <f t="shared" si="4"/>
        <v>1</v>
      </c>
      <c r="AC36" s="1813">
        <f t="shared" si="5"/>
        <v>1</v>
      </c>
    </row>
    <row r="37" spans="1:29" ht="15">
      <c r="A37" s="479" t="s">
        <v>2709</v>
      </c>
      <c r="B37" s="2697" t="s">
        <v>2710</v>
      </c>
      <c r="C37" s="1410" t="s">
        <v>1</v>
      </c>
      <c r="D37" s="1411"/>
      <c r="E37" s="1412"/>
      <c r="F37" s="1413"/>
      <c r="G37" s="1414"/>
      <c r="H37" s="1415"/>
      <c r="I37" s="1412"/>
      <c r="J37" s="1415"/>
      <c r="K37" s="619"/>
      <c r="L37" s="1146"/>
      <c r="M37" s="1147"/>
      <c r="N37" s="1134"/>
      <c r="O37" s="1147"/>
      <c r="P37" s="3173" t="str">
        <f>A37</f>
        <v>成交单价</v>
      </c>
      <c r="Q37" s="3173"/>
      <c r="R37" s="3235">
        <f>E37</f>
        <v>0</v>
      </c>
      <c r="S37" s="3235"/>
      <c r="T37" s="3235">
        <f>G37</f>
        <v>0</v>
      </c>
      <c r="U37" s="3235"/>
      <c r="V37" s="3235">
        <f>I37</f>
        <v>0</v>
      </c>
      <c r="W37" s="3235"/>
      <c r="X37" s="759"/>
      <c r="Y37" s="781"/>
      <c r="Z37" s="759"/>
      <c r="AA37" s="759"/>
      <c r="AB37" s="759"/>
      <c r="AC37" s="759"/>
    </row>
    <row r="38" spans="1:29" ht="15.75" thickBot="1">
      <c r="A38" s="486" t="s">
        <v>2711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3" t="str">
        <f>A38</f>
        <v>比较价值（元/平方米）</v>
      </c>
      <c r="Q38" s="3173"/>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2712</v>
      </c>
      <c r="B39" s="493"/>
      <c r="C39" s="1420" t="e">
        <f>R39</f>
        <v>#DIV/0!</v>
      </c>
      <c r="D39" s="1420"/>
      <c r="E39" s="1420"/>
      <c r="F39" s="1420"/>
      <c r="G39" s="1420"/>
      <c r="H39" s="1420"/>
      <c r="I39" s="1420"/>
      <c r="J39" s="1420"/>
      <c r="K39" s="621"/>
      <c r="L39" s="1146"/>
      <c r="M39" s="1147"/>
      <c r="N39" s="1147"/>
      <c r="O39" s="1147"/>
      <c r="P39" s="3193" t="str">
        <f>A39</f>
        <v>估价对象XX用房的比较价值（楼面单价，元/平方米）</v>
      </c>
      <c r="Q39" s="3194"/>
      <c r="R39" s="3234" t="e">
        <f>IF(F1="售价",ROUND(AVERAGE(R38:V38),0),ROUND(AVERAGE(R38:V38),1))</f>
        <v>#DIV/0!</v>
      </c>
      <c r="S39" s="3234"/>
      <c r="T39" s="3234"/>
      <c r="U39" s="3234"/>
      <c r="V39" s="3234"/>
      <c r="W39" s="3234"/>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2717</v>
      </c>
      <c r="B48" s="506"/>
      <c r="C48" s="1576" t="str">
        <f>YEAR(C7)&amp;"-"&amp;MONTH(C7)</f>
        <v>2018-5</v>
      </c>
      <c r="D48" s="1577">
        <f>EDATE(C48,-1)</f>
        <v>43191</v>
      </c>
      <c r="E48" s="1577">
        <f t="shared" ref="E48:O48" si="16">EDATE(D48,-1)</f>
        <v>43160</v>
      </c>
      <c r="F48" s="1577">
        <f t="shared" si="16"/>
        <v>43132</v>
      </c>
      <c r="G48" s="1577">
        <f t="shared" si="16"/>
        <v>43101</v>
      </c>
      <c r="H48" s="1577">
        <f t="shared" si="16"/>
        <v>43070</v>
      </c>
      <c r="I48" s="1577">
        <f t="shared" si="16"/>
        <v>43040</v>
      </c>
      <c r="J48" s="1577">
        <f t="shared" si="16"/>
        <v>43009</v>
      </c>
      <c r="K48" s="1577">
        <f t="shared" si="16"/>
        <v>42979</v>
      </c>
      <c r="L48" s="1577">
        <f t="shared" si="16"/>
        <v>42948</v>
      </c>
      <c r="M48" s="1577">
        <f t="shared" si="16"/>
        <v>42917</v>
      </c>
      <c r="N48" s="1577">
        <f t="shared" si="16"/>
        <v>42887</v>
      </c>
      <c r="O48" s="1577">
        <f t="shared" si="16"/>
        <v>42856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2539</v>
      </c>
      <c r="B51" s="510"/>
      <c r="C51" s="522" t="s">
        <v>2641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2577</v>
      </c>
      <c r="B53" s="528" t="s">
        <v>2543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2546</v>
      </c>
      <c r="C55" s="539" t="s">
        <v>2578</v>
      </c>
      <c r="D55" s="539" t="s">
        <v>2579</v>
      </c>
      <c r="E55" s="539" t="s">
        <v>2580</v>
      </c>
      <c r="F55" s="539" t="s">
        <v>2581</v>
      </c>
      <c r="G55" s="539" t="s">
        <v>2582</v>
      </c>
      <c r="H55" s="539" t="s">
        <v>2583</v>
      </c>
      <c r="I55" s="539" t="s">
        <v>2584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2548</v>
      </c>
      <c r="B63" s="528" t="s">
        <v>2591</v>
      </c>
      <c r="C63" s="573" t="s">
        <v>2586</v>
      </c>
      <c r="D63" s="573" t="s">
        <v>2587</v>
      </c>
      <c r="E63" s="573" t="s">
        <v>2588</v>
      </c>
      <c r="F63" s="573" t="s">
        <v>2589</v>
      </c>
      <c r="G63" s="573" t="s">
        <v>2590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2592</v>
      </c>
      <c r="C65" s="578" t="s">
        <v>2586</v>
      </c>
      <c r="D65" s="578" t="s">
        <v>2587</v>
      </c>
      <c r="E65" s="578" t="s">
        <v>2588</v>
      </c>
      <c r="F65" s="578" t="s">
        <v>2589</v>
      </c>
      <c r="G65" s="578" t="s">
        <v>2590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2678</v>
      </c>
      <c r="C67" s="660" t="s">
        <v>2664</v>
      </c>
      <c r="D67" s="660" t="s">
        <v>2665</v>
      </c>
      <c r="E67" s="660" t="s">
        <v>2666</v>
      </c>
      <c r="F67" s="660" t="s">
        <v>2667</v>
      </c>
      <c r="G67" s="660" t="s">
        <v>2668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2598</v>
      </c>
      <c r="C69" s="578" t="s">
        <v>2586</v>
      </c>
      <c r="D69" s="578" t="s">
        <v>2587</v>
      </c>
      <c r="E69" s="578" t="s">
        <v>2588</v>
      </c>
      <c r="F69" s="578" t="s">
        <v>2589</v>
      </c>
      <c r="G69" s="578" t="s">
        <v>2590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2552</v>
      </c>
      <c r="B79" s="528" t="s">
        <v>2719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2696</v>
      </c>
      <c r="B1" s="1621"/>
      <c r="C1" s="1622" t="s">
        <v>2519</v>
      </c>
      <c r="D1" s="1623"/>
      <c r="E1" s="1632"/>
      <c r="F1" s="2586"/>
      <c r="G1" s="1633" t="s">
        <v>2632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2316</v>
      </c>
      <c r="B2" s="1421" t="e">
        <f ca="1">IF(C2="——",ROUND(C37*D3/10000,0),ROUND(C37*D3/10000,0)-D2)</f>
        <v>#DIV/0!</v>
      </c>
      <c r="C2" s="2588"/>
      <c r="D2" s="1127" t="e">
        <f ca="1">SUMIF(INDIRECT("'"&amp;F2&amp;"'"&amp;"!A:A"),"承租人权益价值",INDIRECT("'"&amp;F2&amp;"'"&amp;"!c:c"))</f>
        <v>#REF!</v>
      </c>
      <c r="E2" s="2589" t="s">
        <v>2317</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t="e">
        <f ca="1">IF(C2="——",C37,ROUND(B2*10000/D3,0))</f>
        <v>#DIV/0!</v>
      </c>
      <c r="C3" s="400" t="s">
        <v>2633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56" t="s">
        <v>2637</v>
      </c>
      <c r="AC4" s="3155" t="s">
        <v>2638</v>
      </c>
    </row>
    <row r="5" spans="1:29" ht="15">
      <c r="A5" s="404"/>
      <c r="B5" s="405"/>
      <c r="C5" s="3228" t="s">
        <v>2531</v>
      </c>
      <c r="D5" s="3229"/>
      <c r="E5" s="3226" t="s">
        <v>2532</v>
      </c>
      <c r="F5" s="3227"/>
      <c r="G5" s="3228" t="s">
        <v>2533</v>
      </c>
      <c r="H5" s="3229"/>
      <c r="I5" s="3228" t="s">
        <v>2534</v>
      </c>
      <c r="J5" s="3229"/>
      <c r="K5" s="610"/>
      <c r="L5" s="1133"/>
      <c r="M5" s="1134"/>
      <c r="N5" s="1134"/>
      <c r="O5" s="1134"/>
      <c r="P5" s="3180"/>
      <c r="Q5" s="3181"/>
      <c r="R5" s="3162"/>
      <c r="S5" s="3163"/>
      <c r="T5" s="3162"/>
      <c r="U5" s="3163"/>
      <c r="V5" s="3186"/>
      <c r="W5" s="3186"/>
      <c r="X5" s="1815"/>
      <c r="Y5" s="3162"/>
      <c r="Z5" s="3163"/>
      <c r="AA5" s="3156"/>
      <c r="AB5" s="3156"/>
      <c r="AC5" s="3156"/>
    </row>
    <row r="6" spans="1:29" ht="15.75" thickBot="1">
      <c r="A6" s="406"/>
      <c r="B6" s="407"/>
      <c r="C6" s="3230" t="s">
        <v>2535</v>
      </c>
      <c r="D6" s="3231"/>
      <c r="E6" s="3232" t="s">
        <v>2535</v>
      </c>
      <c r="F6" s="3233"/>
      <c r="G6" s="3230" t="s">
        <v>2535</v>
      </c>
      <c r="H6" s="3231"/>
      <c r="I6" s="3230" t="s">
        <v>2535</v>
      </c>
      <c r="J6" s="3231"/>
      <c r="K6" s="610" t="s">
        <v>2536</v>
      </c>
      <c r="L6" s="1133"/>
      <c r="M6" s="1134"/>
      <c r="N6" s="1134"/>
      <c r="O6" s="1134"/>
      <c r="P6" s="3182"/>
      <c r="Q6" s="3183"/>
      <c r="R6" s="3162"/>
      <c r="S6" s="3163"/>
      <c r="T6" s="3184"/>
      <c r="U6" s="3185"/>
      <c r="V6" s="3186"/>
      <c r="W6" s="3186"/>
      <c r="X6" s="1815"/>
      <c r="Y6" s="3184"/>
      <c r="Z6" s="3185"/>
      <c r="AA6" s="3157"/>
      <c r="AB6" s="3157"/>
      <c r="AC6" s="3157"/>
    </row>
    <row r="7" spans="1:29" s="117" customFormat="1" ht="15.75" thickBot="1">
      <c r="A7" s="408" t="s">
        <v>2537</v>
      </c>
      <c r="B7" s="409"/>
      <c r="C7" s="410">
        <f>'数据-取费表'!B2</f>
        <v>43235</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58" t="s">
        <v>2538</v>
      </c>
      <c r="Q7" s="3187"/>
      <c r="R7" s="770" t="s">
        <v>17</v>
      </c>
      <c r="S7" s="771">
        <f t="shared" ref="S7:S14" si="0">F7</f>
        <v>0</v>
      </c>
      <c r="T7" s="770" t="s">
        <v>17</v>
      </c>
      <c r="U7" s="771">
        <f t="shared" ref="U7:U14" si="1">H7</f>
        <v>0</v>
      </c>
      <c r="V7" s="770" t="s">
        <v>17</v>
      </c>
      <c r="W7" s="771">
        <f t="shared" ref="W7:W14" si="2">J7</f>
        <v>0</v>
      </c>
      <c r="X7" s="772"/>
      <c r="Y7" s="3158" t="s">
        <v>2538</v>
      </c>
      <c r="Z7" s="3159"/>
      <c r="AA7" s="773" t="e">
        <f>D7/F7</f>
        <v>#DIV/0!</v>
      </c>
      <c r="AB7" s="773" t="e">
        <f>D7/H7</f>
        <v>#DIV/0!</v>
      </c>
      <c r="AC7" s="773" t="e">
        <f>D7/J7</f>
        <v>#DIV/0!</v>
      </c>
    </row>
    <row r="8" spans="1:29" s="117" customFormat="1" ht="15.75" thickBot="1">
      <c r="A8" s="408" t="s">
        <v>2539</v>
      </c>
      <c r="B8" s="409"/>
      <c r="C8" s="414" t="s">
        <v>2641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8" t="s">
        <v>2541</v>
      </c>
      <c r="Q8" s="3159"/>
      <c r="R8" s="770" t="s">
        <v>17</v>
      </c>
      <c r="S8" s="771">
        <f t="shared" si="0"/>
        <v>0</v>
      </c>
      <c r="T8" s="770" t="s">
        <v>17</v>
      </c>
      <c r="U8" s="771">
        <f t="shared" si="1"/>
        <v>0</v>
      </c>
      <c r="V8" s="770" t="s">
        <v>17</v>
      </c>
      <c r="W8" s="771">
        <f t="shared" si="2"/>
        <v>0</v>
      </c>
      <c r="X8" s="772"/>
      <c r="Y8" s="3158" t="s">
        <v>2541</v>
      </c>
      <c r="Z8" s="3159"/>
      <c r="AA8" s="773" t="e">
        <f t="shared" ref="AA8:AA34" si="3">D8/F8</f>
        <v>#DIV/0!</v>
      </c>
      <c r="AB8" s="773" t="e">
        <f t="shared" ref="AB8:AB34" si="4">D8/H8</f>
        <v>#DIV/0!</v>
      </c>
      <c r="AC8" s="773" t="e">
        <f t="shared" ref="AC8:AC34" si="5">D8/J8</f>
        <v>#DIV/0!</v>
      </c>
    </row>
    <row r="9" spans="1:29" s="117" customFormat="1">
      <c r="A9" s="415" t="s">
        <v>2542</v>
      </c>
      <c r="B9" s="71" t="s">
        <v>2543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3" t="s">
        <v>2544</v>
      </c>
      <c r="Q9" s="1797" t="str">
        <f t="shared" ref="Q9:Q14" si="6">B9</f>
        <v>用途</v>
      </c>
      <c r="R9" s="770" t="s">
        <v>17</v>
      </c>
      <c r="S9" s="771">
        <f t="shared" si="0"/>
        <v>100</v>
      </c>
      <c r="T9" s="770" t="s">
        <v>17</v>
      </c>
      <c r="U9" s="771">
        <f t="shared" si="1"/>
        <v>100</v>
      </c>
      <c r="V9" s="770" t="s">
        <v>17</v>
      </c>
      <c r="W9" s="771">
        <f t="shared" si="2"/>
        <v>100</v>
      </c>
      <c r="X9" s="772"/>
      <c r="Y9" s="3032" t="s">
        <v>2545</v>
      </c>
      <c r="Z9" s="55" t="str">
        <f t="shared" ref="Z9:Z14" si="7">Q9</f>
        <v>用途</v>
      </c>
      <c r="AA9" s="773">
        <f t="shared" si="3"/>
        <v>1</v>
      </c>
      <c r="AB9" s="773">
        <f t="shared" si="4"/>
        <v>1</v>
      </c>
      <c r="AC9" s="773">
        <f t="shared" si="5"/>
        <v>1</v>
      </c>
    </row>
    <row r="10" spans="1:29" s="427" customFormat="1" ht="27">
      <c r="A10" s="421"/>
      <c r="B10" s="422" t="s">
        <v>2546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3"/>
      <c r="Q10" s="1797"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3"/>
      <c r="Q11" s="1797">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3"/>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173"/>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85.5">
      <c r="A14" s="440" t="s">
        <v>2548</v>
      </c>
      <c r="B14" s="69" t="s">
        <v>2698</v>
      </c>
      <c r="C14" s="2695" t="str">
        <f>IF(B1="工业",估价对象房地状况!G4,估价对象房地状况!C6)</f>
        <v>估价对象周边路网密集、公共交通通达情况较好、停车便捷程度好，综合评价交通便捷度较好。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8" t="s">
        <v>2549</v>
      </c>
      <c r="Q14" s="1812" t="str">
        <f t="shared" si="6"/>
        <v>交通便捷度</v>
      </c>
      <c r="R14" s="774" t="s">
        <v>17</v>
      </c>
      <c r="S14" s="775">
        <f t="shared" si="0"/>
        <v>100</v>
      </c>
      <c r="T14" s="774" t="s">
        <v>17</v>
      </c>
      <c r="U14" s="775">
        <f t="shared" si="1"/>
        <v>100</v>
      </c>
      <c r="V14" s="774" t="s">
        <v>17</v>
      </c>
      <c r="W14" s="775">
        <f t="shared" si="2"/>
        <v>100</v>
      </c>
      <c r="X14" s="1815"/>
      <c r="Y14" s="3188" t="s">
        <v>2549</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89"/>
      <c r="Q15" s="1812"/>
      <c r="R15" s="774"/>
      <c r="S15" s="775"/>
      <c r="T15" s="774"/>
      <c r="U15" s="775"/>
      <c r="V15" s="774"/>
      <c r="W15" s="775"/>
      <c r="X15" s="1815"/>
      <c r="Y15" s="3189"/>
      <c r="Z15" s="1816"/>
      <c r="AA15" s="1813">
        <v>1</v>
      </c>
      <c r="AB15" s="1813">
        <v>1</v>
      </c>
      <c r="AC15" s="1813">
        <v>1</v>
      </c>
    </row>
    <row r="16" spans="1:29" ht="114">
      <c r="A16" s="428"/>
      <c r="B16" s="451" t="s">
        <v>2677</v>
      </c>
      <c r="C16" s="2609" t="str">
        <f>IF(B1="工业",估价对象房地状况!G5,估价对象房地状况!C7)</f>
        <v>估价对象所在区域有北京市农村商业银行(北臧村支行)、北京市大兴区向阳希望学校、华联超市等公共配套设施齐备情况较好。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9"/>
      <c r="Q16" s="1812" t="str">
        <f>B16</f>
        <v>公共配套设施</v>
      </c>
      <c r="R16" s="774" t="s">
        <v>17</v>
      </c>
      <c r="S16" s="775">
        <f>F16</f>
        <v>100</v>
      </c>
      <c r="T16" s="774" t="s">
        <v>17</v>
      </c>
      <c r="U16" s="775">
        <f>H16</f>
        <v>100</v>
      </c>
      <c r="V16" s="774" t="s">
        <v>17</v>
      </c>
      <c r="W16" s="775">
        <f>J16</f>
        <v>100</v>
      </c>
      <c r="X16" s="1815"/>
      <c r="Y16" s="3189"/>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3"/>
      <c r="M17" s="1134"/>
      <c r="N17" s="1134"/>
      <c r="O17" s="1142"/>
      <c r="P17" s="3189"/>
      <c r="Q17" s="1812"/>
      <c r="R17" s="774"/>
      <c r="S17" s="775"/>
      <c r="T17" s="774"/>
      <c r="U17" s="775"/>
      <c r="V17" s="774"/>
      <c r="W17" s="775"/>
      <c r="X17" s="1815"/>
      <c r="Y17" s="3189"/>
      <c r="Z17" s="1816"/>
      <c r="AA17" s="1813">
        <v>1</v>
      </c>
      <c r="AB17" s="1813">
        <v>1</v>
      </c>
      <c r="AC17" s="1813">
        <v>1</v>
      </c>
    </row>
    <row r="18" spans="1:29" ht="15">
      <c r="A18" s="428"/>
      <c r="B18" s="1387" t="s">
        <v>2678</v>
      </c>
      <c r="C18" s="2609"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9"/>
      <c r="Q18" s="1812" t="str">
        <f>B18</f>
        <v>基础设施水平</v>
      </c>
      <c r="R18" s="774" t="s">
        <v>17</v>
      </c>
      <c r="S18" s="775">
        <f>F18</f>
        <v>100</v>
      </c>
      <c r="T18" s="774" t="s">
        <v>17</v>
      </c>
      <c r="U18" s="775">
        <f>H18</f>
        <v>100</v>
      </c>
      <c r="V18" s="774" t="s">
        <v>17</v>
      </c>
      <c r="W18" s="775">
        <f>J18</f>
        <v>100</v>
      </c>
      <c r="X18" s="1815"/>
      <c r="Y18" s="3189"/>
      <c r="Z18" s="1816" t="str">
        <f>Q18</f>
        <v>基础设施水平</v>
      </c>
      <c r="AA18" s="1813">
        <f t="shared" ref="AA18" si="8">D18/F18</f>
        <v>1</v>
      </c>
      <c r="AB18" s="1813">
        <f t="shared" ref="AB18" si="9">D18/H18</f>
        <v>1</v>
      </c>
      <c r="AC18" s="1813">
        <f t="shared" ref="AC18" si="10">D18/J18</f>
        <v>1</v>
      </c>
    </row>
    <row r="19" spans="1:29" ht="15">
      <c r="A19" s="428"/>
      <c r="B19" s="1387"/>
      <c r="C19" s="2610"/>
      <c r="D19" s="450"/>
      <c r="E19" s="2610"/>
      <c r="F19" s="453"/>
      <c r="G19" s="2610"/>
      <c r="H19" s="448"/>
      <c r="I19" s="447"/>
      <c r="J19" s="448"/>
      <c r="K19" s="1386"/>
      <c r="L19" s="1143"/>
      <c r="M19" s="1134"/>
      <c r="N19" s="1134"/>
      <c r="O19" s="1142"/>
      <c r="P19" s="3189"/>
      <c r="Q19" s="1812"/>
      <c r="R19" s="774"/>
      <c r="S19" s="775"/>
      <c r="T19" s="774"/>
      <c r="U19" s="775"/>
      <c r="V19" s="774"/>
      <c r="W19" s="775"/>
      <c r="X19" s="1815"/>
      <c r="Y19" s="3189"/>
      <c r="Z19" s="1816"/>
      <c r="AA19" s="1813">
        <v>1</v>
      </c>
      <c r="AB19" s="1813">
        <v>1</v>
      </c>
      <c r="AC19" s="1813">
        <v>1</v>
      </c>
    </row>
    <row r="20" spans="1:29" ht="114">
      <c r="A20" s="428"/>
      <c r="B20" s="451" t="s">
        <v>2699</v>
      </c>
      <c r="C20" s="2609" t="str">
        <f>IF(B1="工业",估价对象房地状况!G7,估价对象房地状况!C9)</f>
        <v>估价对象所处区域自然环境及人文环境：有念坛公园、绿化条件一般，缺乏图书馆、博物馆等设施；综合评价环境状况一般。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9"/>
      <c r="Q20" s="1812" t="str">
        <f>B20</f>
        <v>自然及人文环境</v>
      </c>
      <c r="R20" s="774" t="s">
        <v>17</v>
      </c>
      <c r="S20" s="775">
        <f>F20</f>
        <v>100</v>
      </c>
      <c r="T20" s="774" t="s">
        <v>17</v>
      </c>
      <c r="U20" s="775">
        <f>H20</f>
        <v>100</v>
      </c>
      <c r="V20" s="774" t="s">
        <v>17</v>
      </c>
      <c r="W20" s="775">
        <f>J20</f>
        <v>100</v>
      </c>
      <c r="X20" s="1815"/>
      <c r="Y20" s="3189"/>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89"/>
      <c r="Q21" s="1812"/>
      <c r="R21" s="774"/>
      <c r="S21" s="775"/>
      <c r="T21" s="774"/>
      <c r="U21" s="775"/>
      <c r="V21" s="774"/>
      <c r="W21" s="775"/>
      <c r="X21" s="1815"/>
      <c r="Y21" s="3189"/>
      <c r="Z21" s="1816"/>
      <c r="AA21" s="1813">
        <v>1</v>
      </c>
      <c r="AB21" s="1813">
        <v>1</v>
      </c>
      <c r="AC21" s="1813">
        <v>1</v>
      </c>
    </row>
    <row r="22" spans="1:29" ht="15">
      <c r="A22" s="428"/>
      <c r="B22" s="451" t="s">
        <v>2700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9"/>
      <c r="Q22" s="1812" t="str">
        <f>B22</f>
        <v>楼层</v>
      </c>
      <c r="R22" s="774" t="s">
        <v>17</v>
      </c>
      <c r="S22" s="775">
        <f>F22</f>
        <v>100</v>
      </c>
      <c r="T22" s="774" t="s">
        <v>17</v>
      </c>
      <c r="U22" s="775">
        <f>H22</f>
        <v>100</v>
      </c>
      <c r="V22" s="774" t="s">
        <v>17</v>
      </c>
      <c r="W22" s="775">
        <f>J22</f>
        <v>100</v>
      </c>
      <c r="X22" s="1815"/>
      <c r="Y22" s="3189"/>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9"/>
      <c r="Q23" s="1812">
        <f>B23</f>
        <v>111</v>
      </c>
      <c r="R23" s="774" t="s">
        <v>17</v>
      </c>
      <c r="S23" s="775">
        <f>F23</f>
        <v>100</v>
      </c>
      <c r="T23" s="774" t="s">
        <v>17</v>
      </c>
      <c r="U23" s="775">
        <f>H23</f>
        <v>100</v>
      </c>
      <c r="V23" s="774" t="s">
        <v>17</v>
      </c>
      <c r="W23" s="775">
        <f>J23</f>
        <v>100</v>
      </c>
      <c r="X23" s="1815"/>
      <c r="Y23" s="3189"/>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9"/>
      <c r="Q24" s="1812">
        <f t="shared" ref="Q24:Q34" si="11">B24</f>
        <v>111</v>
      </c>
      <c r="R24" s="774" t="s">
        <v>17</v>
      </c>
      <c r="S24" s="775">
        <f>F24</f>
        <v>100</v>
      </c>
      <c r="T24" s="774" t="s">
        <v>17</v>
      </c>
      <c r="U24" s="775">
        <f>H24</f>
        <v>100</v>
      </c>
      <c r="V24" s="774" t="s">
        <v>17</v>
      </c>
      <c r="W24" s="775">
        <f>J24</f>
        <v>100</v>
      </c>
      <c r="X24" s="1815"/>
      <c r="Y24" s="3189"/>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189"/>
      <c r="Q25" s="1797">
        <f t="shared" si="11"/>
        <v>111</v>
      </c>
      <c r="R25" s="770" t="s">
        <v>17</v>
      </c>
      <c r="S25" s="771">
        <f>F25</f>
        <v>100</v>
      </c>
      <c r="T25" s="770" t="s">
        <v>17</v>
      </c>
      <c r="U25" s="771">
        <f>H25</f>
        <v>100</v>
      </c>
      <c r="V25" s="770" t="s">
        <v>17</v>
      </c>
      <c r="W25" s="771">
        <f>J25</f>
        <v>100</v>
      </c>
      <c r="X25" s="772"/>
      <c r="Y25" s="3189"/>
      <c r="Z25" s="55">
        <f>Q25</f>
        <v>111</v>
      </c>
      <c r="AA25" s="1813">
        <f>D25/F25</f>
        <v>1</v>
      </c>
      <c r="AB25" s="1813">
        <f>D25/H25</f>
        <v>1</v>
      </c>
      <c r="AC25" s="1813">
        <f>D25/J25</f>
        <v>1</v>
      </c>
    </row>
    <row r="26" spans="1:29" ht="15">
      <c r="A26" s="466" t="s">
        <v>2552</v>
      </c>
      <c r="B26" s="71" t="s">
        <v>2703</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190" t="s">
        <v>2554</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91" t="s">
        <v>2554</v>
      </c>
      <c r="Z26" s="1816" t="str">
        <f t="shared" ref="Z26:Z34" si="15">Q26</f>
        <v>公共部分装修</v>
      </c>
      <c r="AA26" s="1813">
        <f t="shared" si="3"/>
        <v>1</v>
      </c>
      <c r="AB26" s="1813">
        <f t="shared" si="4"/>
        <v>1</v>
      </c>
      <c r="AC26" s="1813">
        <f t="shared" si="5"/>
        <v>1</v>
      </c>
    </row>
    <row r="27" spans="1:29" s="471" customFormat="1" ht="15">
      <c r="A27" s="468"/>
      <c r="B27" s="422" t="s">
        <v>2704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1"/>
      <c r="Q27" s="776" t="str">
        <f t="shared" si="11"/>
        <v>成新率</v>
      </c>
      <c r="R27" s="777" t="s">
        <v>17</v>
      </c>
      <c r="S27" s="778" t="e">
        <f t="shared" si="12"/>
        <v>#N/A</v>
      </c>
      <c r="T27" s="777" t="s">
        <v>17</v>
      </c>
      <c r="U27" s="778" t="e">
        <f t="shared" si="13"/>
        <v>#N/A</v>
      </c>
      <c r="V27" s="777" t="s">
        <v>17</v>
      </c>
      <c r="W27" s="778" t="e">
        <f t="shared" si="14"/>
        <v>#N/A</v>
      </c>
      <c r="X27" s="779"/>
      <c r="Y27" s="3191"/>
      <c r="Z27" s="780" t="str">
        <f t="shared" si="15"/>
        <v>成新率</v>
      </c>
      <c r="AA27" s="1813" t="e">
        <f t="shared" si="3"/>
        <v>#N/A</v>
      </c>
      <c r="AB27" s="1813" t="e">
        <f t="shared" si="4"/>
        <v>#N/A</v>
      </c>
      <c r="AC27" s="1813" t="e">
        <f t="shared" si="5"/>
        <v>#N/A</v>
      </c>
    </row>
    <row r="28" spans="1:29" ht="15">
      <c r="A28" s="472"/>
      <c r="B28" s="422" t="s">
        <v>2705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1"/>
      <c r="Q28" s="1812" t="str">
        <f t="shared" si="11"/>
        <v>物业等级</v>
      </c>
      <c r="R28" s="774" t="s">
        <v>17</v>
      </c>
      <c r="S28" s="775">
        <f t="shared" si="12"/>
        <v>100</v>
      </c>
      <c r="T28" s="774" t="s">
        <v>17</v>
      </c>
      <c r="U28" s="775">
        <f t="shared" si="13"/>
        <v>100</v>
      </c>
      <c r="V28" s="774" t="s">
        <v>17</v>
      </c>
      <c r="W28" s="775">
        <f t="shared" si="14"/>
        <v>100</v>
      </c>
      <c r="X28" s="1815"/>
      <c r="Y28" s="3191"/>
      <c r="Z28" s="1816" t="str">
        <f t="shared" si="15"/>
        <v>物业等级</v>
      </c>
      <c r="AA28" s="1813">
        <f t="shared" si="3"/>
        <v>1</v>
      </c>
      <c r="AB28" s="1813">
        <f t="shared" si="4"/>
        <v>1</v>
      </c>
      <c r="AC28" s="1813">
        <f t="shared" si="5"/>
        <v>1</v>
      </c>
    </row>
    <row r="29" spans="1:29" ht="15">
      <c r="A29" s="472"/>
      <c r="B29" s="422" t="s">
        <v>2726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1"/>
      <c r="Q29" s="1812" t="str">
        <f t="shared" si="11"/>
        <v>有无电梯</v>
      </c>
      <c r="R29" s="774" t="s">
        <v>17</v>
      </c>
      <c r="S29" s="775">
        <f t="shared" si="12"/>
        <v>100</v>
      </c>
      <c r="T29" s="774" t="s">
        <v>17</v>
      </c>
      <c r="U29" s="775">
        <f t="shared" si="13"/>
        <v>100</v>
      </c>
      <c r="V29" s="774" t="s">
        <v>17</v>
      </c>
      <c r="W29" s="775">
        <f t="shared" si="14"/>
        <v>100</v>
      </c>
      <c r="X29" s="1815"/>
      <c r="Y29" s="3191"/>
      <c r="Z29" s="1816" t="str">
        <f t="shared" si="15"/>
        <v>有无电梯</v>
      </c>
      <c r="AA29" s="1813">
        <f t="shared" si="3"/>
        <v>1</v>
      </c>
      <c r="AB29" s="1813">
        <f t="shared" si="4"/>
        <v>1</v>
      </c>
      <c r="AC29" s="1813">
        <f t="shared" si="5"/>
        <v>1</v>
      </c>
    </row>
    <row r="30" spans="1:29" ht="15">
      <c r="A30" s="472"/>
      <c r="B30" s="422" t="s">
        <v>2727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1"/>
      <c r="Q30" s="1812" t="str">
        <f t="shared" si="11"/>
        <v>建筑面积</v>
      </c>
      <c r="R30" s="774" t="s">
        <v>17</v>
      </c>
      <c r="S30" s="775" t="e">
        <f t="shared" si="12"/>
        <v>#N/A</v>
      </c>
      <c r="T30" s="774" t="s">
        <v>17</v>
      </c>
      <c r="U30" s="775" t="e">
        <f t="shared" si="13"/>
        <v>#N/A</v>
      </c>
      <c r="V30" s="774" t="s">
        <v>17</v>
      </c>
      <c r="W30" s="775" t="e">
        <f t="shared" si="14"/>
        <v>#N/A</v>
      </c>
      <c r="X30" s="1815"/>
      <c r="Y30" s="3191"/>
      <c r="Z30" s="1816" t="str">
        <f t="shared" si="15"/>
        <v>建筑面积</v>
      </c>
      <c r="AA30" s="1813" t="e">
        <f t="shared" si="3"/>
        <v>#N/A</v>
      </c>
      <c r="AB30" s="1813" t="e">
        <f t="shared" si="4"/>
        <v>#N/A</v>
      </c>
      <c r="AC30" s="1813" t="e">
        <f t="shared" si="5"/>
        <v>#N/A</v>
      </c>
    </row>
    <row r="31" spans="1:29" s="117" customFormat="1" ht="15">
      <c r="A31" s="473"/>
      <c r="B31" s="422" t="s">
        <v>2728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1"/>
      <c r="Q31" s="1797" t="str">
        <f t="shared" si="11"/>
        <v>是否封闭</v>
      </c>
      <c r="R31" s="770" t="s">
        <v>17</v>
      </c>
      <c r="S31" s="771">
        <f t="shared" si="12"/>
        <v>100</v>
      </c>
      <c r="T31" s="770" t="s">
        <v>17</v>
      </c>
      <c r="U31" s="771">
        <f t="shared" si="13"/>
        <v>100</v>
      </c>
      <c r="V31" s="770" t="s">
        <v>17</v>
      </c>
      <c r="W31" s="771">
        <f t="shared" si="14"/>
        <v>100</v>
      </c>
      <c r="X31" s="772"/>
      <c r="Y31" s="319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1" t="s">
        <v>2554</v>
      </c>
      <c r="Q32" s="1812">
        <f t="shared" si="11"/>
        <v>111</v>
      </c>
      <c r="R32" s="774" t="s">
        <v>17</v>
      </c>
      <c r="S32" s="775">
        <f t="shared" si="12"/>
        <v>100</v>
      </c>
      <c r="T32" s="774" t="s">
        <v>17</v>
      </c>
      <c r="U32" s="775">
        <f t="shared" si="13"/>
        <v>100</v>
      </c>
      <c r="V32" s="774" t="s">
        <v>17</v>
      </c>
      <c r="W32" s="775">
        <f t="shared" si="14"/>
        <v>100</v>
      </c>
      <c r="X32" s="1815"/>
      <c r="Y32" s="3191" t="s">
        <v>2554</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1"/>
      <c r="Q33" s="1812">
        <f t="shared" si="11"/>
        <v>111</v>
      </c>
      <c r="R33" s="774" t="s">
        <v>17</v>
      </c>
      <c r="S33" s="775">
        <f t="shared" si="12"/>
        <v>100</v>
      </c>
      <c r="T33" s="774" t="s">
        <v>17</v>
      </c>
      <c r="U33" s="775">
        <f t="shared" si="13"/>
        <v>100</v>
      </c>
      <c r="V33" s="774" t="s">
        <v>17</v>
      </c>
      <c r="W33" s="775">
        <f t="shared" si="14"/>
        <v>100</v>
      </c>
      <c r="X33" s="1815"/>
      <c r="Y33" s="3191"/>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191"/>
      <c r="Q34" s="1812">
        <f t="shared" si="11"/>
        <v>111</v>
      </c>
      <c r="R34" s="774" t="s">
        <v>17</v>
      </c>
      <c r="S34" s="775">
        <f t="shared" si="12"/>
        <v>100</v>
      </c>
      <c r="T34" s="774" t="s">
        <v>17</v>
      </c>
      <c r="U34" s="775">
        <f t="shared" si="13"/>
        <v>100</v>
      </c>
      <c r="V34" s="774" t="s">
        <v>17</v>
      </c>
      <c r="W34" s="775">
        <f t="shared" si="14"/>
        <v>100</v>
      </c>
      <c r="X34" s="1815"/>
      <c r="Y34" s="3191"/>
      <c r="Z34" s="1816">
        <f t="shared" si="15"/>
        <v>111</v>
      </c>
      <c r="AA34" s="1813">
        <f t="shared" si="3"/>
        <v>1</v>
      </c>
      <c r="AB34" s="1813">
        <f t="shared" si="4"/>
        <v>1</v>
      </c>
      <c r="AC34" s="1813">
        <f t="shared" si="5"/>
        <v>1</v>
      </c>
    </row>
    <row r="35" spans="1:29" ht="15">
      <c r="A35" s="479" t="s">
        <v>2566</v>
      </c>
      <c r="B35" s="480"/>
      <c r="C35" s="1410" t="s">
        <v>1</v>
      </c>
      <c r="D35" s="1411"/>
      <c r="E35" s="1412"/>
      <c r="F35" s="1413"/>
      <c r="G35" s="1414"/>
      <c r="H35" s="1415"/>
      <c r="I35" s="1412"/>
      <c r="J35" s="1415"/>
      <c r="K35" s="783"/>
      <c r="L35" s="1146"/>
      <c r="M35" s="1147"/>
      <c r="N35" s="1134"/>
      <c r="O35" s="1147"/>
      <c r="P35" s="3173" t="str">
        <f>A35</f>
        <v>成交单价（元/平方米）</v>
      </c>
      <c r="Q35" s="3173"/>
      <c r="R35" s="3235">
        <f>E35</f>
        <v>0</v>
      </c>
      <c r="S35" s="3235"/>
      <c r="T35" s="3235">
        <f>G35</f>
        <v>0</v>
      </c>
      <c r="U35" s="3235"/>
      <c r="V35" s="3235">
        <f>I35</f>
        <v>0</v>
      </c>
      <c r="W35" s="3235"/>
      <c r="X35" s="759"/>
      <c r="Y35" s="781"/>
      <c r="Z35" s="759"/>
      <c r="AA35" s="759"/>
      <c r="AB35" s="759"/>
      <c r="AC35" s="759"/>
    </row>
    <row r="36" spans="1:29" ht="15.75" thickBot="1">
      <c r="A36" s="486" t="s">
        <v>2658</v>
      </c>
      <c r="B36" s="487"/>
      <c r="C36" s="1416" t="e">
        <f>R37</f>
        <v>#DIV/0!</v>
      </c>
      <c r="D36" s="1417"/>
      <c r="E36" s="1418" t="e">
        <f>R36</f>
        <v>#DIV/0!</v>
      </c>
      <c r="F36" s="1418"/>
      <c r="G36" s="1416" t="e">
        <f>T36</f>
        <v>#DIV/0!</v>
      </c>
      <c r="H36" s="1417"/>
      <c r="I36" s="1418" t="e">
        <f>V36</f>
        <v>#DIV/0!</v>
      </c>
      <c r="J36" s="1417"/>
      <c r="K36" s="784"/>
      <c r="L36" s="1146"/>
      <c r="M36" s="1147"/>
      <c r="N36" s="1134"/>
      <c r="O36" s="1147"/>
      <c r="P36" s="3173" t="str">
        <f>A36</f>
        <v>比较价值（元/平方米）</v>
      </c>
      <c r="Q36" s="3173"/>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2659</v>
      </c>
      <c r="B37" s="493"/>
      <c r="C37" s="1420" t="e">
        <f>R37</f>
        <v>#DIV/0!</v>
      </c>
      <c r="D37" s="1420"/>
      <c r="E37" s="1420"/>
      <c r="F37" s="1420"/>
      <c r="G37" s="1420"/>
      <c r="H37" s="1420"/>
      <c r="I37" s="1420"/>
      <c r="J37" s="1420"/>
      <c r="K37" s="785"/>
      <c r="L37" s="1146"/>
      <c r="M37" s="1147"/>
      <c r="N37" s="1147"/>
      <c r="O37" s="1147"/>
      <c r="P37" s="3193" t="str">
        <f>A37</f>
        <v>估价对象XX用房的比较价值（楼面单价，元/平方米）</v>
      </c>
      <c r="Q37" s="3194"/>
      <c r="R37" s="3234" t="e">
        <f>IF(F1="售价",ROUND(AVERAGE(R36:V36),0),ROUND(AVERAGE(R36:V36),1))</f>
        <v>#DIV/0!</v>
      </c>
      <c r="S37" s="3234"/>
      <c r="T37" s="3234"/>
      <c r="U37" s="3234"/>
      <c r="V37" s="3234"/>
      <c r="W37" s="3234"/>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2663</v>
      </c>
      <c r="B45" s="759"/>
      <c r="C45" s="764"/>
      <c r="D45" s="764"/>
      <c r="E45" s="764"/>
      <c r="F45" s="765"/>
      <c r="G45" s="765"/>
      <c r="H45" s="764"/>
      <c r="I45" s="764"/>
      <c r="J45" s="764"/>
      <c r="K45" s="766"/>
      <c r="L45" s="767"/>
      <c r="M45" s="764"/>
      <c r="N45" s="764"/>
      <c r="O45" s="764"/>
      <c r="P45" s="503"/>
      <c r="Q45" s="504"/>
    </row>
    <row r="46" spans="1:29" s="508" customFormat="1" ht="15">
      <c r="A46" s="505" t="s">
        <v>2537</v>
      </c>
      <c r="B46" s="506"/>
      <c r="C46" s="1576" t="str">
        <f>YEAR(C7)&amp;"-"&amp;MONTH(C7)</f>
        <v>2018-5</v>
      </c>
      <c r="D46" s="1577">
        <f>EDATE(C46,-1)</f>
        <v>43191</v>
      </c>
      <c r="E46" s="1577">
        <f t="shared" ref="E46:O46" si="16">EDATE(D46,-1)</f>
        <v>43160</v>
      </c>
      <c r="F46" s="1577">
        <f t="shared" si="16"/>
        <v>43132</v>
      </c>
      <c r="G46" s="1577">
        <f t="shared" si="16"/>
        <v>43101</v>
      </c>
      <c r="H46" s="1577">
        <f t="shared" si="16"/>
        <v>43070</v>
      </c>
      <c r="I46" s="1577">
        <f t="shared" si="16"/>
        <v>43040</v>
      </c>
      <c r="J46" s="1577">
        <f t="shared" si="16"/>
        <v>43009</v>
      </c>
      <c r="K46" s="1577">
        <f t="shared" si="16"/>
        <v>42979</v>
      </c>
      <c r="L46" s="1577">
        <f t="shared" si="16"/>
        <v>42948</v>
      </c>
      <c r="M46" s="1577">
        <f t="shared" si="16"/>
        <v>42917</v>
      </c>
      <c r="N46" s="1577">
        <f t="shared" si="16"/>
        <v>42887</v>
      </c>
      <c r="O46" s="1577">
        <f t="shared" si="16"/>
        <v>42856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2574</v>
      </c>
      <c r="B48" s="516"/>
      <c r="C48" s="517"/>
      <c r="D48" s="518"/>
      <c r="E48" s="518"/>
      <c r="F48" s="518"/>
      <c r="G48" s="518"/>
      <c r="H48" s="518"/>
      <c r="I48" s="518"/>
      <c r="J48" s="518"/>
      <c r="K48" s="518"/>
      <c r="L48" s="518"/>
      <c r="M48" s="519"/>
      <c r="N48" s="518"/>
      <c r="O48" s="520"/>
      <c r="P48" s="504"/>
      <c r="Q48" s="504"/>
    </row>
    <row r="49" spans="1:17" s="117" customFormat="1" ht="15">
      <c r="A49" s="521" t="s">
        <v>2539</v>
      </c>
      <c r="B49" s="510"/>
      <c r="C49" s="522" t="s">
        <v>2641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2577</v>
      </c>
      <c r="B51" s="528" t="s">
        <v>2543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2546</v>
      </c>
      <c r="C53" s="539" t="s">
        <v>2578</v>
      </c>
      <c r="D53" s="539" t="s">
        <v>2579</v>
      </c>
      <c r="E53" s="539" t="s">
        <v>2580</v>
      </c>
      <c r="F53" s="539" t="s">
        <v>2581</v>
      </c>
      <c r="G53" s="539" t="s">
        <v>2582</v>
      </c>
      <c r="H53" s="539" t="s">
        <v>2583</v>
      </c>
      <c r="I53" s="539" t="s">
        <v>2584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2548</v>
      </c>
      <c r="B61" s="528" t="s">
        <v>2591</v>
      </c>
      <c r="C61" s="573" t="s">
        <v>2586</v>
      </c>
      <c r="D61" s="573" t="s">
        <v>2587</v>
      </c>
      <c r="E61" s="573" t="s">
        <v>2588</v>
      </c>
      <c r="F61" s="573" t="s">
        <v>2589</v>
      </c>
      <c r="G61" s="573" t="s">
        <v>2590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2729</v>
      </c>
      <c r="C63" s="578" t="s">
        <v>2586</v>
      </c>
      <c r="D63" s="578" t="s">
        <v>2587</v>
      </c>
      <c r="E63" s="578" t="s">
        <v>2588</v>
      </c>
      <c r="F63" s="578" t="s">
        <v>2589</v>
      </c>
      <c r="G63" s="578" t="s">
        <v>2590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2678</v>
      </c>
      <c r="C65" s="660" t="s">
        <v>2664</v>
      </c>
      <c r="D65" s="660" t="s">
        <v>2665</v>
      </c>
      <c r="E65" s="660" t="s">
        <v>2666</v>
      </c>
      <c r="F65" s="660" t="s">
        <v>2667</v>
      </c>
      <c r="G65" s="660" t="s">
        <v>2668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2598</v>
      </c>
      <c r="C67" s="578" t="s">
        <v>2586</v>
      </c>
      <c r="D67" s="578" t="s">
        <v>2587</v>
      </c>
      <c r="E67" s="578" t="s">
        <v>2588</v>
      </c>
      <c r="F67" s="578" t="s">
        <v>2589</v>
      </c>
      <c r="G67" s="578" t="s">
        <v>2590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2552</v>
      </c>
      <c r="B77" s="528" t="s">
        <v>2605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2733</v>
      </c>
      <c r="B1" s="395"/>
      <c r="C1" s="396" t="s">
        <v>2781</v>
      </c>
      <c r="D1" s="755"/>
      <c r="E1" s="755"/>
      <c r="F1" s="754" t="s">
        <v>2632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t="e">
        <f>ROUND(IF(D3="",B2*10000/'数据-汇总表'!E3,B2*10000/D3),0)</f>
        <v>#DIV/0!</v>
      </c>
      <c r="C3" s="247" t="s">
        <v>2735</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174" t="s">
        <v>2635</v>
      </c>
      <c r="D4" s="3175"/>
      <c r="E4" s="3176" t="s">
        <v>2636</v>
      </c>
      <c r="F4" s="3177"/>
      <c r="G4" s="3174" t="s">
        <v>2637</v>
      </c>
      <c r="H4" s="3175"/>
      <c r="I4" s="3174" t="s">
        <v>2638</v>
      </c>
      <c r="J4" s="3175"/>
      <c r="K4" s="610" t="s">
        <v>2639</v>
      </c>
      <c r="L4" s="1133"/>
      <c r="M4" s="1134"/>
      <c r="N4" s="1134"/>
      <c r="O4" s="1134"/>
      <c r="P4" s="3178" t="s">
        <v>2640</v>
      </c>
      <c r="Q4" s="3179"/>
      <c r="R4" s="3160" t="s">
        <v>2636</v>
      </c>
      <c r="S4" s="3161"/>
      <c r="T4" s="3160" t="s">
        <v>2637</v>
      </c>
      <c r="U4" s="3161"/>
      <c r="V4" s="3186" t="s">
        <v>2638</v>
      </c>
      <c r="W4" s="3186"/>
      <c r="X4" s="1815"/>
      <c r="Y4" s="3160" t="s">
        <v>2640</v>
      </c>
      <c r="Z4" s="3161"/>
      <c r="AA4" s="3155" t="s">
        <v>2636</v>
      </c>
      <c r="AB4" s="3156" t="s">
        <v>2637</v>
      </c>
      <c r="AC4" s="3155" t="s">
        <v>2638</v>
      </c>
    </row>
    <row r="5" spans="1:29" ht="15">
      <c r="A5" s="404"/>
      <c r="B5" s="405"/>
      <c r="C5" s="3228" t="s">
        <v>2531</v>
      </c>
      <c r="D5" s="3229"/>
      <c r="E5" s="3226" t="s">
        <v>2532</v>
      </c>
      <c r="F5" s="3227"/>
      <c r="G5" s="3228" t="s">
        <v>2533</v>
      </c>
      <c r="H5" s="3229"/>
      <c r="I5" s="3228" t="s">
        <v>2534</v>
      </c>
      <c r="J5" s="3229"/>
      <c r="K5" s="610"/>
      <c r="L5" s="1133"/>
      <c r="M5" s="1134"/>
      <c r="N5" s="1134"/>
      <c r="O5" s="1134"/>
      <c r="P5" s="3180"/>
      <c r="Q5" s="3181"/>
      <c r="R5" s="3162"/>
      <c r="S5" s="3163"/>
      <c r="T5" s="3162"/>
      <c r="U5" s="3163"/>
      <c r="V5" s="3186"/>
      <c r="W5" s="3186"/>
      <c r="X5" s="1815"/>
      <c r="Y5" s="3162"/>
      <c r="Z5" s="3163"/>
      <c r="AA5" s="3156"/>
      <c r="AB5" s="3156"/>
      <c r="AC5" s="3156"/>
    </row>
    <row r="6" spans="1:29" ht="15.75" thickBot="1">
      <c r="A6" s="406"/>
      <c r="B6" s="407"/>
      <c r="C6" s="3168" t="s">
        <v>2782</v>
      </c>
      <c r="D6" s="3169"/>
      <c r="E6" s="3171" t="s">
        <v>2782</v>
      </c>
      <c r="F6" s="3172"/>
      <c r="G6" s="3168" t="s">
        <v>2782</v>
      </c>
      <c r="H6" s="3169"/>
      <c r="I6" s="3168" t="s">
        <v>2782</v>
      </c>
      <c r="J6" s="3169"/>
      <c r="K6" s="610" t="s">
        <v>2536</v>
      </c>
      <c r="L6" s="1133"/>
      <c r="M6" s="1134"/>
      <c r="N6" s="1134"/>
      <c r="O6" s="1134"/>
      <c r="P6" s="3182"/>
      <c r="Q6" s="3183"/>
      <c r="R6" s="3162"/>
      <c r="S6" s="3163"/>
      <c r="T6" s="3184"/>
      <c r="U6" s="3185"/>
      <c r="V6" s="3186"/>
      <c r="W6" s="3186"/>
      <c r="X6" s="1815"/>
      <c r="Y6" s="3184"/>
      <c r="Z6" s="3185"/>
      <c r="AA6" s="3157"/>
      <c r="AB6" s="3157"/>
      <c r="AC6" s="3157"/>
    </row>
    <row r="7" spans="1:29" s="117" customFormat="1" ht="15.75" thickBot="1">
      <c r="A7" s="408" t="s">
        <v>2537</v>
      </c>
      <c r="B7" s="409"/>
      <c r="C7" s="410">
        <f>'数据-取费表'!B2</f>
        <v>43235</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58" t="s">
        <v>2538</v>
      </c>
      <c r="Q7" s="3187"/>
      <c r="R7" s="770" t="s">
        <v>17</v>
      </c>
      <c r="S7" s="771">
        <f t="shared" ref="S7:S15" si="0">F7</f>
        <v>0</v>
      </c>
      <c r="T7" s="770" t="s">
        <v>17</v>
      </c>
      <c r="U7" s="771">
        <f t="shared" ref="U7:U15" si="1">H7</f>
        <v>0</v>
      </c>
      <c r="V7" s="770" t="s">
        <v>17</v>
      </c>
      <c r="W7" s="771">
        <f t="shared" ref="W7:W15" si="2">J7</f>
        <v>0</v>
      </c>
      <c r="X7" s="772"/>
      <c r="Y7" s="3158" t="s">
        <v>2538</v>
      </c>
      <c r="Z7" s="3159"/>
      <c r="AA7" s="773" t="e">
        <f>D7/F7</f>
        <v>#DIV/0!</v>
      </c>
      <c r="AB7" s="773" t="e">
        <f>D7/H7</f>
        <v>#DIV/0!</v>
      </c>
      <c r="AC7" s="773" t="e">
        <f>D7/J7</f>
        <v>#DIV/0!</v>
      </c>
    </row>
    <row r="8" spans="1:29" s="117" customFormat="1" ht="15.75" thickBot="1">
      <c r="A8" s="408" t="s">
        <v>2539</v>
      </c>
      <c r="B8" s="409"/>
      <c r="C8" s="414" t="s">
        <v>2540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8" t="s">
        <v>2541</v>
      </c>
      <c r="Q8" s="3159"/>
      <c r="R8" s="770" t="s">
        <v>17</v>
      </c>
      <c r="S8" s="771">
        <f t="shared" si="0"/>
        <v>0</v>
      </c>
      <c r="T8" s="770" t="s">
        <v>17</v>
      </c>
      <c r="U8" s="771">
        <f t="shared" si="1"/>
        <v>0</v>
      </c>
      <c r="V8" s="770" t="s">
        <v>17</v>
      </c>
      <c r="W8" s="771">
        <f t="shared" si="2"/>
        <v>0</v>
      </c>
      <c r="X8" s="772"/>
      <c r="Y8" s="3158" t="s">
        <v>2541</v>
      </c>
      <c r="Z8" s="3159"/>
      <c r="AA8" s="773" t="e">
        <f t="shared" ref="AA8:AA40" si="3">D8/F8</f>
        <v>#DIV/0!</v>
      </c>
      <c r="AB8" s="773" t="e">
        <f t="shared" ref="AB8:AB40" si="4">D8/H8</f>
        <v>#DIV/0!</v>
      </c>
      <c r="AC8" s="773" t="e">
        <f t="shared" ref="AC8:AC40" si="5">D8/J8</f>
        <v>#DIV/0!</v>
      </c>
    </row>
    <row r="9" spans="1:29" s="117" customFormat="1">
      <c r="A9" s="415" t="s">
        <v>2542</v>
      </c>
      <c r="B9" s="71" t="s">
        <v>2543</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173" t="s">
        <v>2544</v>
      </c>
      <c r="Q9" s="1797" t="str">
        <f t="shared" ref="Q9:Q15" si="6">B9</f>
        <v>用途</v>
      </c>
      <c r="R9" s="770" t="s">
        <v>17</v>
      </c>
      <c r="S9" s="771">
        <f t="shared" si="0"/>
        <v>100</v>
      </c>
      <c r="T9" s="770" t="s">
        <v>17</v>
      </c>
      <c r="U9" s="771">
        <f t="shared" si="1"/>
        <v>100</v>
      </c>
      <c r="V9" s="770" t="s">
        <v>17</v>
      </c>
      <c r="W9" s="771">
        <f t="shared" si="2"/>
        <v>100</v>
      </c>
      <c r="X9" s="772"/>
      <c r="Y9" s="3032" t="s">
        <v>2545</v>
      </c>
      <c r="Z9" s="55" t="str">
        <f t="shared" ref="Z9:Z15" si="7">Q9</f>
        <v>用途</v>
      </c>
      <c r="AA9" s="773">
        <f t="shared" si="3"/>
        <v>1</v>
      </c>
      <c r="AB9" s="773">
        <f t="shared" si="4"/>
        <v>1</v>
      </c>
      <c r="AC9" s="773">
        <f t="shared" si="5"/>
        <v>1</v>
      </c>
    </row>
    <row r="10" spans="1:29" s="427" customFormat="1" ht="27">
      <c r="A10" s="421"/>
      <c r="B10" s="422" t="s">
        <v>2546</v>
      </c>
      <c r="C10" s="432"/>
      <c r="D10" s="136">
        <v>100</v>
      </c>
      <c r="E10" s="432"/>
      <c r="F10" s="136">
        <f>ROUND(100/'数据-取费表'!G16,0)</f>
        <v>107</v>
      </c>
      <c r="G10" s="432"/>
      <c r="H10" s="136">
        <f>ROUND(100/'数据-取费表'!G16,0)</f>
        <v>107</v>
      </c>
      <c r="I10" s="432"/>
      <c r="J10" s="136">
        <f>ROUND(100/'数据-取费表'!G16,0)</f>
        <v>107</v>
      </c>
      <c r="K10" s="672"/>
      <c r="L10" s="1138"/>
      <c r="M10" s="1139"/>
      <c r="N10" s="1139"/>
      <c r="O10" s="1140"/>
      <c r="P10" s="3173"/>
      <c r="Q10" s="1797" t="str">
        <f t="shared" si="6"/>
        <v>土地使用年限（年）</v>
      </c>
      <c r="R10" s="770" t="s">
        <v>17</v>
      </c>
      <c r="S10" s="771">
        <f t="shared" si="0"/>
        <v>107</v>
      </c>
      <c r="T10" s="770" t="s">
        <v>17</v>
      </c>
      <c r="U10" s="771">
        <f t="shared" si="1"/>
        <v>107</v>
      </c>
      <c r="V10" s="770" t="s">
        <v>17</v>
      </c>
      <c r="W10" s="771">
        <f t="shared" si="2"/>
        <v>107</v>
      </c>
      <c r="X10" s="772"/>
      <c r="Y10" s="3032"/>
      <c r="Z10" s="55" t="str">
        <f t="shared" si="7"/>
        <v>土地使用年限（年）</v>
      </c>
      <c r="AA10" s="773">
        <f t="shared" si="3"/>
        <v>0.93457943925233644</v>
      </c>
      <c r="AB10" s="773">
        <f t="shared" si="4"/>
        <v>0.93457943925233644</v>
      </c>
      <c r="AC10" s="773">
        <f t="shared" si="5"/>
        <v>0.93457943925233644</v>
      </c>
    </row>
    <row r="11" spans="1:29" ht="15">
      <c r="A11" s="428"/>
      <c r="B11" s="422" t="s">
        <v>2547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3"/>
      <c r="Q11" s="1797"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3"/>
      <c r="Q12" s="1797">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3"/>
      <c r="Q13" s="1797">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3"/>
      <c r="Q14" s="1797">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15">
      <c r="A15" s="440" t="s">
        <v>2548</v>
      </c>
      <c r="B15" s="629" t="s">
        <v>2783</v>
      </c>
      <c r="C15" s="2695">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8" t="s">
        <v>2549</v>
      </c>
      <c r="Q15" s="1812" t="str">
        <f t="shared" si="6"/>
        <v>产业集聚程度</v>
      </c>
      <c r="R15" s="774" t="s">
        <v>17</v>
      </c>
      <c r="S15" s="775">
        <f t="shared" si="0"/>
        <v>100</v>
      </c>
      <c r="T15" s="774" t="s">
        <v>17</v>
      </c>
      <c r="U15" s="775">
        <f t="shared" si="1"/>
        <v>100</v>
      </c>
      <c r="V15" s="774" t="s">
        <v>17</v>
      </c>
      <c r="W15" s="775">
        <f t="shared" si="2"/>
        <v>100</v>
      </c>
      <c r="X15" s="1815"/>
      <c r="Y15" s="3188" t="s">
        <v>2549</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3"/>
      <c r="M16" s="1134"/>
      <c r="N16" s="1134"/>
      <c r="O16" s="1142"/>
      <c r="P16" s="3189"/>
      <c r="Q16" s="1812"/>
      <c r="R16" s="774"/>
      <c r="S16" s="775"/>
      <c r="T16" s="774"/>
      <c r="U16" s="775"/>
      <c r="V16" s="774"/>
      <c r="W16" s="775"/>
      <c r="X16" s="1815"/>
      <c r="Y16" s="3189"/>
      <c r="Z16" s="1816"/>
      <c r="AA16" s="1813">
        <v>1</v>
      </c>
      <c r="AB16" s="1813">
        <v>1</v>
      </c>
      <c r="AC16" s="1813">
        <v>1</v>
      </c>
    </row>
    <row r="17" spans="1:29" ht="15">
      <c r="A17" s="428"/>
      <c r="B17" s="631" t="s">
        <v>2698</v>
      </c>
      <c r="C17" s="2609">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9"/>
      <c r="Q17" s="1812" t="str">
        <f>B17</f>
        <v>交通便捷度</v>
      </c>
      <c r="R17" s="774" t="s">
        <v>17</v>
      </c>
      <c r="S17" s="775">
        <f>F17</f>
        <v>100</v>
      </c>
      <c r="T17" s="774" t="s">
        <v>17</v>
      </c>
      <c r="U17" s="775">
        <f>H17</f>
        <v>100</v>
      </c>
      <c r="V17" s="774" t="s">
        <v>17</v>
      </c>
      <c r="W17" s="775">
        <f>J17</f>
        <v>100</v>
      </c>
      <c r="X17" s="1815"/>
      <c r="Y17" s="3189"/>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3"/>
      <c r="M18" s="1134"/>
      <c r="N18" s="1134"/>
      <c r="O18" s="1142"/>
      <c r="P18" s="3189"/>
      <c r="Q18" s="1812"/>
      <c r="R18" s="774"/>
      <c r="S18" s="775"/>
      <c r="T18" s="774"/>
      <c r="U18" s="775"/>
      <c r="V18" s="774"/>
      <c r="W18" s="775"/>
      <c r="X18" s="1815"/>
      <c r="Y18" s="3189"/>
      <c r="Z18" s="1816"/>
      <c r="AA18" s="1813">
        <v>1</v>
      </c>
      <c r="AB18" s="1813">
        <v>1</v>
      </c>
      <c r="AC18" s="1813">
        <v>1</v>
      </c>
    </row>
    <row r="19" spans="1:29" ht="15">
      <c r="A19" s="428"/>
      <c r="B19" s="631" t="s">
        <v>2736</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9"/>
      <c r="Q19" s="1812" t="str">
        <f t="shared" ref="Q19:Q33" si="8">B19</f>
        <v>区域土地利用方向</v>
      </c>
      <c r="R19" s="774" t="s">
        <v>17</v>
      </c>
      <c r="S19" s="775">
        <f>F19</f>
        <v>100</v>
      </c>
      <c r="T19" s="774" t="s">
        <v>17</v>
      </c>
      <c r="U19" s="775">
        <f>H19</f>
        <v>100</v>
      </c>
      <c r="V19" s="774" t="s">
        <v>17</v>
      </c>
      <c r="W19" s="775">
        <f>J19</f>
        <v>100</v>
      </c>
      <c r="X19" s="1815"/>
      <c r="Y19" s="3189"/>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3"/>
      <c r="M20" s="1134"/>
      <c r="N20" s="1134"/>
      <c r="O20" s="1142"/>
      <c r="P20" s="3189"/>
      <c r="Q20" s="1812"/>
      <c r="R20" s="774"/>
      <c r="S20" s="775"/>
      <c r="T20" s="774"/>
      <c r="U20" s="775"/>
      <c r="V20" s="774"/>
      <c r="W20" s="775"/>
      <c r="X20" s="1815"/>
      <c r="Y20" s="3189"/>
      <c r="Z20" s="1816"/>
      <c r="AA20" s="1813"/>
      <c r="AB20" s="1813"/>
      <c r="AC20" s="1813"/>
    </row>
    <row r="21" spans="1:29" ht="15">
      <c r="A21" s="404"/>
      <c r="B21" s="631" t="s">
        <v>2784</v>
      </c>
      <c r="C21" s="2609">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9"/>
      <c r="Q21" s="1812" t="str">
        <f t="shared" si="8"/>
        <v>环境状况</v>
      </c>
      <c r="R21" s="774" t="s">
        <v>17</v>
      </c>
      <c r="S21" s="775">
        <f>F21</f>
        <v>100</v>
      </c>
      <c r="T21" s="774" t="s">
        <v>17</v>
      </c>
      <c r="U21" s="775">
        <f>H21</f>
        <v>100</v>
      </c>
      <c r="V21" s="774" t="s">
        <v>17</v>
      </c>
      <c r="W21" s="775">
        <f>J21</f>
        <v>100</v>
      </c>
      <c r="X21" s="1815"/>
      <c r="Y21" s="3189"/>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3"/>
      <c r="M22" s="1134"/>
      <c r="N22" s="1134"/>
      <c r="O22" s="1142"/>
      <c r="P22" s="3189"/>
      <c r="Q22" s="1812"/>
      <c r="R22" s="774"/>
      <c r="S22" s="775"/>
      <c r="T22" s="774"/>
      <c r="U22" s="775"/>
      <c r="V22" s="774"/>
      <c r="W22" s="775"/>
      <c r="X22" s="1815"/>
      <c r="Y22" s="3189"/>
      <c r="Z22" s="1816"/>
      <c r="AA22" s="1813">
        <v>1</v>
      </c>
      <c r="AB22" s="1813">
        <v>1</v>
      </c>
      <c r="AC22" s="1813">
        <v>1</v>
      </c>
    </row>
    <row r="23" spans="1:29" s="117" customFormat="1" ht="15">
      <c r="A23" s="649"/>
      <c r="B23" s="633" t="s">
        <v>2643</v>
      </c>
      <c r="C23" s="2609">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9"/>
      <c r="Q23" s="1797" t="str">
        <f t="shared" si="8"/>
        <v>公共配套设施</v>
      </c>
      <c r="R23" s="770" t="s">
        <v>17</v>
      </c>
      <c r="S23" s="771">
        <f>F23</f>
        <v>100</v>
      </c>
      <c r="T23" s="770" t="s">
        <v>17</v>
      </c>
      <c r="U23" s="771">
        <f>H23</f>
        <v>100</v>
      </c>
      <c r="V23" s="770" t="s">
        <v>17</v>
      </c>
      <c r="W23" s="771">
        <f>J23</f>
        <v>100</v>
      </c>
      <c r="X23" s="772"/>
      <c r="Y23" s="3189"/>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5"/>
      <c r="M24" s="1136"/>
      <c r="N24" s="1136"/>
      <c r="O24" s="1137"/>
      <c r="P24" s="3189"/>
      <c r="Q24" s="1797"/>
      <c r="R24" s="770"/>
      <c r="S24" s="771"/>
      <c r="T24" s="770"/>
      <c r="U24" s="771"/>
      <c r="V24" s="770"/>
      <c r="W24" s="771"/>
      <c r="X24" s="772"/>
      <c r="Y24" s="3189"/>
      <c r="Z24" s="55"/>
      <c r="AA24" s="773">
        <v>1</v>
      </c>
      <c r="AB24" s="773">
        <v>1</v>
      </c>
      <c r="AC24" s="773">
        <v>1</v>
      </c>
    </row>
    <row r="25" spans="1:29" s="117" customFormat="1" ht="15">
      <c r="A25" s="649"/>
      <c r="B25" s="633" t="s">
        <v>2644</v>
      </c>
      <c r="C25" s="2609">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9"/>
      <c r="Q25" s="1797" t="str">
        <f t="shared" ref="Q25" si="9">B25</f>
        <v>基础设施水平</v>
      </c>
      <c r="R25" s="770" t="s">
        <v>17</v>
      </c>
      <c r="S25" s="771">
        <f>F25</f>
        <v>100</v>
      </c>
      <c r="T25" s="770" t="s">
        <v>17</v>
      </c>
      <c r="U25" s="771">
        <f>H25</f>
        <v>100</v>
      </c>
      <c r="V25" s="770" t="s">
        <v>17</v>
      </c>
      <c r="W25" s="771">
        <f>J25</f>
        <v>100</v>
      </c>
      <c r="X25" s="772"/>
      <c r="Y25" s="3189"/>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5"/>
      <c r="M26" s="1136"/>
      <c r="N26" s="1136"/>
      <c r="O26" s="1137"/>
      <c r="P26" s="3189"/>
      <c r="Q26" s="1797"/>
      <c r="R26" s="770"/>
      <c r="S26" s="771"/>
      <c r="T26" s="770"/>
      <c r="U26" s="771"/>
      <c r="V26" s="770"/>
      <c r="W26" s="771"/>
      <c r="X26" s="772"/>
      <c r="Y26" s="3189"/>
      <c r="Z26" s="55"/>
      <c r="AA26" s="773">
        <v>1</v>
      </c>
      <c r="AB26" s="773">
        <v>1</v>
      </c>
      <c r="AC26" s="773">
        <v>1</v>
      </c>
    </row>
    <row r="27" spans="1:29" ht="15">
      <c r="A27" s="428"/>
      <c r="B27" s="632" t="s">
        <v>2645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9"/>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9"/>
      <c r="Z27" s="1816" t="str">
        <f t="shared" ref="Z27:Z40" si="13">Q27</f>
        <v>临街状况</v>
      </c>
      <c r="AA27" s="1813">
        <f t="shared" si="3"/>
        <v>1</v>
      </c>
      <c r="AB27" s="1813">
        <f t="shared" si="4"/>
        <v>1</v>
      </c>
      <c r="AC27" s="1813">
        <f t="shared" si="5"/>
        <v>1</v>
      </c>
    </row>
    <row r="28" spans="1:29" ht="27">
      <c r="A28" s="428"/>
      <c r="B28" s="633" t="s">
        <v>2680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9"/>
      <c r="Q28" s="1812" t="str">
        <f t="shared" si="8"/>
        <v>毗邻道路的类型与等级</v>
      </c>
      <c r="R28" s="774" t="s">
        <v>17</v>
      </c>
      <c r="S28" s="775">
        <f t="shared" si="10"/>
        <v>100</v>
      </c>
      <c r="T28" s="774" t="s">
        <v>17</v>
      </c>
      <c r="U28" s="775">
        <f t="shared" si="11"/>
        <v>100</v>
      </c>
      <c r="V28" s="774" t="s">
        <v>17</v>
      </c>
      <c r="W28" s="775">
        <f t="shared" si="12"/>
        <v>100</v>
      </c>
      <c r="X28" s="1815"/>
      <c r="Y28" s="3189"/>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3"/>
      <c r="M29" s="1134"/>
      <c r="N29" s="1134"/>
      <c r="O29" s="1142"/>
      <c r="P29" s="3189"/>
      <c r="Q29" s="1812"/>
      <c r="R29" s="774"/>
      <c r="S29" s="775"/>
      <c r="T29" s="774"/>
      <c r="U29" s="775"/>
      <c r="V29" s="774"/>
      <c r="W29" s="775"/>
      <c r="X29" s="1815"/>
      <c r="Y29" s="3189"/>
      <c r="Z29" s="1816"/>
      <c r="AA29" s="1813">
        <v>1</v>
      </c>
      <c r="AB29" s="1813">
        <v>1</v>
      </c>
      <c r="AC29" s="1813">
        <v>1</v>
      </c>
    </row>
    <row r="30" spans="1:29" ht="15">
      <c r="A30" s="428"/>
      <c r="B30" s="654" t="s">
        <v>2738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9"/>
      <c r="Q30" s="1812" t="str">
        <f t="shared" si="8"/>
        <v>土地级别</v>
      </c>
      <c r="R30" s="774" t="s">
        <v>17</v>
      </c>
      <c r="S30" s="775">
        <f t="shared" si="10"/>
        <v>100</v>
      </c>
      <c r="T30" s="774" t="s">
        <v>17</v>
      </c>
      <c r="U30" s="775">
        <f t="shared" si="11"/>
        <v>100</v>
      </c>
      <c r="V30" s="774" t="s">
        <v>17</v>
      </c>
      <c r="W30" s="775">
        <f t="shared" si="12"/>
        <v>100</v>
      </c>
      <c r="X30" s="1815"/>
      <c r="Y30" s="3189"/>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9"/>
      <c r="Q31" s="1812">
        <f t="shared" si="8"/>
        <v>111</v>
      </c>
      <c r="R31" s="774" t="s">
        <v>17</v>
      </c>
      <c r="S31" s="775">
        <f t="shared" si="10"/>
        <v>100</v>
      </c>
      <c r="T31" s="774" t="s">
        <v>17</v>
      </c>
      <c r="U31" s="775">
        <f t="shared" si="11"/>
        <v>100</v>
      </c>
      <c r="V31" s="774" t="s">
        <v>17</v>
      </c>
      <c r="W31" s="775">
        <f t="shared" si="12"/>
        <v>100</v>
      </c>
      <c r="X31" s="1815"/>
      <c r="Y31" s="3189"/>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90" t="s">
        <v>2554</v>
      </c>
      <c r="Q32" s="1812">
        <f t="shared" si="8"/>
        <v>111</v>
      </c>
      <c r="R32" s="774" t="s">
        <v>17</v>
      </c>
      <c r="S32" s="775">
        <f t="shared" si="10"/>
        <v>100</v>
      </c>
      <c r="T32" s="774" t="s">
        <v>17</v>
      </c>
      <c r="U32" s="775">
        <f t="shared" si="11"/>
        <v>100</v>
      </c>
      <c r="V32" s="774" t="s">
        <v>17</v>
      </c>
      <c r="W32" s="775">
        <f t="shared" si="12"/>
        <v>100</v>
      </c>
      <c r="X32" s="1815"/>
      <c r="Y32" s="3191" t="s">
        <v>2554</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1"/>
      <c r="Q33" s="1812">
        <f t="shared" si="8"/>
        <v>111</v>
      </c>
      <c r="R33" s="777" t="s">
        <v>17</v>
      </c>
      <c r="S33" s="778">
        <f t="shared" si="10"/>
        <v>100</v>
      </c>
      <c r="T33" s="777" t="s">
        <v>17</v>
      </c>
      <c r="U33" s="778">
        <f t="shared" si="11"/>
        <v>100</v>
      </c>
      <c r="V33" s="777" t="s">
        <v>17</v>
      </c>
      <c r="W33" s="778">
        <f t="shared" si="12"/>
        <v>100</v>
      </c>
      <c r="X33" s="779"/>
      <c r="Y33" s="3191"/>
      <c r="Z33" s="780">
        <f t="shared" si="13"/>
        <v>111</v>
      </c>
      <c r="AA33" s="1813">
        <f t="shared" si="3"/>
        <v>1</v>
      </c>
      <c r="AB33" s="1813">
        <f t="shared" si="4"/>
        <v>1</v>
      </c>
      <c r="AC33" s="1813">
        <f t="shared" si="5"/>
        <v>1</v>
      </c>
    </row>
    <row r="34" spans="1:29" ht="15">
      <c r="A34" s="440" t="s">
        <v>2552</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1"/>
      <c r="Q34" s="1812" t="str">
        <f>B34</f>
        <v>宗地面积</v>
      </c>
      <c r="R34" s="774" t="s">
        <v>17</v>
      </c>
      <c r="S34" s="775" t="e">
        <f t="shared" si="10"/>
        <v>#N/A</v>
      </c>
      <c r="T34" s="774" t="s">
        <v>17</v>
      </c>
      <c r="U34" s="775" t="e">
        <f t="shared" si="11"/>
        <v>#N/A</v>
      </c>
      <c r="V34" s="774" t="s">
        <v>17</v>
      </c>
      <c r="W34" s="775" t="e">
        <f t="shared" si="12"/>
        <v>#N/A</v>
      </c>
      <c r="X34" s="1815"/>
      <c r="Y34" s="3191"/>
      <c r="Z34" s="1816" t="str">
        <f t="shared" si="13"/>
        <v>宗地面积</v>
      </c>
      <c r="AA34" s="1813" t="e">
        <f t="shared" si="3"/>
        <v>#N/A</v>
      </c>
      <c r="AB34" s="1813" t="e">
        <f t="shared" si="4"/>
        <v>#N/A</v>
      </c>
      <c r="AC34" s="1813" t="e">
        <f t="shared" si="5"/>
        <v>#N/A</v>
      </c>
    </row>
    <row r="35" spans="1:29" ht="15">
      <c r="A35" s="472"/>
      <c r="B35" s="422" t="s">
        <v>2740</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191"/>
      <c r="Q35" s="1812" t="str">
        <f t="shared" ref="Q35:Q40" si="14">B35</f>
        <v>宗地形状</v>
      </c>
      <c r="R35" s="774" t="s">
        <v>17</v>
      </c>
      <c r="S35" s="775">
        <f t="shared" si="10"/>
        <v>100</v>
      </c>
      <c r="T35" s="774" t="s">
        <v>17</v>
      </c>
      <c r="U35" s="775">
        <f t="shared" si="11"/>
        <v>100</v>
      </c>
      <c r="V35" s="774" t="s">
        <v>17</v>
      </c>
      <c r="W35" s="775">
        <f t="shared" si="12"/>
        <v>100</v>
      </c>
      <c r="X35" s="1815"/>
      <c r="Y35" s="3191"/>
      <c r="Z35" s="1816" t="str">
        <f t="shared" si="13"/>
        <v>宗地形状</v>
      </c>
      <c r="AA35" s="1813">
        <f t="shared" si="3"/>
        <v>1</v>
      </c>
      <c r="AB35" s="1813">
        <f t="shared" si="4"/>
        <v>1</v>
      </c>
      <c r="AC35" s="1813">
        <f t="shared" si="5"/>
        <v>1</v>
      </c>
    </row>
    <row r="36" spans="1:29" s="117" customFormat="1" ht="15">
      <c r="A36" s="473"/>
      <c r="B36" s="422" t="s">
        <v>2742</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191"/>
      <c r="Q36" s="1812" t="str">
        <f t="shared" si="14"/>
        <v>宗地开发程度</v>
      </c>
      <c r="R36" s="770" t="s">
        <v>17</v>
      </c>
      <c r="S36" s="771">
        <f t="shared" si="10"/>
        <v>100</v>
      </c>
      <c r="T36" s="770" t="s">
        <v>17</v>
      </c>
      <c r="U36" s="771">
        <f t="shared" si="11"/>
        <v>100</v>
      </c>
      <c r="V36" s="770" t="s">
        <v>17</v>
      </c>
      <c r="W36" s="771">
        <f t="shared" si="12"/>
        <v>100</v>
      </c>
      <c r="X36" s="772"/>
      <c r="Y36" s="3191"/>
      <c r="Z36" s="55" t="str">
        <f t="shared" si="13"/>
        <v>宗地开发程度</v>
      </c>
      <c r="AA36" s="773">
        <f t="shared" si="3"/>
        <v>1</v>
      </c>
      <c r="AB36" s="773">
        <f t="shared" si="4"/>
        <v>1</v>
      </c>
      <c r="AC36" s="773">
        <f t="shared" si="5"/>
        <v>1</v>
      </c>
    </row>
    <row r="37" spans="1:29" ht="15">
      <c r="A37" s="472"/>
      <c r="B37" s="422" t="s">
        <v>2743</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191" t="s">
        <v>2554</v>
      </c>
      <c r="Q37" s="1812" t="str">
        <f t="shared" si="14"/>
        <v>工程地质条件</v>
      </c>
      <c r="R37" s="774" t="s">
        <v>17</v>
      </c>
      <c r="S37" s="775">
        <f t="shared" si="10"/>
        <v>100</v>
      </c>
      <c r="T37" s="774" t="s">
        <v>17</v>
      </c>
      <c r="U37" s="775">
        <f t="shared" si="11"/>
        <v>100</v>
      </c>
      <c r="V37" s="774" t="s">
        <v>17</v>
      </c>
      <c r="W37" s="775">
        <f t="shared" si="12"/>
        <v>100</v>
      </c>
      <c r="X37" s="1815"/>
      <c r="Y37" s="3191" t="s">
        <v>2554</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1"/>
      <c r="Q38" s="1812">
        <f t="shared" si="14"/>
        <v>111</v>
      </c>
      <c r="R38" s="774" t="s">
        <v>17</v>
      </c>
      <c r="S38" s="775">
        <f t="shared" si="10"/>
        <v>100</v>
      </c>
      <c r="T38" s="774" t="s">
        <v>17</v>
      </c>
      <c r="U38" s="775">
        <f t="shared" si="11"/>
        <v>100</v>
      </c>
      <c r="V38" s="774" t="s">
        <v>17</v>
      </c>
      <c r="W38" s="775">
        <f t="shared" si="12"/>
        <v>100</v>
      </c>
      <c r="X38" s="1815"/>
      <c r="Y38" s="3191"/>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1"/>
      <c r="Q39" s="1812">
        <f t="shared" si="14"/>
        <v>111</v>
      </c>
      <c r="R39" s="774" t="s">
        <v>17</v>
      </c>
      <c r="S39" s="775">
        <f t="shared" si="10"/>
        <v>100</v>
      </c>
      <c r="T39" s="774" t="s">
        <v>17</v>
      </c>
      <c r="U39" s="775">
        <f t="shared" si="11"/>
        <v>100</v>
      </c>
      <c r="V39" s="774" t="s">
        <v>17</v>
      </c>
      <c r="W39" s="775">
        <f t="shared" si="12"/>
        <v>100</v>
      </c>
      <c r="X39" s="1815"/>
      <c r="Y39" s="3191"/>
      <c r="Z39" s="1816">
        <f t="shared" si="13"/>
        <v>111</v>
      </c>
      <c r="AA39" s="1813">
        <f t="shared" si="3"/>
        <v>1</v>
      </c>
      <c r="AB39" s="1813">
        <f t="shared" si="4"/>
        <v>1</v>
      </c>
      <c r="AC39" s="1813">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1"/>
      <c r="Q40" s="1812">
        <f t="shared" si="14"/>
        <v>111</v>
      </c>
      <c r="R40" s="777" t="s">
        <v>17</v>
      </c>
      <c r="S40" s="778">
        <f t="shared" si="10"/>
        <v>100</v>
      </c>
      <c r="T40" s="777" t="s">
        <v>17</v>
      </c>
      <c r="U40" s="778">
        <f t="shared" si="11"/>
        <v>100</v>
      </c>
      <c r="V40" s="777" t="s">
        <v>17</v>
      </c>
      <c r="W40" s="778">
        <f t="shared" si="12"/>
        <v>100</v>
      </c>
      <c r="X40" s="779"/>
      <c r="Y40" s="3191"/>
      <c r="Z40" s="780">
        <f t="shared" si="13"/>
        <v>111</v>
      </c>
      <c r="AA40" s="1813">
        <f t="shared" si="3"/>
        <v>1</v>
      </c>
      <c r="AB40" s="1813">
        <f t="shared" si="4"/>
        <v>1</v>
      </c>
      <c r="AC40" s="1813">
        <f t="shared" si="5"/>
        <v>1</v>
      </c>
    </row>
    <row r="41" spans="1:29" ht="15">
      <c r="A41" s="479" t="s">
        <v>2709</v>
      </c>
      <c r="B41" s="2706" t="s">
        <v>2785</v>
      </c>
      <c r="C41" s="682" t="s">
        <v>1</v>
      </c>
      <c r="D41" s="481"/>
      <c r="E41" s="482"/>
      <c r="F41" s="483"/>
      <c r="G41" s="484"/>
      <c r="H41" s="485"/>
      <c r="I41" s="482"/>
      <c r="J41" s="485"/>
      <c r="K41" s="783"/>
      <c r="L41" s="1146"/>
      <c r="M41" s="1134"/>
      <c r="N41" s="1134"/>
      <c r="O41" s="1147"/>
      <c r="P41" s="3173" t="str">
        <f>A41</f>
        <v>成交单价</v>
      </c>
      <c r="Q41" s="3173"/>
      <c r="R41" s="3186">
        <f>E41</f>
        <v>0</v>
      </c>
      <c r="S41" s="3186"/>
      <c r="T41" s="3186">
        <f>G41</f>
        <v>0</v>
      </c>
      <c r="U41" s="3186"/>
      <c r="V41" s="3186">
        <f>I41</f>
        <v>0</v>
      </c>
      <c r="W41" s="3186"/>
      <c r="X41" s="759"/>
      <c r="Y41" s="781"/>
      <c r="Z41" s="759"/>
      <c r="AA41" s="759"/>
      <c r="AB41" s="759"/>
      <c r="AC41" s="759"/>
    </row>
    <row r="42" spans="1:29" ht="15.75" thickBot="1">
      <c r="A42" s="486" t="s">
        <v>2658</v>
      </c>
      <c r="B42" s="683"/>
      <c r="C42" s="490" t="e">
        <f>R43</f>
        <v>#DIV/0!</v>
      </c>
      <c r="D42" s="489"/>
      <c r="E42" s="490" t="e">
        <f>R42</f>
        <v>#DIV/0!</v>
      </c>
      <c r="F42" s="491"/>
      <c r="G42" s="488" t="e">
        <f>T42</f>
        <v>#DIV/0!</v>
      </c>
      <c r="H42" s="489"/>
      <c r="I42" s="490" t="e">
        <f>V42</f>
        <v>#DIV/0!</v>
      </c>
      <c r="J42" s="489"/>
      <c r="K42" s="784"/>
      <c r="L42" s="1146"/>
      <c r="M42" s="1134"/>
      <c r="N42" s="1134"/>
      <c r="O42" s="1147"/>
      <c r="P42" s="3173" t="str">
        <f>A42</f>
        <v>比较价值（元/平方米）</v>
      </c>
      <c r="Q42" s="3173"/>
      <c r="R42" s="3192" t="e">
        <f>ROUND(PRODUCT(R41,AA7:AA40),0)</f>
        <v>#DIV/0!</v>
      </c>
      <c r="S42" s="3192"/>
      <c r="T42" s="3192" t="e">
        <f>ROUND(PRODUCT(T41,AB7:AB40),0)</f>
        <v>#DIV/0!</v>
      </c>
      <c r="U42" s="3192"/>
      <c r="V42" s="3192" t="e">
        <f>ROUND(PRODUCT(V41,AC7:AC40),0)</f>
        <v>#DIV/0!</v>
      </c>
      <c r="W42" s="3192"/>
      <c r="X42" s="759"/>
      <c r="Y42" s="759"/>
      <c r="Z42" s="759"/>
      <c r="AA42" s="759"/>
      <c r="AB42" s="759"/>
      <c r="AC42" s="759"/>
    </row>
    <row r="43" spans="1:29" ht="15.75" thickBot="1">
      <c r="A43" s="492" t="s">
        <v>2659</v>
      </c>
      <c r="B43" s="493"/>
      <c r="C43" s="494" t="e">
        <f>R43</f>
        <v>#DIV/0!</v>
      </c>
      <c r="D43" s="494"/>
      <c r="E43" s="494"/>
      <c r="F43" s="494"/>
      <c r="G43" s="494"/>
      <c r="H43" s="494"/>
      <c r="I43" s="494"/>
      <c r="J43" s="494"/>
      <c r="K43" s="785"/>
      <c r="L43" s="1146"/>
      <c r="M43" s="1134"/>
      <c r="N43" s="1134"/>
      <c r="O43" s="1147"/>
      <c r="P43" s="3193" t="str">
        <f>A43</f>
        <v>估价对象XX用房的比较价值（楼面单价，元/平方米）</v>
      </c>
      <c r="Q43" s="3194"/>
      <c r="R43" s="3195" t="e">
        <f>ROUND(AVERAGE(R42:V42),0)</f>
        <v>#DIV/0!</v>
      </c>
      <c r="S43" s="3195"/>
      <c r="T43" s="3195"/>
      <c r="U43" s="3195"/>
      <c r="V43" s="3195"/>
      <c r="W43" s="3195"/>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2744</v>
      </c>
      <c r="B50" s="685" t="s">
        <v>2745</v>
      </c>
      <c r="C50" s="2707" t="s">
        <v>2746</v>
      </c>
      <c r="D50" s="2708" t="s">
        <v>2747</v>
      </c>
      <c r="E50" s="686" t="s">
        <v>2748</v>
      </c>
      <c r="F50" s="687" t="s">
        <v>2749</v>
      </c>
      <c r="G50" s="3174" t="s">
        <v>2750</v>
      </c>
      <c r="H50" s="3196"/>
      <c r="I50" s="1816" t="s">
        <v>2786</v>
      </c>
      <c r="J50" s="1816">
        <f>项目基本情况!F35</f>
        <v>0</v>
      </c>
      <c r="K50" s="2710" t="s">
        <v>2752</v>
      </c>
      <c r="L50" s="1109"/>
      <c r="M50" s="1147"/>
      <c r="N50" s="1147"/>
      <c r="O50" s="1147"/>
    </row>
    <row r="51" spans="1:17" s="692" customFormat="1">
      <c r="A51" s="688" t="s">
        <v>2753</v>
      </c>
      <c r="B51" s="689" t="e">
        <f>C43</f>
        <v>#DIV/0!</v>
      </c>
      <c r="C51" s="690">
        <v>1</v>
      </c>
      <c r="D51" s="1166">
        <v>1</v>
      </c>
      <c r="E51" s="690">
        <f>'数据-汇总表'!E8+'数据-汇总表'!E9</f>
        <v>125418.93</v>
      </c>
      <c r="F51" s="691" t="e">
        <f t="shared" ref="F51:F60" si="15">ROUND(B51*E51/10000,0)</f>
        <v>#DIV/0!</v>
      </c>
      <c r="G51" s="3197"/>
      <c r="H51" s="3173"/>
      <c r="I51" s="945">
        <v>1</v>
      </c>
      <c r="J51" s="945">
        <v>1</v>
      </c>
      <c r="K51" s="1148"/>
      <c r="L51" s="944"/>
      <c r="M51" s="944"/>
      <c r="N51" s="944"/>
      <c r="O51" s="944"/>
    </row>
    <row r="52" spans="1:17" s="692" customFormat="1">
      <c r="A52" s="693" t="s">
        <v>2754</v>
      </c>
      <c r="B52" s="262" t="e">
        <f>ROUND($C$43*C52*D52,0)</f>
        <v>#DIV/0!</v>
      </c>
      <c r="C52" s="200">
        <f t="shared" ref="C52:C60" si="16">IF($C$50="北京市系数",I52,J52)</f>
        <v>0.6</v>
      </c>
      <c r="D52" s="1167">
        <v>0.25</v>
      </c>
      <c r="E52" s="694"/>
      <c r="F52" s="691" t="e">
        <f t="shared" si="15"/>
        <v>#DIV/0!</v>
      </c>
      <c r="G52" s="3198" t="s">
        <v>2755</v>
      </c>
      <c r="H52" s="1107" t="str">
        <f>项目基本情况!B37</f>
        <v>八级</v>
      </c>
      <c r="I52" s="945">
        <f>SUMIF(修正!A45:A56,H52,修正!B45:B56)</f>
        <v>0.6</v>
      </c>
      <c r="J52" s="946"/>
      <c r="K52" s="1147"/>
      <c r="L52" s="944"/>
      <c r="M52" s="944"/>
      <c r="N52" s="944"/>
      <c r="O52" s="944"/>
    </row>
    <row r="53" spans="1:17" s="692" customFormat="1">
      <c r="A53" s="693" t="s">
        <v>2756</v>
      </c>
      <c r="B53" s="262" t="e">
        <f t="shared" ref="B53:B60" si="17">ROUND($C$43*C53*D53,0)</f>
        <v>#DIV/0!</v>
      </c>
      <c r="C53" s="200">
        <f t="shared" si="16"/>
        <v>0.3</v>
      </c>
      <c r="D53" s="1167">
        <v>0.25</v>
      </c>
      <c r="E53" s="694"/>
      <c r="F53" s="691" t="e">
        <f t="shared" si="15"/>
        <v>#DIV/0!</v>
      </c>
      <c r="G53" s="3198"/>
      <c r="H53" s="1107" t="str">
        <f>项目基本情况!B37</f>
        <v>八级</v>
      </c>
      <c r="I53" s="945">
        <f>SUMIF(修正!A45:A56,H53,修正!C45:C56)</f>
        <v>0.3</v>
      </c>
      <c r="J53" s="946"/>
      <c r="K53" s="1148"/>
      <c r="L53" s="944"/>
      <c r="M53" s="944"/>
      <c r="N53" s="944"/>
      <c r="O53" s="944"/>
    </row>
    <row r="54" spans="1:17" s="692" customFormat="1">
      <c r="A54" s="693" t="s">
        <v>2757</v>
      </c>
      <c r="B54" s="262" t="e">
        <f t="shared" si="17"/>
        <v>#DIV/0!</v>
      </c>
      <c r="C54" s="200">
        <f t="shared" si="16"/>
        <v>0.2</v>
      </c>
      <c r="D54" s="1167">
        <v>0.25</v>
      </c>
      <c r="E54" s="694"/>
      <c r="F54" s="691" t="e">
        <f t="shared" si="15"/>
        <v>#DIV/0!</v>
      </c>
      <c r="G54" s="3198"/>
      <c r="H54" s="1107" t="str">
        <f>项目基本情况!B37</f>
        <v>八级</v>
      </c>
      <c r="I54" s="945">
        <f>SUMIF(修正!A45:A56,H54,修正!D45:D56)</f>
        <v>0.2</v>
      </c>
      <c r="J54" s="946"/>
      <c r="K54" s="1147"/>
      <c r="L54" s="944"/>
      <c r="M54" s="944"/>
      <c r="N54" s="944"/>
      <c r="O54" s="944"/>
    </row>
    <row r="55" spans="1:17" s="692" customFormat="1">
      <c r="A55" s="693" t="s">
        <v>2758</v>
      </c>
      <c r="B55" s="262" t="e">
        <f t="shared" si="17"/>
        <v>#DIV/0!</v>
      </c>
      <c r="C55" s="200">
        <f t="shared" si="16"/>
        <v>0.2</v>
      </c>
      <c r="D55" s="1167">
        <v>0.25</v>
      </c>
      <c r="E55" s="694"/>
      <c r="F55" s="691" t="e">
        <f t="shared" si="15"/>
        <v>#DIV/0!</v>
      </c>
      <c r="G55" s="3198"/>
      <c r="H55" s="1107" t="str">
        <f>项目基本情况!B37</f>
        <v>八级</v>
      </c>
      <c r="I55" s="945">
        <f>SUMIF(修正!A45:A56,H55,修正!E45:E56)</f>
        <v>0.2</v>
      </c>
      <c r="J55" s="946"/>
      <c r="K55" s="1148"/>
      <c r="L55" s="944"/>
      <c r="M55" s="944"/>
      <c r="N55" s="944"/>
      <c r="O55" s="944"/>
    </row>
    <row r="56" spans="1:17" s="692" customFormat="1">
      <c r="A56" s="693" t="s">
        <v>2759</v>
      </c>
      <c r="B56" s="262" t="e">
        <f t="shared" si="17"/>
        <v>#DIV/0!</v>
      </c>
      <c r="C56" s="200">
        <f t="shared" si="16"/>
        <v>0</v>
      </c>
      <c r="D56" s="1167">
        <v>0.25</v>
      </c>
      <c r="E56" s="261">
        <f>'数据-汇总表'!E11</f>
        <v>0</v>
      </c>
      <c r="F56" s="691" t="e">
        <f t="shared" si="15"/>
        <v>#DIV/0!</v>
      </c>
      <c r="G56" s="2711" t="s">
        <v>2760</v>
      </c>
      <c r="H56" s="1107">
        <f>项目基本情况!C37</f>
        <v>0</v>
      </c>
      <c r="I56" s="945">
        <f>SUMIF(修正!A45:A56,H56,修正!F45:F56)</f>
        <v>0</v>
      </c>
      <c r="J56" s="946"/>
      <c r="K56" s="1147"/>
      <c r="L56" s="944"/>
      <c r="M56" s="944"/>
      <c r="N56" s="944"/>
      <c r="O56" s="944"/>
    </row>
    <row r="57" spans="1:17" s="692" customFormat="1">
      <c r="A57" s="693" t="s">
        <v>2761</v>
      </c>
      <c r="B57" s="262" t="e">
        <f t="shared" si="17"/>
        <v>#DIV/0!</v>
      </c>
      <c r="C57" s="200">
        <f t="shared" si="16"/>
        <v>0</v>
      </c>
      <c r="D57" s="1167">
        <v>0.25</v>
      </c>
      <c r="E57" s="261">
        <f>'数据-汇总表'!E12</f>
        <v>0</v>
      </c>
      <c r="F57" s="691" t="e">
        <f t="shared" si="15"/>
        <v>#DIV/0!</v>
      </c>
      <c r="G57" s="1112" t="s">
        <v>2762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2763</v>
      </c>
      <c r="B58" s="262" t="e">
        <f t="shared" si="17"/>
        <v>#DIV/0!</v>
      </c>
      <c r="C58" s="200">
        <f t="shared" si="16"/>
        <v>0</v>
      </c>
      <c r="D58" s="1167">
        <v>0.25</v>
      </c>
      <c r="E58" s="261">
        <f>'数据-汇总表'!E13</f>
        <v>0</v>
      </c>
      <c r="F58" s="691" t="e">
        <f t="shared" si="15"/>
        <v>#DIV/0!</v>
      </c>
      <c r="G58" s="1112" t="s">
        <v>2764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2765</v>
      </c>
      <c r="B59" s="262" t="e">
        <f t="shared" si="17"/>
        <v>#DIV/0!</v>
      </c>
      <c r="C59" s="200">
        <f t="shared" si="16"/>
        <v>0.15</v>
      </c>
      <c r="D59" s="1167">
        <v>0.25</v>
      </c>
      <c r="E59" s="261">
        <f>'数据-汇总表'!E14</f>
        <v>48625.24</v>
      </c>
      <c r="F59" s="691" t="e">
        <f t="shared" si="15"/>
        <v>#DIV/0!</v>
      </c>
      <c r="G59" s="2711" t="s">
        <v>2755</v>
      </c>
      <c r="H59" s="1107" t="str">
        <f>项目基本情况!B37</f>
        <v>八级</v>
      </c>
      <c r="I59" s="945">
        <f>SUMIF(修正!A45:A56,H59,修正!H45:H56)</f>
        <v>0.15</v>
      </c>
      <c r="J59" s="946"/>
      <c r="K59" s="1148"/>
      <c r="L59" s="944"/>
      <c r="M59" s="944"/>
      <c r="N59" s="944"/>
      <c r="O59" s="944"/>
    </row>
    <row r="60" spans="1:17" s="692" customFormat="1" ht="15" thickBot="1">
      <c r="A60" s="693" t="s">
        <v>2766</v>
      </c>
      <c r="B60" s="262" t="e">
        <f t="shared" si="17"/>
        <v>#DIV/0!</v>
      </c>
      <c r="C60" s="200">
        <f t="shared" si="16"/>
        <v>0</v>
      </c>
      <c r="D60" s="1167">
        <v>0.25</v>
      </c>
      <c r="E60" s="261">
        <f>'数据-汇总表'!E15</f>
        <v>0</v>
      </c>
      <c r="F60" s="691" t="e">
        <f t="shared" si="15"/>
        <v>#DIV/0!</v>
      </c>
      <c r="G60" s="2712" t="s">
        <v>2760</v>
      </c>
      <c r="H60" s="1117">
        <f>项目基本情况!C37</f>
        <v>0</v>
      </c>
      <c r="I60" s="945">
        <f>SUMIF(修正!A45:A56,H60,修正!H45:H56)</f>
        <v>0</v>
      </c>
      <c r="J60" s="946"/>
      <c r="K60" s="1147"/>
      <c r="L60" s="944"/>
      <c r="M60" s="944"/>
      <c r="N60" s="944"/>
      <c r="O60" s="944"/>
    </row>
    <row r="61" spans="1:17" s="692" customFormat="1" ht="15" thickBot="1">
      <c r="A61" s="695" t="s">
        <v>2767</v>
      </c>
      <c r="B61" s="696" t="s">
        <v>28</v>
      </c>
      <c r="C61" s="696" t="s">
        <v>29</v>
      </c>
      <c r="D61" s="696" t="s">
        <v>1029</v>
      </c>
      <c r="E61" s="696">
        <f>IF(B41="楼面地价",SUM(E51:E60),'数据-汇总表'!D3)</f>
        <v>55191.78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2018-5-1</v>
      </c>
      <c r="D63" s="761">
        <f>EDATE(C63,-3)</f>
        <v>43132</v>
      </c>
      <c r="E63" s="761">
        <f>EDATE(D63,-3)</f>
        <v>43040</v>
      </c>
      <c r="F63" s="761">
        <f t="shared" ref="F63:O63" si="18">EDATE(E63,-3)</f>
        <v>42948</v>
      </c>
      <c r="G63" s="761">
        <f t="shared" si="18"/>
        <v>42856</v>
      </c>
      <c r="H63" s="761">
        <f t="shared" si="18"/>
        <v>42767</v>
      </c>
      <c r="I63" s="761">
        <f t="shared" si="18"/>
        <v>42675</v>
      </c>
      <c r="J63" s="761">
        <f t="shared" si="18"/>
        <v>42583</v>
      </c>
      <c r="K63" s="761">
        <f t="shared" si="18"/>
        <v>42491</v>
      </c>
      <c r="L63" s="761">
        <f t="shared" si="18"/>
        <v>42401</v>
      </c>
      <c r="M63" s="761">
        <f t="shared" si="18"/>
        <v>42309</v>
      </c>
      <c r="N63" s="761">
        <f t="shared" si="18"/>
        <v>42217</v>
      </c>
      <c r="O63" s="761">
        <f t="shared" si="18"/>
        <v>42125</v>
      </c>
    </row>
    <row r="64" spans="1:17" ht="21.75" thickBot="1">
      <c r="A64" s="763" t="s">
        <v>2663</v>
      </c>
      <c r="B64" s="759"/>
      <c r="C64" s="764"/>
      <c r="D64" s="764"/>
      <c r="E64" s="764"/>
      <c r="F64" s="765"/>
      <c r="G64" s="765"/>
      <c r="H64" s="764"/>
      <c r="I64" s="764"/>
      <c r="J64" s="764"/>
      <c r="K64" s="766"/>
      <c r="L64" s="767"/>
      <c r="M64" s="764"/>
      <c r="N64" s="764"/>
      <c r="O64" s="1162"/>
      <c r="P64" s="503"/>
      <c r="Q64" s="504"/>
    </row>
    <row r="65" spans="1:17" s="508" customFormat="1" ht="15">
      <c r="A65" s="2713" t="s">
        <v>2768</v>
      </c>
      <c r="B65" s="1362"/>
      <c r="C65" s="1574" t="str">
        <f>YEAR(C63)&amp;"-"&amp;ROUNDUP(MONTH(C63)/3,0)</f>
        <v>2018-2</v>
      </c>
      <c r="D65" s="1574" t="str">
        <f t="shared" ref="D65:O65" si="19">YEAR(D63)&amp;"-"&amp;ROUNDUP(MONTH(D63)/3,0)</f>
        <v>2018-1</v>
      </c>
      <c r="E65" s="1574" t="str">
        <f t="shared" si="19"/>
        <v>2017-4</v>
      </c>
      <c r="F65" s="1574" t="str">
        <f t="shared" si="19"/>
        <v>2017-3</v>
      </c>
      <c r="G65" s="1574" t="str">
        <f t="shared" si="19"/>
        <v>2017-2</v>
      </c>
      <c r="H65" s="1574" t="str">
        <f t="shared" si="19"/>
        <v>2017-1</v>
      </c>
      <c r="I65" s="1574" t="str">
        <f t="shared" si="19"/>
        <v>2016-4</v>
      </c>
      <c r="J65" s="1574" t="str">
        <f t="shared" si="19"/>
        <v>2016-3</v>
      </c>
      <c r="K65" s="1574" t="str">
        <f t="shared" si="19"/>
        <v>2016-2</v>
      </c>
      <c r="L65" s="1574" t="str">
        <f t="shared" si="19"/>
        <v>2016-1</v>
      </c>
      <c r="M65" s="1574" t="str">
        <f t="shared" si="19"/>
        <v>2015-4</v>
      </c>
      <c r="N65" s="1574" t="str">
        <f t="shared" si="19"/>
        <v>2015-3</v>
      </c>
      <c r="O65" s="1574" t="str">
        <f t="shared" si="19"/>
        <v>2015-2</v>
      </c>
      <c r="P65" s="507"/>
    </row>
    <row r="66" spans="1:17" s="117" customFormat="1" ht="30.75" customHeight="1">
      <c r="A66" s="2718" t="s">
        <v>2787</v>
      </c>
      <c r="B66" s="332" t="str">
        <f>"北京市平均增长率"&amp;TEXT(基准地价修正!P24,"0.00%")</f>
        <v>北京市平均增长率1.35%</v>
      </c>
      <c r="C66" s="603">
        <v>100</v>
      </c>
      <c r="D66" s="595"/>
      <c r="E66" s="595"/>
      <c r="F66" s="595"/>
      <c r="G66" s="595"/>
      <c r="H66" s="595"/>
      <c r="I66" s="595"/>
      <c r="J66" s="595"/>
      <c r="K66" s="595"/>
      <c r="L66" s="595"/>
      <c r="M66" s="1570"/>
      <c r="N66" s="1570"/>
      <c r="O66" s="1571"/>
      <c r="P66" s="504"/>
    </row>
    <row r="67" spans="1:17" s="117" customFormat="1" ht="15.75" thickBot="1">
      <c r="A67" s="515" t="s">
        <v>2574</v>
      </c>
      <c r="B67" s="516"/>
      <c r="C67" s="517"/>
      <c r="D67" s="518"/>
      <c r="E67" s="518"/>
      <c r="F67" s="518"/>
      <c r="G67" s="518"/>
      <c r="H67" s="518"/>
      <c r="I67" s="518"/>
      <c r="J67" s="518"/>
      <c r="K67" s="518"/>
      <c r="L67" s="518"/>
      <c r="M67" s="519"/>
      <c r="N67" s="519"/>
      <c r="O67" s="520"/>
      <c r="P67" s="504"/>
      <c r="Q67" s="504"/>
    </row>
    <row r="68" spans="1:17" s="117" customFormat="1" ht="15">
      <c r="A68" s="521" t="s">
        <v>2539</v>
      </c>
      <c r="B68" s="510"/>
      <c r="C68" s="522" t="s">
        <v>2641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2577</v>
      </c>
      <c r="B70" s="528" t="s">
        <v>2543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2548</v>
      </c>
      <c r="B83" s="528" t="s">
        <v>2694</v>
      </c>
      <c r="C83" s="573" t="s">
        <v>2586</v>
      </c>
      <c r="D83" s="573" t="s">
        <v>2587</v>
      </c>
      <c r="E83" s="573" t="s">
        <v>2588</v>
      </c>
      <c r="F83" s="573" t="s">
        <v>2589</v>
      </c>
      <c r="G83" s="573" t="s">
        <v>2590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2591</v>
      </c>
      <c r="C85" s="578" t="s">
        <v>2586</v>
      </c>
      <c r="D85" s="578" t="s">
        <v>2587</v>
      </c>
      <c r="E85" s="578" t="s">
        <v>2588</v>
      </c>
      <c r="F85" s="578" t="s">
        <v>2589</v>
      </c>
      <c r="G85" s="578" t="s">
        <v>2590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2770</v>
      </c>
      <c r="C87" s="573" t="s">
        <v>2586</v>
      </c>
      <c r="D87" s="573" t="s">
        <v>2587</v>
      </c>
      <c r="E87" s="573" t="s">
        <v>2588</v>
      </c>
      <c r="F87" s="573" t="s">
        <v>2589</v>
      </c>
      <c r="G87" s="573" t="s">
        <v>2590</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2771</v>
      </c>
      <c r="C89" s="573" t="s">
        <v>2586</v>
      </c>
      <c r="D89" s="573" t="s">
        <v>2587</v>
      </c>
      <c r="E89" s="573" t="s">
        <v>2588</v>
      </c>
      <c r="F89" s="573" t="s">
        <v>2589</v>
      </c>
      <c r="G89" s="573" t="s">
        <v>2590</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2643</v>
      </c>
      <c r="C91" s="573" t="s">
        <v>2586</v>
      </c>
      <c r="D91" s="573" t="s">
        <v>2587</v>
      </c>
      <c r="E91" s="573" t="s">
        <v>2588</v>
      </c>
      <c r="F91" s="573" t="s">
        <v>2589</v>
      </c>
      <c r="G91" s="573" t="s">
        <v>2590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2788</v>
      </c>
      <c r="C93" s="660" t="s">
        <v>2664</v>
      </c>
      <c r="D93" s="660" t="s">
        <v>2665</v>
      </c>
      <c r="E93" s="660" t="s">
        <v>2666</v>
      </c>
      <c r="F93" s="660" t="s">
        <v>2667</v>
      </c>
      <c r="G93" s="660" t="s">
        <v>2668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2772</v>
      </c>
      <c r="D95" s="539" t="s">
        <v>2773</v>
      </c>
      <c r="E95" s="539" t="s">
        <v>2774</v>
      </c>
      <c r="F95" s="539" t="s">
        <v>2775</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2738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2552</v>
      </c>
      <c r="B107" s="528" t="s">
        <v>2776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2777</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2779</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2780</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31" sqref="F31"/>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2789</v>
      </c>
      <c r="B1" s="241"/>
      <c r="C1" s="245" t="s">
        <v>2790</v>
      </c>
      <c r="D1" s="388">
        <f>SUM(D29:D30,D33:D39)</f>
        <v>193344.75</v>
      </c>
      <c r="E1" s="2719"/>
      <c r="F1" s="2719"/>
      <c r="G1" s="2719"/>
      <c r="H1" s="2719"/>
      <c r="I1" s="2719"/>
      <c r="J1" s="2719"/>
      <c r="K1" s="1373"/>
      <c r="L1" s="2720" t="s">
        <v>2791</v>
      </c>
      <c r="M1" s="1083">
        <f>SUMPRODUCT((区片价!B5:B9=I2)*(区片价!C3:F3=E2)*(区片价!C5:F9))</f>
        <v>0</v>
      </c>
      <c r="N1" s="1086">
        <f>SUMPRODUCT((因素修正幅度!B5:B9=I2)*(因素修正幅度!C3:F3=E2)*(因素修正幅度!C5:F9))</f>
        <v>0</v>
      </c>
      <c r="O1" s="2721"/>
      <c r="P1" s="2721"/>
      <c r="Q1" s="1373"/>
      <c r="R1" s="1604" t="s">
        <v>2792</v>
      </c>
      <c r="S1" s="1604" t="s">
        <v>2793</v>
      </c>
      <c r="T1" s="1604" t="s">
        <v>2794</v>
      </c>
      <c r="U1" s="1604" t="s">
        <v>2795</v>
      </c>
      <c r="V1" s="1604" t="s">
        <v>2796</v>
      </c>
      <c r="W1" s="1608"/>
      <c r="X1" s="1608"/>
      <c r="Y1" s="1608"/>
      <c r="Z1" s="1608"/>
      <c r="AA1" s="1608"/>
      <c r="AB1" s="1608"/>
      <c r="AC1" s="1609"/>
      <c r="AD1" s="1610"/>
      <c r="AE1" s="1610"/>
      <c r="AF1" s="1610"/>
      <c r="AG1" s="1610"/>
      <c r="AH1" s="1610"/>
      <c r="AI1" s="1610"/>
      <c r="AJ1" s="1611"/>
    </row>
    <row r="2" spans="1:36" ht="15.75">
      <c r="A2" s="245" t="s">
        <v>2797</v>
      </c>
      <c r="B2" s="248">
        <f ca="1">C26</f>
        <v>78620</v>
      </c>
      <c r="C2" s="2723" t="s">
        <v>2798</v>
      </c>
      <c r="D2" s="2724" t="s">
        <v>2799</v>
      </c>
      <c r="E2" s="2725" t="s">
        <v>1377</v>
      </c>
      <c r="F2" s="2724" t="s">
        <v>2800</v>
      </c>
      <c r="G2" s="2726" t="str">
        <f>IF(E2="商业",项目基本情况!B37,IF(E2="办公",项目基本情况!C37,IF(E2="住宅",项目基本情况!D37,项目基本情况!E37)))</f>
        <v>八级</v>
      </c>
      <c r="H2" s="2724" t="s">
        <v>2801</v>
      </c>
      <c r="I2" s="2726" t="str">
        <f>IF(E2="商业",项目基本情况!B38,IF(E2="办公",项目基本情况!C38,IF(E2="住宅",项目基本情况!D38,项目基本情况!E38)))</f>
        <v>Ⅷ-兴1</v>
      </c>
      <c r="J2" s="2727"/>
      <c r="K2" s="1373"/>
      <c r="L2" s="2728" t="s">
        <v>2802</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1.9419999999999999</v>
      </c>
      <c r="T2" s="1604">
        <f ca="1">ROUND($C$5*$C$18*$C$19*$C$20*S2*$C$24,0)</f>
        <v>13481</v>
      </c>
      <c r="U2" s="1605"/>
      <c r="V2" s="1604">
        <f ca="1">ROUND(T2*U2/10000,0)</f>
        <v>0</v>
      </c>
      <c r="W2" s="1608"/>
      <c r="X2" s="1608"/>
      <c r="Y2" s="1608"/>
      <c r="Z2" s="1608"/>
      <c r="AA2" s="1608"/>
      <c r="AB2" s="1608"/>
      <c r="AC2" s="1609"/>
      <c r="AD2" s="1610"/>
      <c r="AE2" s="1610"/>
      <c r="AF2" s="1610"/>
      <c r="AG2" s="1610"/>
      <c r="AH2" s="1610"/>
      <c r="AI2" s="1610"/>
      <c r="AJ2" s="1611"/>
    </row>
    <row r="3" spans="1:36" ht="15.75">
      <c r="A3" s="247" t="s">
        <v>2803</v>
      </c>
      <c r="B3" s="248">
        <f ca="1">ROUND(B2*10000/D1,0)</f>
        <v>4066</v>
      </c>
      <c r="C3" s="2723" t="s">
        <v>2804</v>
      </c>
      <c r="D3" s="2724" t="s">
        <v>2805</v>
      </c>
      <c r="E3" s="2729" t="s">
        <v>3084</v>
      </c>
      <c r="F3" s="2730" t="s">
        <v>2806</v>
      </c>
      <c r="G3" s="916">
        <f>IF(F3="宗地容积率",'数据-汇总表'!I4,IF(F3="估价对象容积率",'数据-汇总表'!I6,'数据-汇总表'!I7))</f>
        <v>2.27</v>
      </c>
      <c r="H3" s="198" t="s">
        <v>2807</v>
      </c>
      <c r="I3" s="947">
        <v>4</v>
      </c>
      <c r="J3" s="2727" t="s">
        <v>2808</v>
      </c>
      <c r="K3" s="1373"/>
      <c r="L3" s="2728" t="s">
        <v>2809</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1.2799</v>
      </c>
      <c r="T3" s="1604">
        <f t="shared" ref="T3:T16" ca="1" si="0">ROUND($C$5*$C$18*$C$19*$C$20*S3*$C$24,0)</f>
        <v>8885</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271"/>
      <c r="B4" s="3272"/>
      <c r="C4" s="3272"/>
      <c r="D4" s="3273"/>
      <c r="E4" s="3273"/>
      <c r="F4" s="3273"/>
      <c r="G4" s="3273"/>
      <c r="H4" s="3273"/>
      <c r="I4" s="3273"/>
      <c r="J4" s="3274"/>
      <c r="K4" s="1373"/>
      <c r="L4" s="2728" t="s">
        <v>2810</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1.0072000000000001</v>
      </c>
      <c r="T4" s="1604">
        <f t="shared" ca="1" si="0"/>
        <v>6992</v>
      </c>
      <c r="U4" s="1605"/>
      <c r="V4" s="1604">
        <f t="shared" ca="1" si="1"/>
        <v>0</v>
      </c>
      <c r="W4" s="1608"/>
      <c r="X4" s="1608"/>
      <c r="Y4" s="1608"/>
      <c r="Z4" s="1608"/>
      <c r="AA4" s="1608"/>
      <c r="AB4" s="1608"/>
      <c r="AC4" s="1609"/>
      <c r="AD4" s="1610"/>
      <c r="AE4" s="1610"/>
      <c r="AF4" s="1610"/>
      <c r="AG4" s="1610"/>
      <c r="AH4" s="1610"/>
      <c r="AI4" s="1610"/>
      <c r="AJ4" s="1611"/>
    </row>
    <row r="5" spans="1:36" s="2740" customFormat="1" ht="15.75" thickBot="1">
      <c r="A5" s="2731" t="s">
        <v>807</v>
      </c>
      <c r="B5" s="2732" t="s">
        <v>2811</v>
      </c>
      <c r="C5" s="917">
        <f>ROUND(IF(E2="商业",IF(F16="增加",C6*C7+C16,C6*C7-C16),IF(E2="住宅",IF(F16="增加",C6*C12+C16,C6*C12-C16),IF(F16="增加",C6+C16,C6-C16))),0)</f>
        <v>5745</v>
      </c>
      <c r="D5" s="1789">
        <f>ROUND(IF(E2="商业",IF(F16="增加",C6+C16,C6-C16)),0)</f>
        <v>5745</v>
      </c>
      <c r="E5" s="2733"/>
      <c r="F5" s="2733"/>
      <c r="G5" s="2734"/>
      <c r="H5" s="2734"/>
      <c r="I5" s="2734"/>
      <c r="J5" s="2735"/>
      <c r="K5" s="2736"/>
      <c r="L5" s="2728" t="s">
        <v>2812</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0.75249999999999995</v>
      </c>
      <c r="T5" s="1604">
        <f t="shared" ca="1" si="0"/>
        <v>5224</v>
      </c>
      <c r="U5" s="1605"/>
      <c r="V5" s="1604">
        <f t="shared" ca="1" si="1"/>
        <v>0</v>
      </c>
      <c r="W5" s="1608"/>
      <c r="X5" s="1608"/>
      <c r="Y5" s="1608"/>
      <c r="Z5" s="1608"/>
      <c r="AA5" s="1608"/>
      <c r="AB5" s="1608"/>
      <c r="AC5" s="2737"/>
      <c r="AD5" s="2738"/>
      <c r="AE5" s="2738"/>
      <c r="AF5" s="2738"/>
      <c r="AG5" s="2738"/>
      <c r="AH5" s="2738"/>
      <c r="AI5" s="2738"/>
      <c r="AJ5" s="2739"/>
    </row>
    <row r="6" spans="1:36" ht="15.75" thickBot="1">
      <c r="A6" s="2741" t="s">
        <v>2813</v>
      </c>
      <c r="B6" s="2742" t="s">
        <v>2814</v>
      </c>
      <c r="C6" s="918">
        <f>SUMIF(L1:L12,G2,M1:M12)</f>
        <v>5730</v>
      </c>
      <c r="D6" s="2743" t="s">
        <v>2815</v>
      </c>
      <c r="E6" s="2744"/>
      <c r="F6" s="2744"/>
      <c r="G6" s="2745"/>
      <c r="H6" s="2745"/>
      <c r="I6" s="2745"/>
      <c r="J6" s="2746"/>
      <c r="K6" s="1844"/>
      <c r="L6" s="2728" t="s">
        <v>2816</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0.56589999999999996</v>
      </c>
      <c r="T6" s="1604">
        <f t="shared" ca="1" si="0"/>
        <v>3928</v>
      </c>
      <c r="U6" s="1605"/>
      <c r="V6" s="1604">
        <f t="shared" ca="1" si="1"/>
        <v>0</v>
      </c>
      <c r="W6" s="1608"/>
      <c r="X6" s="1608"/>
      <c r="Y6" s="1608"/>
      <c r="Z6" s="1608"/>
      <c r="AA6" s="1608"/>
      <c r="AB6" s="1608"/>
      <c r="AC6" s="2737"/>
      <c r="AD6" s="2738"/>
      <c r="AE6" s="2738"/>
      <c r="AF6" s="2738"/>
      <c r="AG6" s="2738"/>
      <c r="AH6" s="2738"/>
      <c r="AI6" s="2738"/>
      <c r="AJ6" s="2739"/>
    </row>
    <row r="7" spans="1:36" ht="24" hidden="1">
      <c r="A7" s="3257" t="str">
        <f>IF(E2="商业",IF(C8="不临58条商业街","",2),"")</f>
        <v/>
      </c>
      <c r="B7" s="2747" t="s">
        <v>2817</v>
      </c>
      <c r="C7" s="919">
        <f>IF(C8="不临58条商业街",1,ROUND(1+(1.6*E8+1.2*E9+0.8*E10+0.4*E11)*C9,4))</f>
        <v>1</v>
      </c>
      <c r="D7" s="2748" t="s">
        <v>2818</v>
      </c>
      <c r="E7" s="948"/>
      <c r="F7" s="2749"/>
      <c r="G7" s="2750"/>
      <c r="H7" s="2750"/>
      <c r="I7" s="2750"/>
      <c r="J7" s="2751"/>
      <c r="K7" s="1844"/>
      <c r="L7" s="2728" t="s">
        <v>2819</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0.45250000000000001</v>
      </c>
      <c r="T7" s="1604">
        <f t="shared" ca="1" si="0"/>
        <v>3141</v>
      </c>
      <c r="U7" s="1605"/>
      <c r="V7" s="1604">
        <f t="shared" ca="1" si="1"/>
        <v>0</v>
      </c>
      <c r="W7" s="1818" t="s">
        <v>2820</v>
      </c>
      <c r="X7" s="1606" t="str">
        <f>G2</f>
        <v>八级</v>
      </c>
      <c r="Y7" s="1606" t="s">
        <v>2821</v>
      </c>
      <c r="Z7" s="1607">
        <f>G3</f>
        <v>2.27</v>
      </c>
      <c r="AA7" s="1608"/>
      <c r="AB7" s="1608"/>
      <c r="AC7" s="1609"/>
      <c r="AD7" s="1610"/>
      <c r="AE7" s="1610"/>
      <c r="AF7" s="1610"/>
      <c r="AG7" s="1610"/>
      <c r="AH7" s="1610"/>
      <c r="AI7" s="1610"/>
      <c r="AJ7" s="1611"/>
    </row>
    <row r="8" spans="1:36" ht="25.5" hidden="1">
      <c r="A8" s="3258"/>
      <c r="B8" s="198" t="s">
        <v>2822</v>
      </c>
      <c r="C8" s="2752" t="s">
        <v>3088</v>
      </c>
      <c r="D8" s="920" t="s">
        <v>139</v>
      </c>
      <c r="E8" s="921" t="e">
        <f>ROUND(C11/E7,4)</f>
        <v>#DIV/0!</v>
      </c>
      <c r="F8" s="2753" t="s">
        <v>2823</v>
      </c>
      <c r="G8" s="2754"/>
      <c r="H8" s="2754"/>
      <c r="I8" s="2754"/>
      <c r="J8" s="2755"/>
      <c r="K8" s="1373"/>
      <c r="L8" s="2728" t="s">
        <v>2824</v>
      </c>
      <c r="M8" s="1084">
        <f>SUMPRODUCT((区片价!B206:B244=I2)*(区片价!C3:F3=E2)*(区片价!C206:F244))</f>
        <v>5730</v>
      </c>
      <c r="N8" s="1086">
        <f>SUMPRODUCT((因素修正幅度!B206:B244=I2)*(因素修正幅度!C3:F3=E2)*(因素修正幅度!C206:F244))</f>
        <v>0.15</v>
      </c>
      <c r="O8" s="1373"/>
      <c r="P8" s="1373"/>
      <c r="Q8" s="1373"/>
      <c r="R8" s="1604">
        <v>7</v>
      </c>
      <c r="S8" s="1605"/>
      <c r="T8" s="1604">
        <f t="shared" ca="1" si="0"/>
        <v>0</v>
      </c>
      <c r="U8" s="1605"/>
      <c r="V8" s="1604">
        <f t="shared" ca="1" si="1"/>
        <v>0</v>
      </c>
      <c r="W8" s="3268" t="s">
        <v>2825</v>
      </c>
      <c r="X8" s="3269"/>
      <c r="Y8" s="1612" t="s">
        <v>2826</v>
      </c>
      <c r="Z8" s="1612" t="s">
        <v>2827</v>
      </c>
      <c r="AA8" s="1612" t="s">
        <v>2828</v>
      </c>
      <c r="AB8" s="1612" t="s">
        <v>2829</v>
      </c>
      <c r="AC8" s="1612" t="s">
        <v>2830</v>
      </c>
      <c r="AD8" s="1612" t="s">
        <v>2831</v>
      </c>
      <c r="AE8" s="1612" t="s">
        <v>2832</v>
      </c>
      <c r="AF8" s="1612" t="s">
        <v>2833</v>
      </c>
      <c r="AG8" s="1612" t="s">
        <v>2834</v>
      </c>
      <c r="AH8" s="1612" t="s">
        <v>2835</v>
      </c>
      <c r="AI8" s="1612" t="s">
        <v>2836</v>
      </c>
      <c r="AJ8" s="1612" t="s">
        <v>2837</v>
      </c>
    </row>
    <row r="9" spans="1:36" ht="15" hidden="1">
      <c r="A9" s="3258"/>
      <c r="B9" s="198" t="s">
        <v>2838</v>
      </c>
      <c r="C9" s="922">
        <f>SUMIF(修正!C59:C119,C8,修正!E59:E119)</f>
        <v>0</v>
      </c>
      <c r="D9" s="200" t="s">
        <v>140</v>
      </c>
      <c r="E9" s="200" t="e">
        <f>ROUND(C11/E7,4)</f>
        <v>#DIV/0!</v>
      </c>
      <c r="F9" s="2753" t="s">
        <v>2839</v>
      </c>
      <c r="G9" s="2754"/>
      <c r="H9" s="2754"/>
      <c r="I9" s="2754"/>
      <c r="J9" s="2755"/>
      <c r="K9" s="1373"/>
      <c r="L9" s="2728" t="s">
        <v>2840</v>
      </c>
      <c r="M9" s="1084">
        <f>SUMPRODUCT((区片价!B245:B289=I2)*(区片价!C3:F3=E2)*(区片价!C245:F289))</f>
        <v>0</v>
      </c>
      <c r="N9" s="1086">
        <f>SUMPRODUCT((因素修正幅度!B245:B289=I2)*(因素修正幅度!C3:F3=E2)*(因素修正幅度!C245:F289))</f>
        <v>0</v>
      </c>
      <c r="O9" s="1373"/>
      <c r="P9" s="1373"/>
      <c r="Q9" s="1373"/>
      <c r="R9" s="1604">
        <v>8</v>
      </c>
      <c r="S9" s="1605"/>
      <c r="T9" s="1604">
        <f t="shared" ca="1" si="0"/>
        <v>0</v>
      </c>
      <c r="U9" s="1605"/>
      <c r="V9" s="1604">
        <f t="shared" ca="1" si="1"/>
        <v>0</v>
      </c>
      <c r="W9" s="3270" t="s">
        <v>2841</v>
      </c>
      <c r="X9" s="1613" t="s">
        <v>2842</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hidden="1">
      <c r="A10" s="3258"/>
      <c r="B10" s="198" t="s">
        <v>2843</v>
      </c>
      <c r="C10" s="200">
        <f>SUMIF(修正!C59:C119,C8,修正!F59:F119)</f>
        <v>0</v>
      </c>
      <c r="D10" s="200" t="s">
        <v>141</v>
      </c>
      <c r="E10" s="200" t="e">
        <f>ROUND(C11/E7,4)</f>
        <v>#DIV/0!</v>
      </c>
      <c r="F10" s="2753" t="s">
        <v>2844</v>
      </c>
      <c r="G10" s="2754"/>
      <c r="H10" s="2754"/>
      <c r="I10" s="2754"/>
      <c r="J10" s="2755"/>
      <c r="K10" s="1373"/>
      <c r="L10" s="2728" t="s">
        <v>2845</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f t="shared" ca="1" si="0"/>
        <v>0</v>
      </c>
      <c r="U10" s="1605"/>
      <c r="V10" s="1604">
        <f t="shared" ca="1" si="1"/>
        <v>0</v>
      </c>
      <c r="W10" s="327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hidden="1" thickBot="1">
      <c r="A11" s="3258"/>
      <c r="B11" s="2756" t="s">
        <v>2846</v>
      </c>
      <c r="C11" s="923">
        <f>C10/4</f>
        <v>0</v>
      </c>
      <c r="D11" s="923" t="s">
        <v>142</v>
      </c>
      <c r="E11" s="923" t="e">
        <f>ROUND(C11/E7,4)</f>
        <v>#DIV/0!</v>
      </c>
      <c r="F11" s="2757" t="s">
        <v>2847</v>
      </c>
      <c r="G11" s="2758"/>
      <c r="H11" s="2758"/>
      <c r="I11" s="2758"/>
      <c r="J11" s="2759"/>
      <c r="K11" s="1373"/>
      <c r="L11" s="2728" t="s">
        <v>2848</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f t="shared" ca="1" si="0"/>
        <v>0</v>
      </c>
      <c r="U11" s="1605"/>
      <c r="V11" s="1604">
        <f t="shared" ca="1" si="1"/>
        <v>0</v>
      </c>
      <c r="W11" s="3270" t="s">
        <v>2849</v>
      </c>
      <c r="X11" s="1616" t="s">
        <v>2850</v>
      </c>
      <c r="Y11" s="1617">
        <f>$G$3</f>
        <v>2.27</v>
      </c>
      <c r="Z11" s="1617">
        <f t="shared" ref="Z11:AJ11" si="3">$G$3</f>
        <v>2.27</v>
      </c>
      <c r="AA11" s="1617">
        <f t="shared" si="3"/>
        <v>2.27</v>
      </c>
      <c r="AB11" s="1617">
        <f t="shared" si="3"/>
        <v>2.27</v>
      </c>
      <c r="AC11" s="1617">
        <f t="shared" si="3"/>
        <v>2.27</v>
      </c>
      <c r="AD11" s="1617">
        <f t="shared" si="3"/>
        <v>2.27</v>
      </c>
      <c r="AE11" s="1617">
        <f t="shared" si="3"/>
        <v>2.27</v>
      </c>
      <c r="AF11" s="1617">
        <f t="shared" si="3"/>
        <v>2.27</v>
      </c>
      <c r="AG11" s="1617">
        <f t="shared" si="3"/>
        <v>2.27</v>
      </c>
      <c r="AH11" s="1617">
        <f t="shared" si="3"/>
        <v>2.27</v>
      </c>
      <c r="AI11" s="1617">
        <f t="shared" si="3"/>
        <v>2.27</v>
      </c>
      <c r="AJ11" s="1617">
        <f t="shared" si="3"/>
        <v>2.27</v>
      </c>
    </row>
    <row r="12" spans="1:36" ht="25.5" hidden="1" thickBot="1">
      <c r="A12" s="3257" t="s">
        <v>2851</v>
      </c>
      <c r="B12" s="2760" t="s">
        <v>2852</v>
      </c>
      <c r="C12" s="919">
        <f>ROUND(C15*D15*E15*F15*G15*H15*I15*J15,4)</f>
        <v>1</v>
      </c>
      <c r="D12" s="2761" t="s">
        <v>2853</v>
      </c>
      <c r="E12" s="2762"/>
      <c r="F12" s="2762"/>
      <c r="G12" s="2763"/>
      <c r="H12" s="2763"/>
      <c r="I12" s="2763"/>
      <c r="J12" s="2764"/>
      <c r="K12" s="1373"/>
      <c r="L12" s="2765" t="s">
        <v>2854</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f t="shared" ca="1" si="0"/>
        <v>0</v>
      </c>
      <c r="U12" s="1605"/>
      <c r="V12" s="1604">
        <f t="shared" ca="1" si="1"/>
        <v>0</v>
      </c>
      <c r="W12" s="3270"/>
      <c r="X12" s="1618" t="s">
        <v>2855</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hidden="1">
      <c r="A13" s="3275"/>
      <c r="B13" s="2766" t="s">
        <v>2856</v>
      </c>
      <c r="C13" s="2767" t="s">
        <v>2857</v>
      </c>
      <c r="D13" s="1810" t="s">
        <v>2858</v>
      </c>
      <c r="E13" s="1810" t="s">
        <v>2859</v>
      </c>
      <c r="F13" s="30" t="s">
        <v>2860</v>
      </c>
      <c r="G13" s="2768" t="s">
        <v>2861</v>
      </c>
      <c r="H13" s="2768" t="s">
        <v>2861</v>
      </c>
      <c r="I13" s="2768" t="s">
        <v>2861</v>
      </c>
      <c r="J13" s="2769" t="s">
        <v>2861</v>
      </c>
      <c r="K13" s="1373"/>
      <c r="L13" s="1373"/>
      <c r="M13" s="1373"/>
      <c r="N13" s="1373"/>
      <c r="O13" s="1373"/>
      <c r="P13" s="1373"/>
      <c r="Q13" s="1373"/>
      <c r="R13" s="1604">
        <v>12</v>
      </c>
      <c r="S13" s="1605"/>
      <c r="T13" s="1604">
        <f t="shared" ca="1" si="0"/>
        <v>0</v>
      </c>
      <c r="U13" s="1605"/>
      <c r="V13" s="1604">
        <f t="shared" ca="1" si="1"/>
        <v>0</v>
      </c>
      <c r="W13" s="3270"/>
      <c r="X13" s="1618"/>
      <c r="Y13" s="1615">
        <f>(-0.163*(Y12^2)-0.59*Y12+7617)*(10^(-4))/Y11</f>
        <v>0.33555066079295154</v>
      </c>
      <c r="Z13" s="1615">
        <f t="shared" ref="Z13:AJ13" si="5">(-0.163*(Z12^2)-0.59*Z12+7617)*(10^(-4))/Z11</f>
        <v>0.33555066079295154</v>
      </c>
      <c r="AA13" s="1615">
        <f t="shared" si="5"/>
        <v>0.33555066079295154</v>
      </c>
      <c r="AB13" s="1615">
        <f t="shared" si="5"/>
        <v>0.33555066079295154</v>
      </c>
      <c r="AC13" s="1615">
        <f t="shared" si="5"/>
        <v>0.33555066079295154</v>
      </c>
      <c r="AD13" s="1615">
        <f t="shared" si="5"/>
        <v>0.33555066079295154</v>
      </c>
      <c r="AE13" s="1615">
        <f t="shared" si="5"/>
        <v>0.33555066079295154</v>
      </c>
      <c r="AF13" s="1615">
        <f t="shared" si="5"/>
        <v>0.33555066079295154</v>
      </c>
      <c r="AG13" s="1615">
        <f t="shared" si="5"/>
        <v>0.33555066079295154</v>
      </c>
      <c r="AH13" s="1615">
        <f t="shared" si="5"/>
        <v>0.33555066079295154</v>
      </c>
      <c r="AI13" s="1615">
        <f t="shared" si="5"/>
        <v>0.33555066079295154</v>
      </c>
      <c r="AJ13" s="1615">
        <f t="shared" si="5"/>
        <v>0.33555066079295154</v>
      </c>
    </row>
    <row r="14" spans="1:36" ht="15" hidden="1">
      <c r="A14" s="3275"/>
      <c r="B14" s="2770"/>
      <c r="C14" s="2771"/>
      <c r="D14" s="2772"/>
      <c r="E14" s="2772"/>
      <c r="F14" s="2773"/>
      <c r="G14" s="2774" t="s">
        <v>2862</v>
      </c>
      <c r="H14" s="2775"/>
      <c r="I14" s="2776"/>
      <c r="J14" s="2777"/>
      <c r="K14" s="1373"/>
      <c r="L14" s="1373"/>
      <c r="M14" s="1373"/>
      <c r="N14" s="1373"/>
      <c r="O14" s="1373"/>
      <c r="P14" s="1373"/>
      <c r="Q14" s="1373"/>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hidden="1" thickBot="1">
      <c r="A15" s="3276"/>
      <c r="B15" s="2778" t="s">
        <v>2863</v>
      </c>
      <c r="C15" s="229">
        <f>IF(C14="有",1.1,1)</f>
        <v>1</v>
      </c>
      <c r="D15" s="229">
        <f>IF(D14="有",1.1,1)</f>
        <v>1</v>
      </c>
      <c r="E15" s="229">
        <f>IF(E14="有",1.1,1)</f>
        <v>1</v>
      </c>
      <c r="F15" s="229">
        <f>IF(F14="500米范围内",1.2,IF(F14="500-1000米",1.1,1))</f>
        <v>1</v>
      </c>
      <c r="G15" s="949">
        <v>1</v>
      </c>
      <c r="H15" s="949">
        <v>1</v>
      </c>
      <c r="I15" s="949">
        <v>1</v>
      </c>
      <c r="J15" s="950">
        <v>1</v>
      </c>
      <c r="K15" s="1373"/>
      <c r="L15" s="2779" t="s">
        <v>2799</v>
      </c>
      <c r="M15" s="920" t="s">
        <v>2864</v>
      </c>
      <c r="N15" s="920" t="s">
        <v>2865</v>
      </c>
      <c r="O15" s="920" t="s">
        <v>2866</v>
      </c>
      <c r="P15" s="2780" t="s">
        <v>2867</v>
      </c>
      <c r="Q15" s="1373"/>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57" t="s">
        <v>2868</v>
      </c>
      <c r="B16" s="2747" t="s">
        <v>2869</v>
      </c>
      <c r="C16" s="1803">
        <f>ROUND(SUM(G17:J17)/C17,0)</f>
        <v>15</v>
      </c>
      <c r="D16" s="2781" t="s">
        <v>2870</v>
      </c>
      <c r="E16" s="2782" t="s">
        <v>3085</v>
      </c>
      <c r="F16" s="2783" t="s">
        <v>3086</v>
      </c>
      <c r="G16" s="2784" t="s">
        <v>3055</v>
      </c>
      <c r="H16" s="2784"/>
      <c r="I16" s="2784"/>
      <c r="J16" s="2785"/>
      <c r="K16" s="1373"/>
      <c r="L16" s="2786" t="s">
        <v>2871</v>
      </c>
      <c r="M16" s="922">
        <v>0.25</v>
      </c>
      <c r="N16" s="922">
        <v>0.2</v>
      </c>
      <c r="O16" s="922">
        <v>0.15</v>
      </c>
      <c r="P16" s="1372">
        <v>0.1</v>
      </c>
      <c r="Q16" s="1373"/>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58"/>
      <c r="B17" s="2787" t="s">
        <v>2872</v>
      </c>
      <c r="C17" s="924">
        <f>SUMPRODUCT((修正!A2:A5=E2)*(修正!B1:M1=G2)*(修正!B2:M5))</f>
        <v>2</v>
      </c>
      <c r="D17" s="2788" t="s">
        <v>2873</v>
      </c>
      <c r="E17" s="923" t="str">
        <f>IF(OR(G2="八级",G2="九级",G2="十级",G2="十一级",G2="十二级"),"五通一平","七通一平")</f>
        <v>五通一平</v>
      </c>
      <c r="F17" s="924" t="s">
        <v>2874</v>
      </c>
      <c r="G17" s="924">
        <f>SUMPRODUCT((七通一平=G16)*(修正!B1:M1=G2)*(修正!B6:M14))</f>
        <v>30</v>
      </c>
      <c r="H17" s="924">
        <f>SUMPRODUCT((七通一平=H16)*(修正!B1:M1=G2)*(修正!B6:M14))</f>
        <v>0</v>
      </c>
      <c r="I17" s="924">
        <f>SUMPRODUCT((七通一平=I16)*(修正!B1:M1=G2)*(修正!B6:M14))</f>
        <v>0</v>
      </c>
      <c r="J17" s="925">
        <f>SUMPRODUCT((七通一平=J16)*(修正!B1:M1=G2)*(修正!B6:M14))</f>
        <v>0</v>
      </c>
      <c r="K17" s="1373"/>
      <c r="L17" s="2789" t="s">
        <v>2875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2876</v>
      </c>
      <c r="C18" s="926">
        <f>SUMIF(修正!C18:C39,E3,修正!E18:E39)</f>
        <v>1</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9.25" thickBot="1">
      <c r="A19" s="2791" t="s">
        <v>809</v>
      </c>
      <c r="B19" s="2792" t="s">
        <v>2877</v>
      </c>
      <c r="C19" s="927">
        <f>ROUND(IF(H19="按公示增长率计算",SUMPRODUCT((地价!A3:A22=YEAR(G19)&amp;"-"&amp;ROUNDUP(MONTH(G19)/3,0))*(地价!X2:AB2=E2)*(地价!X3:AB22)),IF(H19="地价指数",M20/M19,(1+I19)^O19)),4)</f>
        <v>1.2928999999999999</v>
      </c>
      <c r="D19" s="2799" t="s">
        <v>2878</v>
      </c>
      <c r="E19" s="928">
        <v>41640</v>
      </c>
      <c r="F19" s="2799" t="s">
        <v>2879</v>
      </c>
      <c r="G19" s="929">
        <f>'数据-取费表'!B2</f>
        <v>43235</v>
      </c>
      <c r="H19" s="2800" t="s">
        <v>3087</v>
      </c>
      <c r="I19" s="930" t="str">
        <f>IF(H19="季度增幅（自定义）",SUMIF(N21:N24,E2,O21:O24),"")</f>
        <v/>
      </c>
      <c r="J19" s="2797"/>
      <c r="K19" s="1380"/>
      <c r="L19" s="2801" t="s">
        <v>2880</v>
      </c>
      <c r="M19" s="1736">
        <f>ROUND(SUMIF(地价!B2:F2,E2,地价!B22:F22),0)</f>
        <v>258</v>
      </c>
      <c r="N19" s="2802" t="s">
        <v>2881</v>
      </c>
      <c r="O19" s="931">
        <f>ROUNDDOWN(DATEDIF(E19,G19,"M")/3,0)</f>
        <v>17</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2882</v>
      </c>
      <c r="C20" s="932">
        <f ca="1">ROUND(POWER(1+G20,J20-I20)*(POWER(1+G20,I20)-1)/(POWER(1+G20,J20)-1),4)</f>
        <v>0.93459999999999999</v>
      </c>
      <c r="D20" s="2808" t="s">
        <v>2883</v>
      </c>
      <c r="E20" s="1770">
        <f ca="1">存贷款利率!D4/100</f>
        <v>4.3499999999999997E-2</v>
      </c>
      <c r="F20" s="2808" t="s">
        <v>2875</v>
      </c>
      <c r="G20" s="937">
        <f ca="1">SUMIF(M15:P15,E2,M17:P17)</f>
        <v>5.3999999999999999E-2</v>
      </c>
      <c r="H20" s="2808" t="s">
        <v>2884</v>
      </c>
      <c r="I20" s="938">
        <f>SUMIF('数据-取费表'!C6:C15,E2,'数据-取费表'!F6:F15)/COUNTIF('数据-取费表'!C6:C15,E2)</f>
        <v>32.67</v>
      </c>
      <c r="J20" s="939">
        <f>IF(E2="住宅",70,IF(E2="商业",40,50))</f>
        <v>40</v>
      </c>
      <c r="K20" s="1380"/>
      <c r="L20" s="2809" t="s">
        <v>2885</v>
      </c>
      <c r="M20" s="1737">
        <f>ROUND(SUMPRODUCT((地价!A4:A22=YEAR(G19)&amp;"-"&amp;ROUNDUP(MONTH(G19)/3,0))*(地价!B2:F2=E2)*(地价!B4:F22)),0)</f>
        <v>333</v>
      </c>
      <c r="N20" s="2810" t="s">
        <v>2886</v>
      </c>
      <c r="O20" s="2811" t="s">
        <v>2887</v>
      </c>
      <c r="P20" s="2812" t="s">
        <v>2888</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3089</v>
      </c>
      <c r="C21" s="940">
        <f>IF(B21="容积率修正",IF(G3&lt;=10,D22,J22),C23)</f>
        <v>0.75249999999999995</v>
      </c>
      <c r="D21" s="2815"/>
      <c r="E21" s="2815"/>
      <c r="F21" s="2815"/>
      <c r="G21" s="2815"/>
      <c r="H21" s="2815"/>
      <c r="I21" s="2815"/>
      <c r="J21" s="2816"/>
      <c r="K21" s="1380"/>
      <c r="N21" s="2817" t="s">
        <v>2889</v>
      </c>
      <c r="O21" s="1564"/>
      <c r="P21" s="1565">
        <f>SUMPRODUCT((地价!A3:A22=YEAR(G19)&amp;"-"&amp;ROUNDUP(MONTH(G19)/3,0))*(地价!AD2:AH2=N21)*(地价!AD3:AH22))</f>
        <v>1.5699999999999999E-2</v>
      </c>
      <c r="R21" s="1379"/>
      <c r="S21" s="1379"/>
      <c r="T21" s="1374"/>
      <c r="U21" s="1374"/>
      <c r="V21" s="1374"/>
      <c r="W21" s="1373"/>
      <c r="X21" s="1373"/>
      <c r="Y21" s="1373"/>
      <c r="Z21" s="1380"/>
      <c r="AA21" s="1381"/>
      <c r="AB21" s="1381"/>
      <c r="AC21" s="1381"/>
      <c r="AD21" s="1381"/>
      <c r="AE21" s="1381"/>
      <c r="AF21" s="1381"/>
    </row>
    <row r="22" spans="1:37" s="2740" customFormat="1" ht="14.25">
      <c r="A22" s="2666" t="s">
        <v>2890</v>
      </c>
      <c r="B22" s="2818" t="s">
        <v>2891</v>
      </c>
      <c r="C22" s="1812" t="s">
        <v>2892</v>
      </c>
      <c r="D22" s="1812">
        <f>IF(E22=G22,F22,IF(G3&lt;=10,ROUND(F22+(H22-F22)*(G3-E22)/(G22-E22),4),"——"))</f>
        <v>0.93700000000000006</v>
      </c>
      <c r="E22" s="916">
        <f>ROUNDDOWN(G3,1)</f>
        <v>2.2000000000000002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916">
        <f>ROUNDUP(G3,1)</f>
        <v>2.3000000000000003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0.9304</v>
      </c>
      <c r="I22" s="1812" t="s">
        <v>155</v>
      </c>
      <c r="J22" s="941" t="str">
        <f>IF(G3&gt;10,D113,"——")</f>
        <v>——</v>
      </c>
      <c r="K22" s="1380"/>
      <c r="N22" s="2817" t="s">
        <v>2893</v>
      </c>
      <c r="O22" s="1564"/>
      <c r="P22" s="1565">
        <f>SUMPRODUCT((地价!A3:A22=YEAR(G19)&amp;"-"&amp;ROUNDUP(MONTH(G19)/3,0))*(地价!AD2:AH2=N22)*(地价!AD3:AH22))</f>
        <v>1.5699999999999999E-2</v>
      </c>
      <c r="R22" s="1379"/>
      <c r="S22" s="1379"/>
      <c r="T22" s="1374"/>
      <c r="U22" s="1374"/>
      <c r="V22" s="1374"/>
      <c r="W22" s="1373"/>
      <c r="X22" s="1373"/>
      <c r="Y22" s="1373"/>
      <c r="Z22" s="1380"/>
      <c r="AA22" s="1381"/>
      <c r="AB22" s="1381"/>
      <c r="AC22" s="1381"/>
      <c r="AD22" s="1381"/>
      <c r="AE22" s="1381"/>
      <c r="AF22" s="1381"/>
    </row>
    <row r="23" spans="1:37" ht="27.75" thickBot="1">
      <c r="A23" s="2666" t="s">
        <v>2894</v>
      </c>
      <c r="B23" s="2819" t="s">
        <v>2895</v>
      </c>
      <c r="C23" s="1016">
        <f>ROUND(IF(G3&gt;1,IF(I3&lt;7,SUMPRODUCT((B93:B98=I3)*(C92:N92=G2)*(C93:N98)),SUMIF(C92:N92,G2,C100:N100)),IF(I3&lt;7,SUMPRODUCT((B102:B107=I3)*(C92:N92=G2)*(C102:N107)),SUMIF(C92:N92,G2,C109:N109))),4)</f>
        <v>0.75249999999999995</v>
      </c>
      <c r="D23" s="2775"/>
      <c r="E23" s="2775"/>
      <c r="F23" s="2820"/>
      <c r="G23" s="2821"/>
      <c r="H23" s="2822"/>
      <c r="I23" s="2823"/>
      <c r="J23" s="2824"/>
      <c r="K23" s="1373"/>
      <c r="N23" s="2817" t="s">
        <v>2896</v>
      </c>
      <c r="O23" s="1564"/>
      <c r="P23" s="1565">
        <f>SUMPRODUCT((地价!A3:A22=YEAR(G19)&amp;"-"&amp;ROUNDUP(MONTH(G19)/3,0))*(地价!AD2:AH2=N23)*(地价!AD3:AH22))</f>
        <v>2.5000000000000001E-2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2897</v>
      </c>
      <c r="C24" s="927">
        <f>SUMIF(A45:A88,E2,B45:B88)</f>
        <v>1</v>
      </c>
      <c r="D24" s="2795"/>
      <c r="E24" s="2825"/>
      <c r="F24" s="2825"/>
      <c r="G24" s="2825"/>
      <c r="H24" s="2825"/>
      <c r="I24" s="2825"/>
      <c r="J24" s="2826"/>
      <c r="K24" s="1380"/>
      <c r="N24" s="2827" t="s">
        <v>2898</v>
      </c>
      <c r="O24" s="1566"/>
      <c r="P24" s="1567">
        <f>SUMPRODUCT((地价!A3:A22=YEAR(G19)&amp;"-"&amp;ROUNDUP(MONTH(G19)/3,0))*(地价!AD2:AH2=N24)*(地价!AD3:AH22))</f>
        <v>1.35E-2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2899</v>
      </c>
      <c r="C25" s="933"/>
      <c r="D25" s="2750"/>
      <c r="E25" s="2750"/>
      <c r="F25" s="2829"/>
      <c r="G25" s="2750"/>
      <c r="H25" s="2750"/>
      <c r="I25" s="2750"/>
      <c r="J25" s="2751"/>
      <c r="K25" s="1373"/>
      <c r="N25" s="2830" t="s">
        <v>2900</v>
      </c>
      <c r="O25" s="1568"/>
      <c r="P25" s="1567">
        <f>SUMPRODUCT((地价!A3:A22=YEAR(G19)&amp;"-"&amp;ROUNDUP(MONTH(G19)/3,0))*(地价!AD2:AH2=N25)*(地价!AD3:AH22))</f>
        <v>2.2700000000000001E-2</v>
      </c>
      <c r="R25" s="1379"/>
      <c r="S25" s="1379"/>
      <c r="T25" s="1374"/>
      <c r="U25" s="1374"/>
      <c r="V25" s="1374"/>
      <c r="W25" s="1373"/>
      <c r="X25" s="1373"/>
      <c r="Y25" s="1373"/>
      <c r="Z25" s="1380"/>
      <c r="AA25" s="1381"/>
      <c r="AB25" s="1381"/>
      <c r="AC25" s="1381"/>
      <c r="AD25" s="1381"/>
    </row>
    <row r="26" spans="1:37" ht="15">
      <c r="A26" s="2831"/>
      <c r="B26" s="2818" t="s">
        <v>2901</v>
      </c>
      <c r="C26" s="206">
        <f ca="1">E29+SUM(E33:E39)</f>
        <v>78620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2902</v>
      </c>
      <c r="C27" s="934" t="e">
        <f ca="1">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2903</v>
      </c>
      <c r="C28" s="2842" t="s">
        <v>2904</v>
      </c>
      <c r="D28" s="2842" t="s">
        <v>2905</v>
      </c>
      <c r="E28" s="2843" t="s">
        <v>2906</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2907</v>
      </c>
      <c r="C29" s="206">
        <f ca="1">ROUND(C5*C18*C19*C20*C21*C24,0)</f>
        <v>5224</v>
      </c>
      <c r="D29" s="2847">
        <f>'数据-基础表'!I13</f>
        <v>125418.93</v>
      </c>
      <c r="E29" s="945">
        <f ca="1">ROUND(C29*D29/10000,0)</f>
        <v>65519</v>
      </c>
      <c r="F29" s="2848" t="s">
        <v>2908</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2909</v>
      </c>
      <c r="C30" s="229">
        <f ca="1">ROUND(IF(E2="工业",C29*M39,C29*M38),0)</f>
        <v>1306</v>
      </c>
      <c r="D30" s="2853"/>
      <c r="E30" s="945">
        <f ca="1">ROUND(C30*D30/10000,0)</f>
        <v>0</v>
      </c>
      <c r="F30" s="2854" t="s">
        <v>2910</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2911</v>
      </c>
      <c r="C31" s="2859" t="s">
        <v>2912</v>
      </c>
      <c r="D31" s="2763"/>
      <c r="E31" s="2859"/>
      <c r="F31" s="2859"/>
      <c r="G31" s="2761" t="s">
        <v>2913</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2904</v>
      </c>
      <c r="D32" s="498" t="s">
        <v>2905</v>
      </c>
      <c r="E32" s="498" t="s">
        <v>2906</v>
      </c>
      <c r="F32" s="388" t="s">
        <v>2914</v>
      </c>
      <c r="G32" s="2862" t="s">
        <v>2904</v>
      </c>
      <c r="H32" s="2862" t="s">
        <v>2905</v>
      </c>
      <c r="I32" s="2862" t="s">
        <v>2906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65" t="s">
        <v>2915</v>
      </c>
      <c r="B33" s="2863" t="s">
        <v>2916</v>
      </c>
      <c r="C33" s="206">
        <f ca="1">ROUND(D5*C19*C20*C24*F33,0)</f>
        <v>4165</v>
      </c>
      <c r="D33" s="2847">
        <f>'数据-基础表'!K13</f>
        <v>19300.580000000002</v>
      </c>
      <c r="E33" s="200">
        <f ca="1">ROUND(C33*D33/10000,0)</f>
        <v>8039</v>
      </c>
      <c r="F33" s="200">
        <f>SUMIF(修正!A45:A56,G2,修正!B45:B56)</f>
        <v>0.6</v>
      </c>
      <c r="G33" s="200">
        <f t="shared" ref="G33:G39" ca="1" si="6">ROUND(IF(E2="工业",C33*$M$39,C33*$M$38),0)</f>
        <v>1041</v>
      </c>
      <c r="H33" s="200">
        <f>D33</f>
        <v>19300.580000000002</v>
      </c>
      <c r="I33" s="200">
        <f ca="1">ROUND(G33*H33/10000,0)</f>
        <v>2009</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6"/>
      <c r="B34" s="2767" t="s">
        <v>2917</v>
      </c>
      <c r="C34" s="206">
        <f ca="1">ROUND(D5*C19*C20*C24*F34,0)</f>
        <v>2083</v>
      </c>
      <c r="D34" s="2847"/>
      <c r="E34" s="200">
        <f t="shared" ref="E34:E39" ca="1" si="7">ROUND(C34*D34/10000,0)</f>
        <v>0</v>
      </c>
      <c r="F34" s="200">
        <f>SUMIF(修正!A45:A56,G2,修正!C45:C56)</f>
        <v>0.3</v>
      </c>
      <c r="G34" s="200">
        <f t="shared" ca="1" si="6"/>
        <v>521</v>
      </c>
      <c r="H34" s="200">
        <f t="shared" ref="H34:H39" si="8">D34</f>
        <v>0</v>
      </c>
      <c r="I34" s="200">
        <f t="shared" ref="I34:I39" ca="1" si="9">ROUND(G34*H34/10000,0)</f>
        <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6"/>
      <c r="B35" s="2767" t="s">
        <v>2918</v>
      </c>
      <c r="C35" s="206">
        <f ca="1">ROUND(D5*C19*C20*C24*F35,0)</f>
        <v>1388</v>
      </c>
      <c r="D35" s="2847"/>
      <c r="E35" s="200">
        <f t="shared" ca="1" si="7"/>
        <v>0</v>
      </c>
      <c r="F35" s="200">
        <f>SUMIF(修正!A45:A56,G2,修正!D45:D56)</f>
        <v>0.2</v>
      </c>
      <c r="G35" s="200">
        <f t="shared" ca="1" si="6"/>
        <v>347</v>
      </c>
      <c r="H35" s="200">
        <f t="shared" si="8"/>
        <v>0</v>
      </c>
      <c r="I35" s="200">
        <f t="shared" ca="1" si="9"/>
        <v>0</v>
      </c>
      <c r="J35" s="2864"/>
      <c r="K35" s="1373"/>
      <c r="L35" s="1373"/>
      <c r="M35" s="1373"/>
      <c r="N35" s="1373"/>
      <c r="O35" s="1373"/>
      <c r="P35" s="1373"/>
      <c r="Q35" s="1373"/>
      <c r="R35" s="1373"/>
      <c r="S35" s="1373"/>
      <c r="T35" s="1373"/>
      <c r="U35" s="1373"/>
      <c r="V35" s="1373"/>
      <c r="W35" s="1373"/>
      <c r="X35" s="1373"/>
      <c r="Y35" s="1373"/>
      <c r="Z35" s="1374"/>
    </row>
    <row r="36" spans="1:37" ht="13.5" thickBot="1">
      <c r="A36" s="3267"/>
      <c r="B36" s="2767" t="s">
        <v>2919</v>
      </c>
      <c r="C36" s="206">
        <f ca="1">ROUND(D5*C19*C20*C24*F36,0)</f>
        <v>1388</v>
      </c>
      <c r="D36" s="2847"/>
      <c r="E36" s="200">
        <f t="shared" ca="1" si="7"/>
        <v>0</v>
      </c>
      <c r="F36" s="200">
        <f>SUMIF(修正!A45:A56,G2,修正!E45:E56)</f>
        <v>0.2</v>
      </c>
      <c r="G36" s="200">
        <f t="shared" ca="1" si="6"/>
        <v>347</v>
      </c>
      <c r="H36" s="200">
        <f t="shared" si="8"/>
        <v>0</v>
      </c>
      <c r="I36" s="200">
        <f t="shared" ca="1" si="9"/>
        <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2920</v>
      </c>
      <c r="C37" s="200">
        <f ca="1">ROUND(C5*C19*C20*C24*F37,0)</f>
        <v>1388</v>
      </c>
      <c r="D37" s="2847"/>
      <c r="E37" s="200">
        <f t="shared" ca="1" si="7"/>
        <v>0</v>
      </c>
      <c r="F37" s="206">
        <f>SUMIF(修正!A45:A56,G2,修正!F45:F56)</f>
        <v>0.2</v>
      </c>
      <c r="G37" s="200">
        <f t="shared" ca="1" si="6"/>
        <v>347</v>
      </c>
      <c r="H37" s="200">
        <f t="shared" si="8"/>
        <v>0</v>
      </c>
      <c r="I37" s="200">
        <f t="shared" ca="1" si="9"/>
        <v>0</v>
      </c>
      <c r="J37" s="2864"/>
      <c r="K37" s="1373"/>
      <c r="L37" s="2866" t="s">
        <v>2921</v>
      </c>
      <c r="M37" s="2867"/>
      <c r="N37" s="1373"/>
      <c r="O37" s="1373"/>
      <c r="P37" s="1373"/>
      <c r="Q37" s="1373"/>
      <c r="R37" s="1373"/>
      <c r="S37" s="1373"/>
      <c r="T37" s="1373"/>
      <c r="U37" s="1373"/>
      <c r="V37" s="1373"/>
      <c r="W37" s="1373"/>
      <c r="X37" s="1373"/>
      <c r="Y37" s="1373"/>
      <c r="Z37" s="1374"/>
    </row>
    <row r="38" spans="1:37">
      <c r="A38" s="2865"/>
      <c r="B38" s="2767" t="s">
        <v>2922</v>
      </c>
      <c r="C38" s="200">
        <f ca="1">ROUND(C5*C19*C20*C24*F38,0)</f>
        <v>1388</v>
      </c>
      <c r="D38" s="2847"/>
      <c r="E38" s="200">
        <f t="shared" ca="1" si="7"/>
        <v>0</v>
      </c>
      <c r="F38" s="206">
        <f>SUMIF(修正!A45:A56,G2,修正!G45:G56)</f>
        <v>0.2</v>
      </c>
      <c r="G38" s="200">
        <f t="shared" ca="1" si="6"/>
        <v>347</v>
      </c>
      <c r="H38" s="200">
        <f t="shared" si="8"/>
        <v>0</v>
      </c>
      <c r="I38" s="200">
        <f t="shared" ca="1" si="9"/>
        <v>0</v>
      </c>
      <c r="J38" s="2864"/>
      <c r="K38" s="1373"/>
      <c r="L38" s="1889" t="s">
        <v>2923</v>
      </c>
      <c r="M38" s="2868">
        <v>0.25</v>
      </c>
      <c r="N38" s="1373"/>
      <c r="O38" s="1373"/>
      <c r="P38" s="1373"/>
      <c r="Q38" s="1373"/>
      <c r="R38" s="1373"/>
      <c r="S38" s="1373"/>
      <c r="T38" s="1373"/>
      <c r="U38" s="1373"/>
      <c r="V38" s="1373"/>
      <c r="W38" s="1373"/>
      <c r="X38" s="1373"/>
      <c r="Y38" s="1373"/>
      <c r="Z38" s="1374"/>
    </row>
    <row r="39" spans="1:37" ht="13.5" thickBot="1">
      <c r="A39" s="2851"/>
      <c r="B39" s="2869" t="s">
        <v>2924</v>
      </c>
      <c r="C39" s="229">
        <f ca="1">ROUND(C5*C19*C20*C24*F39,0)</f>
        <v>1041</v>
      </c>
      <c r="D39" s="2853">
        <f>'数据-基础表'!M13</f>
        <v>48625.24</v>
      </c>
      <c r="E39" s="229">
        <f t="shared" ca="1" si="7"/>
        <v>5062</v>
      </c>
      <c r="F39" s="935">
        <f>SUMIF(修正!A45:A56,G2,修正!H45:H56)</f>
        <v>0.15</v>
      </c>
      <c r="G39" s="229" t="e">
        <f t="shared" si="6"/>
        <v>#DIV/0!</v>
      </c>
      <c r="H39" s="229">
        <f t="shared" si="8"/>
        <v>48625.24</v>
      </c>
      <c r="I39" s="229" t="e">
        <f t="shared" si="9"/>
        <v>#DIV/0!</v>
      </c>
      <c r="J39" s="2870"/>
      <c r="K39" s="1373"/>
      <c r="L39" s="2871" t="s">
        <v>2867</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3"/>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2925</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2926</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2927</v>
      </c>
      <c r="B47" s="1811" t="s">
        <v>2928</v>
      </c>
      <c r="C47" s="1811" t="s">
        <v>2929</v>
      </c>
      <c r="D47" s="1811" t="s">
        <v>2930</v>
      </c>
      <c r="E47" s="819" t="s">
        <v>2931</v>
      </c>
      <c r="F47" s="2881" t="s">
        <v>2932</v>
      </c>
      <c r="G47" s="1811" t="s">
        <v>754</v>
      </c>
      <c r="H47" s="2882" t="s">
        <v>2933</v>
      </c>
      <c r="I47" s="1811" t="s">
        <v>2934</v>
      </c>
      <c r="J47" s="603" t="s">
        <v>2586</v>
      </c>
      <c r="K47" s="603" t="s">
        <v>2587</v>
      </c>
      <c r="L47" s="603" t="s">
        <v>2588</v>
      </c>
      <c r="M47" s="603" t="s">
        <v>2589</v>
      </c>
      <c r="N47" s="603" t="s">
        <v>2590</v>
      </c>
      <c r="AA47" s="1374"/>
      <c r="AB47" s="1374"/>
      <c r="AC47" s="1374"/>
      <c r="AD47" s="1374"/>
      <c r="AE47" s="1374"/>
      <c r="AF47" s="1374"/>
      <c r="AG47" s="1374"/>
      <c r="AH47" s="1374"/>
      <c r="AI47" s="1374"/>
      <c r="AJ47" s="1374"/>
      <c r="AK47" s="1374"/>
    </row>
    <row r="48" spans="1:37" s="1373" customFormat="1" ht="51">
      <c r="A48" s="2880" t="s">
        <v>2935</v>
      </c>
      <c r="B48" s="2883" t="str">
        <f>估价对象房地状况!C4</f>
        <v>估价对象位于大兴区生物医药基地地区，周边商业氛围成熟度一般，人流量较大，商业繁华度一般。</v>
      </c>
      <c r="C48" s="2772"/>
      <c r="D48" s="1289">
        <f t="shared" ref="D48:D56" si="10">SUMIF($J$47:$N$47,C48,J48:N48)</f>
        <v>0</v>
      </c>
      <c r="E48" s="821">
        <f>ROUND(SUM(D48:D56),4)</f>
        <v>0</v>
      </c>
      <c r="F48" s="2503">
        <f>IF(E2="商业",SUMIF(L1:L12,G2,N1:N12),"——")</f>
        <v>0.15</v>
      </c>
      <c r="G48" s="1287"/>
      <c r="H48" s="1291">
        <f t="shared" ref="H48:H56" si="11">IFERROR(ROUNDDOWN($F$48*I48/2,4),"——")</f>
        <v>2.47E-2</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2936</v>
      </c>
      <c r="B49" s="2884" t="str">
        <f>估价对象房地状况!C18</f>
        <v>估价对象周边路网密集、公共交通通达情况较好、停车便捷程度好，综合评价交通便捷度较好。</v>
      </c>
      <c r="C49" s="2772"/>
      <c r="D49" s="1289">
        <f t="shared" si="10"/>
        <v>0</v>
      </c>
      <c r="E49" s="822"/>
      <c r="F49" s="2503"/>
      <c r="G49" s="1287"/>
      <c r="H49" s="1291">
        <f t="shared" si="11"/>
        <v>1.8700000000000001E-2</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2937</v>
      </c>
      <c r="B50" s="2884" t="str">
        <f>估价对象房地状况!C19</f>
        <v>一致</v>
      </c>
      <c r="C50" s="2772"/>
      <c r="D50" s="1289">
        <f t="shared" si="10"/>
        <v>0</v>
      </c>
      <c r="E50" s="822"/>
      <c r="F50" s="2503"/>
      <c r="G50" s="1287"/>
      <c r="H50" s="1291">
        <f t="shared" si="11"/>
        <v>3.7000000000000002E-3</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2938</v>
      </c>
      <c r="B51" s="2885" t="s">
        <v>2939</v>
      </c>
      <c r="C51" s="2772"/>
      <c r="D51" s="1289">
        <f t="shared" si="10"/>
        <v>0</v>
      </c>
      <c r="E51" s="822"/>
      <c r="F51" s="2503"/>
      <c r="G51" s="1287"/>
      <c r="H51" s="1291">
        <f t="shared" si="11"/>
        <v>3.7000000000000002E-3</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2940</v>
      </c>
      <c r="B52" s="2884">
        <f>估价对象房地状况!C24</f>
        <v>0</v>
      </c>
      <c r="C52" s="2772"/>
      <c r="D52" s="1289">
        <f t="shared" si="10"/>
        <v>0</v>
      </c>
      <c r="E52" s="822"/>
      <c r="F52" s="2503"/>
      <c r="G52" s="1287"/>
      <c r="H52" s="1291">
        <f t="shared" si="11"/>
        <v>6.0000000000000001E-3</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2941</v>
      </c>
      <c r="B53" s="2886" t="s">
        <v>2942</v>
      </c>
      <c r="C53" s="2772"/>
      <c r="D53" s="1289">
        <f t="shared" si="10"/>
        <v>0</v>
      </c>
      <c r="E53" s="822"/>
      <c r="F53" s="2503"/>
      <c r="G53" s="1287"/>
      <c r="H53" s="1291">
        <f t="shared" si="11"/>
        <v>2.2000000000000001E-3</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63.75">
      <c r="A54" s="2887" t="s">
        <v>2943</v>
      </c>
      <c r="B54" s="1727" t="str">
        <f>估价对象房地状况!C21</f>
        <v>估价对象所在区域有北京市农村商业银行(北臧村支行)、北京市大兴区向阳希望学校、华联超市等公共配套设施齐备情况较好。</v>
      </c>
      <c r="C54" s="2772"/>
      <c r="D54" s="1289">
        <f t="shared" si="10"/>
        <v>0</v>
      </c>
      <c r="E54" s="822"/>
      <c r="F54" s="2503"/>
      <c r="G54" s="1287"/>
      <c r="H54" s="1291">
        <f t="shared" si="11"/>
        <v>3.7000000000000002E-3</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4">
      <c r="A55" s="2887" t="s">
        <v>2944</v>
      </c>
      <c r="B55" s="2884" t="str">
        <f>估价对象房地状况!C22</f>
        <v>七通</v>
      </c>
      <c r="C55" s="2772"/>
      <c r="D55" s="1289">
        <f t="shared" si="10"/>
        <v>0</v>
      </c>
      <c r="E55" s="822"/>
      <c r="F55" s="2503"/>
      <c r="G55" s="1287"/>
      <c r="H55" s="1291">
        <f t="shared" si="11"/>
        <v>7.4999999999999997E-3</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88" t="s">
        <v>2945</v>
      </c>
      <c r="B56" s="2889" t="str">
        <f>估价对象房地状况!C20</f>
        <v>估价对象所处区域自然环境及人文环境：有念坛公园、绿化条件一般，缺乏图书馆、博物馆等设施；综合评价环境状况一般。</v>
      </c>
      <c r="C56" s="2772"/>
      <c r="D56" s="1289">
        <f t="shared" si="10"/>
        <v>0</v>
      </c>
      <c r="E56" s="825"/>
      <c r="F56" s="2503"/>
      <c r="G56" s="1287"/>
      <c r="H56" s="1291">
        <f t="shared" si="11"/>
        <v>4.4999999999999997E-3</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2946</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2927</v>
      </c>
      <c r="B58" s="1811"/>
      <c r="C58" s="1811" t="s">
        <v>2929</v>
      </c>
      <c r="D58" s="1811" t="s">
        <v>2930</v>
      </c>
      <c r="E58" s="819" t="s">
        <v>2931</v>
      </c>
      <c r="F58" s="2881" t="s">
        <v>2947</v>
      </c>
      <c r="G58" s="1811" t="s">
        <v>754</v>
      </c>
      <c r="H58" s="2882" t="s">
        <v>2933</v>
      </c>
      <c r="I58" s="1811" t="s">
        <v>2934</v>
      </c>
      <c r="J58" s="603" t="s">
        <v>2586</v>
      </c>
      <c r="K58" s="603" t="s">
        <v>2587</v>
      </c>
      <c r="L58" s="603" t="s">
        <v>2588</v>
      </c>
      <c r="M58" s="603" t="s">
        <v>2589</v>
      </c>
      <c r="N58" s="603" t="s">
        <v>2590</v>
      </c>
      <c r="AA58" s="1374"/>
      <c r="AB58" s="1374"/>
      <c r="AC58" s="1374"/>
      <c r="AD58" s="1374"/>
      <c r="AE58" s="1374"/>
      <c r="AF58" s="1374"/>
      <c r="AG58" s="1374"/>
      <c r="AH58" s="1374"/>
      <c r="AI58" s="1374"/>
      <c r="AJ58" s="1374"/>
      <c r="AK58" s="1374"/>
    </row>
    <row r="59" spans="1:37" s="1373" customFormat="1" ht="24">
      <c r="A59" s="2880" t="s">
        <v>2948</v>
      </c>
      <c r="B59" s="2883">
        <f>估价对象房地状况!C17</f>
        <v>0</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2936</v>
      </c>
      <c r="B60" s="2884" t="str">
        <f>估价对象房地状况!C18</f>
        <v>估价对象周边路网密集、公共交通通达情况较好、停车便捷程度好，综合评价交通便捷度较好。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2937</v>
      </c>
      <c r="B61" s="2884" t="str">
        <f>估价对象房地状况!C19</f>
        <v>一致</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2938</v>
      </c>
      <c r="B62" s="2885" t="s">
        <v>2939</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2940</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2941</v>
      </c>
      <c r="B64" s="2886" t="s">
        <v>2942</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63.75">
      <c r="A65" s="2880" t="s">
        <v>2943</v>
      </c>
      <c r="B65" s="1727" t="str">
        <f>估价对象房地状况!C21</f>
        <v>估价对象所在区域有北京市农村商业银行(北臧村支行)、北京市大兴区向阳希望学校、华联超市等公共配套设施齐备情况较好。</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4">
      <c r="A66" s="2880" t="s">
        <v>2944</v>
      </c>
      <c r="B66" s="1727" t="str">
        <f>估价对象房地状况!C22</f>
        <v>七通</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88" t="s">
        <v>2945</v>
      </c>
      <c r="B67" s="2890" t="str">
        <f>估价对象房地状况!C20</f>
        <v>估价对象所处区域自然环境及人文环境：有念坛公园、绿化条件一般，缺乏图书馆、博物馆等设施；综合评价环境状况一般。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2949</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2927</v>
      </c>
      <c r="B69" s="1811"/>
      <c r="C69" s="1811" t="s">
        <v>2929</v>
      </c>
      <c r="D69" s="1811" t="s">
        <v>2930</v>
      </c>
      <c r="E69" s="819" t="s">
        <v>2931</v>
      </c>
      <c r="F69" s="2881" t="s">
        <v>2947</v>
      </c>
      <c r="G69" s="1811" t="s">
        <v>754</v>
      </c>
      <c r="H69" s="2882" t="s">
        <v>2933</v>
      </c>
      <c r="I69" s="1811" t="s">
        <v>2934</v>
      </c>
      <c r="J69" s="603" t="s">
        <v>2586</v>
      </c>
      <c r="K69" s="603" t="s">
        <v>2587</v>
      </c>
      <c r="L69" s="603" t="s">
        <v>2588</v>
      </c>
      <c r="M69" s="603" t="s">
        <v>2589</v>
      </c>
      <c r="N69" s="603" t="s">
        <v>2590</v>
      </c>
      <c r="AA69" s="1374"/>
      <c r="AB69" s="1374"/>
      <c r="AC69" s="1374"/>
      <c r="AD69" s="1374"/>
      <c r="AE69" s="1374"/>
      <c r="AF69" s="1374"/>
      <c r="AG69" s="1374"/>
      <c r="AH69" s="1374"/>
      <c r="AI69" s="1374"/>
      <c r="AJ69" s="1374"/>
      <c r="AK69" s="1374"/>
    </row>
    <row r="70" spans="1:37" s="1373" customFormat="1" ht="24">
      <c r="A70" s="2880" t="s">
        <v>2950</v>
      </c>
      <c r="B70" s="2883">
        <f>估价对象房地状况!C15</f>
        <v>0</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2936</v>
      </c>
      <c r="B71" s="2884" t="str">
        <f>估价对象房地状况!C18</f>
        <v>估价对象周边路网密集、公共交通通达情况较好、停车便捷程度好，综合评价交通便捷度较好。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2937</v>
      </c>
      <c r="B72" s="2884" t="str">
        <f>估价对象房地状况!C19</f>
        <v>一致</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2951</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63.75">
      <c r="A74" s="2880" t="s">
        <v>2943</v>
      </c>
      <c r="B74" s="1727" t="str">
        <f>估价对象房地状况!C21</f>
        <v>估价对象所在区域有北京市农村商业银行(北臧村支行)、北京市大兴区向阳希望学校、华联超市等公共配套设施齐备情况较好。</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4">
      <c r="A75" s="2880" t="s">
        <v>2944</v>
      </c>
      <c r="B75" s="1727" t="str">
        <f>估价对象房地状况!C22</f>
        <v>七通</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2941</v>
      </c>
      <c r="B76" s="2886" t="s">
        <v>2942</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63.75">
      <c r="A77" s="2880" t="s">
        <v>2945</v>
      </c>
      <c r="B77" s="2883" t="str">
        <f>估价对象房地状况!C20</f>
        <v>估价对象所处区域自然环境及人文环境：有念坛公园、绿化条件一般，缺乏图书馆、博物馆等设施；综合评价环境状况一般。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2952</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2953</v>
      </c>
      <c r="B79" s="2877">
        <f>1+E81</f>
        <v>1</v>
      </c>
      <c r="C79" s="814"/>
      <c r="D79" s="814"/>
      <c r="E79" s="815"/>
      <c r="F79" s="2879"/>
      <c r="G79" s="6"/>
      <c r="H79" s="6"/>
      <c r="I79" s="6"/>
      <c r="J79" s="7"/>
      <c r="K79" s="7"/>
      <c r="L79" s="7"/>
      <c r="M79" s="7"/>
      <c r="N79" s="7"/>
      <c r="Z79" s="2722"/>
      <c r="AA79" s="2798"/>
      <c r="AG79" s="1375"/>
      <c r="AK79" s="2798"/>
    </row>
    <row r="80" spans="1:37" ht="24.75">
      <c r="A80" s="2880" t="s">
        <v>2927</v>
      </c>
      <c r="B80" s="1811"/>
      <c r="C80" s="1811" t="s">
        <v>2929</v>
      </c>
      <c r="D80" s="1811" t="s">
        <v>2930</v>
      </c>
      <c r="E80" s="819" t="s">
        <v>2931</v>
      </c>
      <c r="F80" s="2881" t="s">
        <v>2947</v>
      </c>
      <c r="G80" s="1811" t="s">
        <v>754</v>
      </c>
      <c r="H80" s="2882" t="s">
        <v>2933</v>
      </c>
      <c r="I80" s="1811" t="s">
        <v>2934</v>
      </c>
      <c r="J80" s="603" t="s">
        <v>2586</v>
      </c>
      <c r="K80" s="603" t="s">
        <v>2587</v>
      </c>
      <c r="L80" s="603" t="s">
        <v>2588</v>
      </c>
      <c r="M80" s="603" t="s">
        <v>2589</v>
      </c>
      <c r="N80" s="603" t="s">
        <v>2590</v>
      </c>
      <c r="Z80" s="2722"/>
      <c r="AA80" s="2798"/>
      <c r="AG80" s="1375"/>
      <c r="AK80" s="2798"/>
    </row>
    <row r="81" spans="1:37" ht="24">
      <c r="A81" s="2880" t="s">
        <v>2954</v>
      </c>
      <c r="B81" s="2884">
        <f>估价对象房地状况!G15</f>
        <v>0</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14.25">
      <c r="A82" s="2880" t="s">
        <v>2936</v>
      </c>
      <c r="B82" s="2884">
        <f>估价对象房地状况!G16</f>
        <v>0</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2937</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2951</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4">
      <c r="A85" s="2880" t="s">
        <v>2943</v>
      </c>
      <c r="B85" s="1727">
        <f>估价对象房地状况!G19</f>
        <v>0</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4">
      <c r="A86" s="2880" t="s">
        <v>2944</v>
      </c>
      <c r="B86" s="1727">
        <f>估价对象房地状况!G20</f>
        <v>0</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2941</v>
      </c>
      <c r="B87" s="2886" t="s">
        <v>2955</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15" thickBot="1">
      <c r="A88" s="2888" t="s">
        <v>2956</v>
      </c>
      <c r="B88" s="2893">
        <f>估价对象房地状况!G18</f>
        <v>0</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9" t="s">
        <v>2957</v>
      </c>
      <c r="B90" s="3259"/>
      <c r="C90" s="3259"/>
      <c r="D90" s="3259"/>
      <c r="E90" s="3259"/>
      <c r="F90" s="3259"/>
      <c r="G90" s="3259"/>
      <c r="H90" s="3259"/>
      <c r="I90" s="3259"/>
      <c r="J90" s="3259"/>
      <c r="K90" s="2894"/>
      <c r="L90" s="2894"/>
      <c r="M90" s="2894"/>
      <c r="N90" s="2894"/>
    </row>
    <row r="91" spans="1:37">
      <c r="A91" s="3261" t="s">
        <v>2958</v>
      </c>
      <c r="B91" s="3261" t="s">
        <v>2959</v>
      </c>
      <c r="C91" s="2848" t="s">
        <v>2960</v>
      </c>
      <c r="D91" s="2849"/>
      <c r="E91" s="2849"/>
      <c r="F91" s="2849"/>
      <c r="G91" s="2849"/>
      <c r="H91" s="2849"/>
      <c r="I91" s="2849"/>
      <c r="J91" s="2895"/>
      <c r="K91" s="2896"/>
      <c r="L91" s="2896"/>
      <c r="M91" s="2896"/>
      <c r="N91" s="2896"/>
    </row>
    <row r="92" spans="1:37">
      <c r="A92" s="3261"/>
      <c r="B92" s="3261"/>
      <c r="C92" s="945" t="s">
        <v>2826</v>
      </c>
      <c r="D92" s="945" t="s">
        <v>2827</v>
      </c>
      <c r="E92" s="945" t="s">
        <v>2828</v>
      </c>
      <c r="F92" s="945" t="s">
        <v>2829</v>
      </c>
      <c r="G92" s="945" t="s">
        <v>2830</v>
      </c>
      <c r="H92" s="945" t="s">
        <v>2831</v>
      </c>
      <c r="I92" s="945" t="s">
        <v>2832</v>
      </c>
      <c r="J92" s="945" t="s">
        <v>2833</v>
      </c>
      <c r="K92" s="945" t="s">
        <v>2834</v>
      </c>
      <c r="L92" s="945" t="s">
        <v>2835</v>
      </c>
      <c r="M92" s="945" t="s">
        <v>2836</v>
      </c>
      <c r="N92" s="945" t="s">
        <v>2837</v>
      </c>
    </row>
    <row r="93" spans="1:37">
      <c r="A93" s="3262" t="s">
        <v>2961</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3"/>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3"/>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3"/>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3"/>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3"/>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3"/>
      <c r="B99" s="2897" t="s">
        <v>2842</v>
      </c>
      <c r="C99" s="2899">
        <f>$I$3</f>
        <v>4</v>
      </c>
      <c r="D99" s="2899">
        <f t="shared" ref="D99:M99" si="30">$I$3</f>
        <v>4</v>
      </c>
      <c r="E99" s="2899">
        <f t="shared" si="30"/>
        <v>4</v>
      </c>
      <c r="F99" s="2899">
        <f t="shared" si="30"/>
        <v>4</v>
      </c>
      <c r="G99" s="2899">
        <f t="shared" si="30"/>
        <v>4</v>
      </c>
      <c r="H99" s="2899">
        <f t="shared" si="30"/>
        <v>4</v>
      </c>
      <c r="I99" s="2899">
        <f t="shared" si="30"/>
        <v>4</v>
      </c>
      <c r="J99" s="2899">
        <f t="shared" si="30"/>
        <v>4</v>
      </c>
      <c r="K99" s="2899">
        <f t="shared" si="30"/>
        <v>4</v>
      </c>
      <c r="L99" s="2899">
        <f t="shared" si="30"/>
        <v>4</v>
      </c>
      <c r="M99" s="2899">
        <f t="shared" si="30"/>
        <v>4</v>
      </c>
      <c r="N99" s="2899">
        <f>$I$3</f>
        <v>4</v>
      </c>
    </row>
    <row r="100" spans="1:14">
      <c r="A100" s="3264"/>
      <c r="B100" s="2897">
        <v>7</v>
      </c>
      <c r="C100" s="2900">
        <f>(-0.163*(C99^2)-0.59*C99+7617)*(10^(-4))</f>
        <v>0.76120320000000008</v>
      </c>
      <c r="D100" s="2900">
        <f>(-0.163*(D99^2)-0.59*D99+7617)*(10^(-4))</f>
        <v>0.76120320000000008</v>
      </c>
      <c r="E100" s="2900">
        <f>(-0.161*(E99^2)-7.509*E99+6533)*(10^(-4))</f>
        <v>0.65003880000000003</v>
      </c>
      <c r="F100" s="2900">
        <f>(-0.161*(F99^2)-7.509*F99+6533)*(10^(-4))</f>
        <v>0.65003880000000003</v>
      </c>
      <c r="G100" s="2900">
        <f>(-0.161*(G99^2)-7.509*G99+6533)*(10^(-4))</f>
        <v>0.65003880000000003</v>
      </c>
      <c r="H100" s="2900">
        <f>(-0.161*(H99^2)-7.509*H99+6533)*(10^(-4))</f>
        <v>0.65003880000000003</v>
      </c>
      <c r="I100" s="2900">
        <f>(-0.161*(I99^2)-7.509*I99+6533)*(10^(-4))</f>
        <v>0.65003880000000003</v>
      </c>
      <c r="J100" s="2900">
        <f>(-0.214*(J99^2)-21.991*J99+4665)*(10^(-4))</f>
        <v>0.45736120000000002</v>
      </c>
      <c r="K100" s="2900">
        <f>(-0.214*(K99^2)-21.991*K99+4665)*(10^(-4))</f>
        <v>0.45736120000000002</v>
      </c>
      <c r="L100" s="2900">
        <f>(-0.214*(L99^2)-21.991*L99+4665)*(10^(-4))</f>
        <v>0.45736120000000002</v>
      </c>
      <c r="M100" s="2900">
        <f>(-0.214*(M99^2)-21.991*M99+4665)*(10^(-4))</f>
        <v>0.45736120000000002</v>
      </c>
      <c r="N100" s="2900">
        <f>(-0.214*(N99^2)-21.991*N99+4665)*(10^(-4))</f>
        <v>0.45736120000000002</v>
      </c>
    </row>
    <row r="101" spans="1:14">
      <c r="A101" s="3262" t="s">
        <v>2962</v>
      </c>
      <c r="B101" s="2901" t="s">
        <v>2963</v>
      </c>
      <c r="C101" s="2902">
        <f>$G$3</f>
        <v>2.27</v>
      </c>
      <c r="D101" s="2902">
        <f t="shared" ref="D101:N101" si="31">$G$3</f>
        <v>2.27</v>
      </c>
      <c r="E101" s="2902">
        <f t="shared" si="31"/>
        <v>2.27</v>
      </c>
      <c r="F101" s="2902">
        <f t="shared" si="31"/>
        <v>2.27</v>
      </c>
      <c r="G101" s="2902">
        <f t="shared" si="31"/>
        <v>2.27</v>
      </c>
      <c r="H101" s="2902">
        <f t="shared" si="31"/>
        <v>2.27</v>
      </c>
      <c r="I101" s="2902">
        <f t="shared" si="31"/>
        <v>2.27</v>
      </c>
      <c r="J101" s="2902">
        <f t="shared" si="31"/>
        <v>2.27</v>
      </c>
      <c r="K101" s="2902">
        <f t="shared" si="31"/>
        <v>2.27</v>
      </c>
      <c r="L101" s="2902">
        <f t="shared" si="31"/>
        <v>2.27</v>
      </c>
      <c r="M101" s="2902">
        <f t="shared" si="31"/>
        <v>2.27</v>
      </c>
      <c r="N101" s="2902">
        <f t="shared" si="31"/>
        <v>2.27</v>
      </c>
    </row>
    <row r="102" spans="1:14">
      <c r="A102" s="3263"/>
      <c r="B102" s="2897">
        <v>1</v>
      </c>
      <c r="C102" s="2898">
        <f>1.9362/C101</f>
        <v>0.85295154185022026</v>
      </c>
      <c r="D102" s="2898">
        <f>1.9362/D101</f>
        <v>0.85295154185022026</v>
      </c>
      <c r="E102" s="2898">
        <f>1.8629/E101</f>
        <v>0.82066079295154182</v>
      </c>
      <c r="F102" s="2898">
        <f>1.8629/F101</f>
        <v>0.82066079295154182</v>
      </c>
      <c r="G102" s="2898">
        <f>1.8629/G101</f>
        <v>0.82066079295154182</v>
      </c>
      <c r="H102" s="2898">
        <f>1.8629/H101</f>
        <v>0.82066079295154182</v>
      </c>
      <c r="I102" s="2898">
        <f>1.8629/I101</f>
        <v>0.82066079295154182</v>
      </c>
      <c r="J102" s="2898">
        <f>1.942/J101</f>
        <v>0.85550660792951538</v>
      </c>
      <c r="K102" s="2898">
        <f>1.942/K101</f>
        <v>0.85550660792951538</v>
      </c>
      <c r="L102" s="2898">
        <f>1.942/L101</f>
        <v>0.85550660792951538</v>
      </c>
      <c r="M102" s="2898">
        <f>1.942/M101</f>
        <v>0.85550660792951538</v>
      </c>
      <c r="N102" s="2898">
        <f>1.942/N101</f>
        <v>0.85550660792951538</v>
      </c>
    </row>
    <row r="103" spans="1:14">
      <c r="A103" s="3263"/>
      <c r="B103" s="2897">
        <v>2</v>
      </c>
      <c r="C103" s="2898">
        <f>1.4198/C101</f>
        <v>0.62546255506607928</v>
      </c>
      <c r="D103" s="2898">
        <f>1.4198/D101</f>
        <v>0.62546255506607928</v>
      </c>
      <c r="E103" s="2898">
        <f>1.3372/E101</f>
        <v>0.5890748898678414</v>
      </c>
      <c r="F103" s="2898">
        <f>1.3372/F101</f>
        <v>0.5890748898678414</v>
      </c>
      <c r="G103" s="2898">
        <f>1.3372/G101</f>
        <v>0.5890748898678414</v>
      </c>
      <c r="H103" s="2898">
        <f>1.3372/H101</f>
        <v>0.5890748898678414</v>
      </c>
      <c r="I103" s="2898">
        <f>1.3372/I101</f>
        <v>0.5890748898678414</v>
      </c>
      <c r="J103" s="2898">
        <f>1.2799/J101</f>
        <v>0.56383259911894279</v>
      </c>
      <c r="K103" s="2898">
        <f>1.2799/K101</f>
        <v>0.56383259911894279</v>
      </c>
      <c r="L103" s="2898">
        <f>1.2799/L101</f>
        <v>0.56383259911894279</v>
      </c>
      <c r="M103" s="2898">
        <f>1.2799/M101</f>
        <v>0.56383259911894279</v>
      </c>
      <c r="N103" s="2898">
        <f>1.2799/N101</f>
        <v>0.56383259911894279</v>
      </c>
    </row>
    <row r="104" spans="1:14">
      <c r="A104" s="3263"/>
      <c r="B104" s="2897">
        <v>3</v>
      </c>
      <c r="C104" s="2898">
        <f>1.1594/C101</f>
        <v>0.51074889867841411</v>
      </c>
      <c r="D104" s="2898">
        <f>1.1594/D101</f>
        <v>0.51074889867841411</v>
      </c>
      <c r="E104" s="2898">
        <f>1.0788/E101</f>
        <v>0.47524229074889868</v>
      </c>
      <c r="F104" s="2898">
        <f>1.0788/F101</f>
        <v>0.47524229074889868</v>
      </c>
      <c r="G104" s="2898">
        <f>1.0788/G101</f>
        <v>0.47524229074889868</v>
      </c>
      <c r="H104" s="2898">
        <f>1.0788/H101</f>
        <v>0.47524229074889868</v>
      </c>
      <c r="I104" s="2898">
        <f>1.0788/I101</f>
        <v>0.47524229074889868</v>
      </c>
      <c r="J104" s="2898">
        <f>1.0072/J101</f>
        <v>0.44370044052863439</v>
      </c>
      <c r="K104" s="2898">
        <f>1.0072/K101</f>
        <v>0.44370044052863439</v>
      </c>
      <c r="L104" s="2898">
        <f>1.0072/L101</f>
        <v>0.44370044052863439</v>
      </c>
      <c r="M104" s="2898">
        <f>1.0072/M101</f>
        <v>0.44370044052863439</v>
      </c>
      <c r="N104" s="2898">
        <f>1.0072/N101</f>
        <v>0.44370044052863439</v>
      </c>
    </row>
    <row r="105" spans="1:14">
      <c r="A105" s="3263"/>
      <c r="B105" s="2897">
        <v>4</v>
      </c>
      <c r="C105" s="2898">
        <f>0.9622/C101</f>
        <v>0.42387665198237889</v>
      </c>
      <c r="D105" s="2898">
        <f>0.9622/D101</f>
        <v>0.42387665198237889</v>
      </c>
      <c r="E105" s="2898">
        <f>0.8656/E101</f>
        <v>0.38132158590308374</v>
      </c>
      <c r="F105" s="2898">
        <f>0.8656/F101</f>
        <v>0.38132158590308374</v>
      </c>
      <c r="G105" s="2898">
        <f>0.8656/G101</f>
        <v>0.38132158590308374</v>
      </c>
      <c r="H105" s="2898">
        <f>0.8656/H101</f>
        <v>0.38132158590308374</v>
      </c>
      <c r="I105" s="2898">
        <f>0.8656/I101</f>
        <v>0.38132158590308374</v>
      </c>
      <c r="J105" s="2898">
        <f>0.7525/J101</f>
        <v>0.33149779735682816</v>
      </c>
      <c r="K105" s="2898">
        <f>0.7525/K101</f>
        <v>0.33149779735682816</v>
      </c>
      <c r="L105" s="2898">
        <f>0.7525/L101</f>
        <v>0.33149779735682816</v>
      </c>
      <c r="M105" s="2898">
        <f>0.7525/M101</f>
        <v>0.33149779735682816</v>
      </c>
      <c r="N105" s="2898">
        <f>0.7525/N101</f>
        <v>0.33149779735682816</v>
      </c>
    </row>
    <row r="106" spans="1:14">
      <c r="A106" s="3263"/>
      <c r="B106" s="2897">
        <v>5</v>
      </c>
      <c r="C106" s="2898">
        <f>0.8417/C101</f>
        <v>0.37079295154185021</v>
      </c>
      <c r="D106" s="2898">
        <f>0.8417/D101</f>
        <v>0.37079295154185021</v>
      </c>
      <c r="E106" s="2898">
        <f>0.7371/E101</f>
        <v>0.32471365638766519</v>
      </c>
      <c r="F106" s="2898">
        <f>0.7371/F101</f>
        <v>0.32471365638766519</v>
      </c>
      <c r="G106" s="2898">
        <f>0.7371/G101</f>
        <v>0.32471365638766519</v>
      </c>
      <c r="H106" s="2898">
        <f>0.7371/H101</f>
        <v>0.32471365638766519</v>
      </c>
      <c r="I106" s="2898">
        <f>0.7371/I101</f>
        <v>0.32471365638766519</v>
      </c>
      <c r="J106" s="2898">
        <f>0.5659/J101</f>
        <v>0.24929515418502202</v>
      </c>
      <c r="K106" s="2898">
        <f>0.5659/K101</f>
        <v>0.24929515418502202</v>
      </c>
      <c r="L106" s="2898">
        <f>0.5659/L101</f>
        <v>0.24929515418502202</v>
      </c>
      <c r="M106" s="2898">
        <f>0.5659/M101</f>
        <v>0.24929515418502202</v>
      </c>
      <c r="N106" s="2898">
        <f>0.5659/N101</f>
        <v>0.24929515418502202</v>
      </c>
    </row>
    <row r="107" spans="1:14">
      <c r="A107" s="3263"/>
      <c r="B107" s="2897">
        <v>6</v>
      </c>
      <c r="C107" s="2898">
        <f>0.7608/C101</f>
        <v>0.33515418502202643</v>
      </c>
      <c r="D107" s="2898">
        <f>0.7608/D101</f>
        <v>0.33515418502202643</v>
      </c>
      <c r="E107" s="2898">
        <f>0.6482/E101</f>
        <v>0.28555066079295155</v>
      </c>
      <c r="F107" s="2898">
        <f>0.6482/F101</f>
        <v>0.28555066079295155</v>
      </c>
      <c r="G107" s="2898">
        <f>0.6482/G101</f>
        <v>0.28555066079295155</v>
      </c>
      <c r="H107" s="2898">
        <f>0.6482/H101</f>
        <v>0.28555066079295155</v>
      </c>
      <c r="I107" s="2898">
        <f>0.6482/I101</f>
        <v>0.28555066079295155</v>
      </c>
      <c r="J107" s="2898">
        <f>0.4525/J101</f>
        <v>0.19933920704845814</v>
      </c>
      <c r="K107" s="2898">
        <f>0.4525/K101</f>
        <v>0.19933920704845814</v>
      </c>
      <c r="L107" s="2898">
        <f>0.4525/L101</f>
        <v>0.19933920704845814</v>
      </c>
      <c r="M107" s="2898">
        <f>0.4525/M101</f>
        <v>0.19933920704845814</v>
      </c>
      <c r="N107" s="2898">
        <f>0.4525/N101</f>
        <v>0.19933920704845814</v>
      </c>
    </row>
    <row r="108" spans="1:14">
      <c r="A108" s="3263"/>
      <c r="B108" s="3086" t="s">
        <v>2964</v>
      </c>
      <c r="C108" s="2899">
        <f>C99</f>
        <v>4</v>
      </c>
      <c r="D108" s="2899">
        <f t="shared" ref="D108:N108" si="32">D99</f>
        <v>4</v>
      </c>
      <c r="E108" s="2899">
        <f t="shared" si="32"/>
        <v>4</v>
      </c>
      <c r="F108" s="2899">
        <f t="shared" si="32"/>
        <v>4</v>
      </c>
      <c r="G108" s="2899">
        <f t="shared" si="32"/>
        <v>4</v>
      </c>
      <c r="H108" s="2899">
        <f t="shared" si="32"/>
        <v>4</v>
      </c>
      <c r="I108" s="2899">
        <f t="shared" si="32"/>
        <v>4</v>
      </c>
      <c r="J108" s="2899">
        <f t="shared" si="32"/>
        <v>4</v>
      </c>
      <c r="K108" s="2899">
        <f t="shared" si="32"/>
        <v>4</v>
      </c>
      <c r="L108" s="2899">
        <f t="shared" si="32"/>
        <v>4</v>
      </c>
      <c r="M108" s="2899">
        <f t="shared" si="32"/>
        <v>4</v>
      </c>
      <c r="N108" s="2899">
        <f t="shared" si="32"/>
        <v>4</v>
      </c>
    </row>
    <row r="109" spans="1:14">
      <c r="A109" s="3264"/>
      <c r="B109" s="3087"/>
      <c r="C109" s="2900">
        <f>(-0.163*(C108^2)-0.59*C108+7617)*(10^(-4))/C101</f>
        <v>0.33533180616740094</v>
      </c>
      <c r="D109" s="2900">
        <f>(-0.163*(D108^2)-0.59*D108+7617)*(10^(-4))/D101</f>
        <v>0.33533180616740094</v>
      </c>
      <c r="E109" s="2900">
        <f>(-0.161*(E108^2)-7.509*E108+6533)*(10^(-4))/E101</f>
        <v>0.286360704845815</v>
      </c>
      <c r="F109" s="2900">
        <f>(-0.161*(F108^2)-7.509*F108+6533)*(10^(-4))/F101</f>
        <v>0.286360704845815</v>
      </c>
      <c r="G109" s="2900">
        <f>(-0.161*(G108^2)-7.509*G108+6533)*(10^(-4))/G101</f>
        <v>0.286360704845815</v>
      </c>
      <c r="H109" s="2900">
        <f>(-0.161*(H108^2)-7.509*H108+6533)*(10^(-4))/H101</f>
        <v>0.286360704845815</v>
      </c>
      <c r="I109" s="2900">
        <f>(-0.161*(I108^2)-7.509*I108+6533)*(10^(-4))/I101</f>
        <v>0.286360704845815</v>
      </c>
      <c r="J109" s="2900">
        <f>(-0.214*(J108^2)-21.991*J108+4665)*(10^(-4))/J101</f>
        <v>0.20148070484581498</v>
      </c>
      <c r="K109" s="2900">
        <f>(-0.214*(K108^2)-21.991*K108+4665)*(10^(-4))/K101</f>
        <v>0.20148070484581498</v>
      </c>
      <c r="L109" s="2900">
        <f>(-0.214*(L108^2)-21.991*L108+4665)*(10^(-4))/L101</f>
        <v>0.20148070484581498</v>
      </c>
      <c r="M109" s="2900">
        <f>(-0.214*(M108^2)-21.991*M108+4665)*(10^(-4))/M101</f>
        <v>0.20148070484581498</v>
      </c>
      <c r="N109" s="2900">
        <f>(-0.214*(N108^2)-21.991*N108+4665)*(10^(-4))/N101</f>
        <v>0.20148070484581498</v>
      </c>
    </row>
    <row r="110" spans="1:14">
      <c r="A110" s="3260" t="s">
        <v>2965</v>
      </c>
      <c r="B110" s="3260"/>
      <c r="C110" s="3260"/>
      <c r="D110" s="3260"/>
      <c r="E110" s="3260"/>
      <c r="F110" s="3260"/>
      <c r="G110" s="3260"/>
      <c r="H110" s="3260"/>
      <c r="I110" s="3260"/>
      <c r="J110" s="3260"/>
      <c r="K110" s="2903"/>
      <c r="L110" s="2903"/>
      <c r="M110" s="2903"/>
      <c r="N110" s="2903"/>
    </row>
    <row r="112" spans="1:14" ht="13.5" thickBot="1"/>
    <row r="113" spans="1:13" ht="25.5" thickBot="1">
      <c r="A113" s="903" t="s">
        <v>2966</v>
      </c>
      <c r="B113" s="1290">
        <f>G3</f>
        <v>2.27</v>
      </c>
      <c r="C113" s="904" t="s">
        <v>2967</v>
      </c>
      <c r="D113" s="905">
        <f>SUMPRODUCT((A115:A118=F113)*(B114:M114=H113)*B115:M118)</f>
        <v>0.65380000000000005</v>
      </c>
      <c r="E113" s="2726" t="s">
        <v>2799</v>
      </c>
      <c r="F113" s="2905" t="str">
        <f>E2</f>
        <v>商业</v>
      </c>
      <c r="G113" s="2726" t="s">
        <v>2800</v>
      </c>
      <c r="H113" s="2905" t="str">
        <f>G2</f>
        <v>八级</v>
      </c>
      <c r="I113" s="2726"/>
      <c r="J113" s="2906"/>
      <c r="K113" s="2906"/>
      <c r="L113" s="2906"/>
      <c r="M113" s="2906"/>
    </row>
    <row r="114" spans="1:13">
      <c r="A114" s="908"/>
      <c r="B114" s="2907" t="s">
        <v>2968</v>
      </c>
      <c r="C114" s="2907" t="s">
        <v>2969</v>
      </c>
      <c r="D114" s="2907" t="s">
        <v>2970</v>
      </c>
      <c r="E114" s="2908" t="s">
        <v>2971</v>
      </c>
      <c r="F114" s="2908" t="s">
        <v>2972</v>
      </c>
      <c r="G114" s="2908" t="s">
        <v>2973</v>
      </c>
      <c r="H114" s="2909" t="s">
        <v>2974</v>
      </c>
      <c r="I114" s="2909" t="s">
        <v>2975</v>
      </c>
      <c r="J114" s="2910" t="s">
        <v>2976</v>
      </c>
      <c r="K114" s="2910" t="s">
        <v>2977</v>
      </c>
      <c r="L114" s="2910" t="s">
        <v>2978</v>
      </c>
      <c r="M114" s="2911" t="s">
        <v>2979</v>
      </c>
    </row>
    <row r="115" spans="1:13">
      <c r="A115" s="909" t="s">
        <v>2864</v>
      </c>
      <c r="B115" s="910">
        <f>ROUND(0.9335-0.0094*B113,4)</f>
        <v>0.91220000000000001</v>
      </c>
      <c r="C115" s="910">
        <f>B115</f>
        <v>0.91220000000000001</v>
      </c>
      <c r="D115" s="910">
        <f>ROUND(0.8331-0.0109*B113,4)</f>
        <v>0.80840000000000001</v>
      </c>
      <c r="E115" s="910">
        <f>D115</f>
        <v>0.80840000000000001</v>
      </c>
      <c r="F115" s="910">
        <f>E115</f>
        <v>0.80840000000000001</v>
      </c>
      <c r="G115" s="910">
        <f>F115</f>
        <v>0.80840000000000001</v>
      </c>
      <c r="H115" s="910">
        <f>G115</f>
        <v>0.80840000000000001</v>
      </c>
      <c r="I115" s="910">
        <f>ROUND(0.689-0.0155*B113,4)</f>
        <v>0.65380000000000005</v>
      </c>
      <c r="J115" s="910">
        <f t="shared" ref="J115:M118" si="33">I115</f>
        <v>0.65380000000000005</v>
      </c>
      <c r="K115" s="910">
        <f t="shared" si="33"/>
        <v>0.65380000000000005</v>
      </c>
      <c r="L115" s="910">
        <f t="shared" si="33"/>
        <v>0.65380000000000005</v>
      </c>
      <c r="M115" s="911">
        <f t="shared" si="33"/>
        <v>0.65380000000000005</v>
      </c>
    </row>
    <row r="116" spans="1:13">
      <c r="A116" s="909" t="s">
        <v>2865</v>
      </c>
      <c r="B116" s="910">
        <f>ROUND(0.949-0.012*B113,4)</f>
        <v>0.92179999999999995</v>
      </c>
      <c r="C116" s="910">
        <f>B116</f>
        <v>0.92179999999999995</v>
      </c>
      <c r="D116" s="910">
        <f>ROUND(0.8567-0.013*B113,4)</f>
        <v>0.82720000000000005</v>
      </c>
      <c r="E116" s="910">
        <f t="shared" ref="E116:H117" si="34">D116</f>
        <v>0.82720000000000005</v>
      </c>
      <c r="F116" s="910">
        <f t="shared" si="34"/>
        <v>0.82720000000000005</v>
      </c>
      <c r="G116" s="910">
        <f t="shared" si="34"/>
        <v>0.82720000000000005</v>
      </c>
      <c r="H116" s="910">
        <f t="shared" si="34"/>
        <v>0.82720000000000005</v>
      </c>
      <c r="I116" s="910">
        <f>ROUND(0.7694-0.014*B113,4)</f>
        <v>0.73760000000000003</v>
      </c>
      <c r="J116" s="910">
        <f t="shared" si="33"/>
        <v>0.73760000000000003</v>
      </c>
      <c r="K116" s="910">
        <f t="shared" si="33"/>
        <v>0.73760000000000003</v>
      </c>
      <c r="L116" s="910">
        <f t="shared" si="33"/>
        <v>0.73760000000000003</v>
      </c>
      <c r="M116" s="911">
        <f t="shared" si="33"/>
        <v>0.73760000000000003</v>
      </c>
    </row>
    <row r="117" spans="1:13">
      <c r="A117" s="909" t="s">
        <v>2866</v>
      </c>
      <c r="B117" s="910">
        <f>ROUND(0.8808-0.006*B113,4)</f>
        <v>0.86719999999999997</v>
      </c>
      <c r="C117" s="910">
        <f>B117</f>
        <v>0.86719999999999997</v>
      </c>
      <c r="D117" s="910">
        <f>ROUND(0.8748-0.008*B113,4)</f>
        <v>0.85660000000000003</v>
      </c>
      <c r="E117" s="910">
        <f t="shared" si="34"/>
        <v>0.85660000000000003</v>
      </c>
      <c r="F117" s="910">
        <f t="shared" si="34"/>
        <v>0.85660000000000003</v>
      </c>
      <c r="G117" s="910">
        <f t="shared" si="34"/>
        <v>0.85660000000000003</v>
      </c>
      <c r="H117" s="910">
        <f t="shared" si="34"/>
        <v>0.85660000000000003</v>
      </c>
      <c r="I117" s="910">
        <f>ROUND(0.7412-0.0095*B113,4)</f>
        <v>0.71960000000000002</v>
      </c>
      <c r="J117" s="910">
        <f t="shared" si="33"/>
        <v>0.71960000000000002</v>
      </c>
      <c r="K117" s="910">
        <f t="shared" si="33"/>
        <v>0.71960000000000002</v>
      </c>
      <c r="L117" s="910">
        <f t="shared" si="33"/>
        <v>0.71960000000000002</v>
      </c>
      <c r="M117" s="911">
        <f t="shared" si="33"/>
        <v>0.71960000000000002</v>
      </c>
    </row>
    <row r="118" spans="1:13" ht="13.5" thickBot="1">
      <c r="A118" s="714" t="s">
        <v>2867</v>
      </c>
      <c r="B118" s="912">
        <f>ROUND(0.7275-0.01*B113,4)</f>
        <v>0.70479999999999998</v>
      </c>
      <c r="C118" s="912">
        <f>B118</f>
        <v>0.70479999999999998</v>
      </c>
      <c r="D118" s="912">
        <f>ROUND(0.7043-0.012*B113,4)</f>
        <v>0.67710000000000004</v>
      </c>
      <c r="E118" s="912">
        <f>D118</f>
        <v>0.67710000000000004</v>
      </c>
      <c r="F118" s="912">
        <f>E118</f>
        <v>0.67710000000000004</v>
      </c>
      <c r="G118" s="912">
        <f>ROUND(0.6299-0.0122*B113,4)</f>
        <v>0.60219999999999996</v>
      </c>
      <c r="H118" s="912">
        <f>G118</f>
        <v>0.60219999999999996</v>
      </c>
      <c r="I118" s="912">
        <f>ROUND(0.5667-0.0136*B113,4)</f>
        <v>0.53580000000000005</v>
      </c>
      <c r="J118" s="912">
        <f t="shared" si="33"/>
        <v>0.53580000000000005</v>
      </c>
      <c r="K118" s="912">
        <f t="shared" si="33"/>
        <v>0.53580000000000005</v>
      </c>
      <c r="L118" s="912">
        <f t="shared" si="33"/>
        <v>0.53580000000000005</v>
      </c>
      <c r="M118" s="913">
        <f t="shared" si="33"/>
        <v>0.53580000000000005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7" t="s">
        <v>183</v>
      </c>
      <c r="B18" s="882" t="s">
        <v>560</v>
      </c>
      <c r="C18" s="883" t="s">
        <v>561</v>
      </c>
      <c r="D18" s="884"/>
      <c r="E18" s="882">
        <v>1</v>
      </c>
      <c r="F18" s="885" t="s">
        <v>562</v>
      </c>
      <c r="G18" s="886"/>
      <c r="H18" s="878"/>
      <c r="I18" s="878"/>
    </row>
    <row r="19" spans="1:9" s="887" customFormat="1" ht="19.5" customHeight="1">
      <c r="A19" s="3277"/>
      <c r="B19" s="3277" t="s">
        <v>563</v>
      </c>
      <c r="C19" s="883" t="s">
        <v>564</v>
      </c>
      <c r="D19" s="884"/>
      <c r="E19" s="882">
        <v>0.9</v>
      </c>
      <c r="F19" s="885" t="s">
        <v>565</v>
      </c>
      <c r="G19" s="886"/>
      <c r="H19" s="878"/>
      <c r="I19" s="878"/>
    </row>
    <row r="20" spans="1:9" s="887" customFormat="1" ht="19.5" customHeight="1">
      <c r="A20" s="3277"/>
      <c r="B20" s="3277"/>
      <c r="C20" s="883" t="s">
        <v>566</v>
      </c>
      <c r="D20" s="884"/>
      <c r="E20" s="882">
        <v>1.1000000000000001</v>
      </c>
      <c r="F20" s="885" t="s">
        <v>567</v>
      </c>
      <c r="G20" s="886"/>
      <c r="H20" s="878"/>
      <c r="I20" s="878"/>
    </row>
    <row r="21" spans="1:9" s="887" customFormat="1" ht="19.5" customHeight="1">
      <c r="A21" s="3277"/>
      <c r="B21" s="3277"/>
      <c r="C21" s="883" t="s">
        <v>568</v>
      </c>
      <c r="D21" s="884"/>
      <c r="E21" s="882">
        <v>0.8</v>
      </c>
      <c r="F21" s="885" t="s">
        <v>569</v>
      </c>
      <c r="G21" s="886"/>
      <c r="H21" s="878"/>
      <c r="I21" s="878"/>
    </row>
    <row r="22" spans="1:9" s="887" customFormat="1" ht="19.5" customHeight="1">
      <c r="A22" s="3277"/>
      <c r="B22" s="3277"/>
      <c r="C22" s="883" t="s">
        <v>570</v>
      </c>
      <c r="D22" s="884"/>
      <c r="E22" s="882">
        <v>0.5</v>
      </c>
      <c r="F22" s="885"/>
      <c r="G22" s="886"/>
      <c r="H22" s="878"/>
      <c r="I22" s="878"/>
    </row>
    <row r="23" spans="1:9" s="887" customFormat="1" ht="19.5" customHeight="1">
      <c r="A23" s="3277" t="s">
        <v>184</v>
      </c>
      <c r="B23" s="882" t="s">
        <v>560</v>
      </c>
      <c r="C23" s="883" t="s">
        <v>571</v>
      </c>
      <c r="D23" s="884"/>
      <c r="E23" s="882">
        <v>1</v>
      </c>
      <c r="F23" s="885" t="s">
        <v>572</v>
      </c>
      <c r="G23" s="886"/>
      <c r="H23" s="878"/>
      <c r="I23" s="878"/>
    </row>
    <row r="24" spans="1:9" s="887" customFormat="1" ht="19.5" customHeight="1">
      <c r="A24" s="3277"/>
      <c r="B24" s="3277" t="s">
        <v>563</v>
      </c>
      <c r="C24" s="883" t="s">
        <v>573</v>
      </c>
      <c r="D24" s="884"/>
      <c r="E24" s="882">
        <v>0.5</v>
      </c>
      <c r="F24" s="885"/>
      <c r="G24" s="886"/>
      <c r="H24" s="878"/>
      <c r="I24" s="878"/>
    </row>
    <row r="25" spans="1:9" s="887" customFormat="1" ht="19.5" customHeight="1">
      <c r="A25" s="3277"/>
      <c r="B25" s="3277"/>
      <c r="C25" s="883" t="s">
        <v>574</v>
      </c>
      <c r="D25" s="884"/>
      <c r="E25" s="882">
        <v>1.1000000000000001</v>
      </c>
      <c r="F25" s="885"/>
      <c r="G25" s="886"/>
      <c r="H25" s="878"/>
      <c r="I25" s="878"/>
    </row>
    <row r="26" spans="1:9" s="887" customFormat="1" ht="19.5" customHeight="1">
      <c r="A26" s="3277"/>
      <c r="B26" s="3277"/>
      <c r="C26" s="883" t="s">
        <v>575</v>
      </c>
      <c r="D26" s="884"/>
      <c r="E26" s="882">
        <v>1.1000000000000001</v>
      </c>
      <c r="F26" s="885"/>
      <c r="G26" s="886"/>
      <c r="H26" s="878"/>
      <c r="I26" s="878"/>
    </row>
    <row r="27" spans="1:9" s="887" customFormat="1" ht="19.5" customHeight="1">
      <c r="A27" s="3277"/>
      <c r="B27" s="3277"/>
      <c r="C27" s="883" t="s">
        <v>576</v>
      </c>
      <c r="D27" s="884"/>
      <c r="E27" s="882">
        <v>0.9</v>
      </c>
      <c r="F27" s="885" t="s">
        <v>577</v>
      </c>
      <c r="G27" s="886"/>
      <c r="H27" s="878"/>
      <c r="I27" s="878"/>
    </row>
    <row r="28" spans="1:9" s="887" customFormat="1" ht="19.5" customHeight="1">
      <c r="A28" s="3277"/>
      <c r="B28" s="3277"/>
      <c r="C28" s="883" t="s">
        <v>578</v>
      </c>
      <c r="D28" s="884"/>
      <c r="E28" s="882">
        <v>0.9</v>
      </c>
      <c r="F28" s="885" t="s">
        <v>579</v>
      </c>
      <c r="G28" s="886"/>
      <c r="H28" s="878"/>
      <c r="I28" s="878"/>
    </row>
    <row r="29" spans="1:9" s="887" customFormat="1" ht="19.5" customHeight="1">
      <c r="A29" s="3277"/>
      <c r="B29" s="3277"/>
      <c r="C29" s="883" t="s">
        <v>580</v>
      </c>
      <c r="D29" s="884"/>
      <c r="E29" s="882">
        <v>0.9</v>
      </c>
      <c r="F29" s="885" t="s">
        <v>581</v>
      </c>
      <c r="G29" s="886"/>
      <c r="H29" s="878"/>
      <c r="I29" s="878"/>
    </row>
    <row r="30" spans="1:9" s="887" customFormat="1" ht="19.5" customHeight="1">
      <c r="A30" s="3277"/>
      <c r="B30" s="3277"/>
      <c r="C30" s="883" t="s">
        <v>582</v>
      </c>
      <c r="D30" s="884"/>
      <c r="E30" s="882">
        <v>0.9</v>
      </c>
      <c r="F30" s="885" t="s">
        <v>583</v>
      </c>
      <c r="G30" s="886"/>
      <c r="H30" s="878"/>
      <c r="I30" s="878"/>
    </row>
    <row r="31" spans="1:9" s="887" customFormat="1" ht="19.5" customHeight="1">
      <c r="A31" s="3277"/>
      <c r="B31" s="3277"/>
      <c r="C31" s="883" t="s">
        <v>584</v>
      </c>
      <c r="D31" s="884"/>
      <c r="E31" s="882">
        <v>0.8</v>
      </c>
      <c r="F31" s="885" t="s">
        <v>585</v>
      </c>
      <c r="G31" s="886"/>
      <c r="H31" s="878"/>
      <c r="I31" s="878"/>
    </row>
    <row r="32" spans="1:9" s="887" customFormat="1" ht="19.5" customHeight="1">
      <c r="A32" s="3277"/>
      <c r="B32" s="3277"/>
      <c r="C32" s="883" t="s">
        <v>586</v>
      </c>
      <c r="D32" s="884"/>
      <c r="E32" s="882">
        <v>0.8</v>
      </c>
      <c r="F32" s="885" t="s">
        <v>587</v>
      </c>
      <c r="G32" s="886"/>
      <c r="H32" s="878"/>
      <c r="I32" s="878"/>
    </row>
    <row r="33" spans="1:9" s="887" customFormat="1" ht="19.5" customHeight="1">
      <c r="A33" s="3277" t="s">
        <v>185</v>
      </c>
      <c r="B33" s="882" t="s">
        <v>560</v>
      </c>
      <c r="C33" s="883" t="s">
        <v>588</v>
      </c>
      <c r="D33" s="884"/>
      <c r="E33" s="882">
        <v>1</v>
      </c>
      <c r="F33" s="885" t="s">
        <v>589</v>
      </c>
      <c r="G33" s="886"/>
      <c r="H33" s="878"/>
      <c r="I33" s="878"/>
    </row>
    <row r="34" spans="1:9" s="887" customFormat="1" ht="19.5" customHeight="1">
      <c r="A34" s="3277"/>
      <c r="B34" s="882" t="s">
        <v>563</v>
      </c>
      <c r="C34" s="883" t="s">
        <v>590</v>
      </c>
      <c r="D34" s="884"/>
      <c r="E34" s="882">
        <v>1.5</v>
      </c>
      <c r="F34" s="885" t="s">
        <v>591</v>
      </c>
      <c r="G34" s="886"/>
      <c r="H34" s="878"/>
      <c r="I34" s="878"/>
    </row>
    <row r="35" spans="1:9" s="887" customFormat="1" ht="19.5" customHeight="1">
      <c r="A35" s="3277" t="s">
        <v>186</v>
      </c>
      <c r="B35" s="882" t="s">
        <v>560</v>
      </c>
      <c r="C35" s="883" t="s">
        <v>592</v>
      </c>
      <c r="D35" s="884"/>
      <c r="E35" s="882">
        <v>1</v>
      </c>
      <c r="F35" s="885" t="s">
        <v>593</v>
      </c>
      <c r="G35" s="886"/>
      <c r="H35" s="878"/>
      <c r="I35" s="878"/>
    </row>
    <row r="36" spans="1:9" s="887" customFormat="1" ht="19.5" customHeight="1">
      <c r="A36" s="3277"/>
      <c r="B36" s="3277" t="s">
        <v>563</v>
      </c>
      <c r="C36" s="883" t="s">
        <v>594</v>
      </c>
      <c r="D36" s="884"/>
      <c r="E36" s="882">
        <v>1</v>
      </c>
      <c r="F36" s="885" t="s">
        <v>595</v>
      </c>
      <c r="G36" s="886"/>
      <c r="H36" s="878"/>
      <c r="I36" s="878"/>
    </row>
    <row r="37" spans="1:9" s="887" customFormat="1" ht="19.5" customHeight="1">
      <c r="A37" s="3277"/>
      <c r="B37" s="3277"/>
      <c r="C37" s="883" t="s">
        <v>596</v>
      </c>
      <c r="D37" s="884"/>
      <c r="E37" s="882">
        <v>1.5</v>
      </c>
      <c r="F37" s="885" t="s">
        <v>597</v>
      </c>
      <c r="G37" s="886"/>
      <c r="H37" s="878"/>
      <c r="I37" s="878"/>
    </row>
    <row r="38" spans="1:9" s="887" customFormat="1" ht="19.5" customHeight="1">
      <c r="A38" s="3277"/>
      <c r="B38" s="3277"/>
      <c r="C38" s="883" t="s">
        <v>598</v>
      </c>
      <c r="D38" s="884"/>
      <c r="E38" s="882">
        <v>1</v>
      </c>
      <c r="F38" s="885" t="s">
        <v>599</v>
      </c>
      <c r="G38" s="886"/>
      <c r="H38" s="878"/>
      <c r="I38" s="878"/>
    </row>
    <row r="39" spans="1:9" s="887" customFormat="1" ht="19.5" customHeight="1">
      <c r="A39" s="3277"/>
      <c r="B39" s="327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7" t="s">
        <v>614</v>
      </c>
      <c r="C61" s="818" t="s">
        <v>615</v>
      </c>
      <c r="D61" s="818" t="s">
        <v>616</v>
      </c>
      <c r="E61" s="895">
        <v>0.5</v>
      </c>
      <c r="F61" s="882">
        <v>80</v>
      </c>
    </row>
    <row r="62" spans="1:8" s="878" customFormat="1" ht="24">
      <c r="A62" s="882">
        <v>2</v>
      </c>
      <c r="B62" s="3277"/>
      <c r="C62" s="818" t="s">
        <v>617</v>
      </c>
      <c r="D62" s="818" t="s">
        <v>618</v>
      </c>
      <c r="E62" s="895">
        <v>0.5</v>
      </c>
      <c r="F62" s="882">
        <v>80</v>
      </c>
    </row>
    <row r="63" spans="1:8" s="878" customFormat="1" ht="36">
      <c r="A63" s="882">
        <v>3</v>
      </c>
      <c r="B63" s="3277"/>
      <c r="C63" s="818" t="s">
        <v>619</v>
      </c>
      <c r="D63" s="818" t="s">
        <v>620</v>
      </c>
      <c r="E63" s="895">
        <v>0.5</v>
      </c>
      <c r="F63" s="882">
        <v>80</v>
      </c>
    </row>
    <row r="64" spans="1:8" s="878" customFormat="1" ht="36">
      <c r="A64" s="882">
        <v>4</v>
      </c>
      <c r="B64" s="3277"/>
      <c r="C64" s="818" t="s">
        <v>621</v>
      </c>
      <c r="D64" s="818" t="s">
        <v>622</v>
      </c>
      <c r="E64" s="895">
        <v>0.4</v>
      </c>
      <c r="F64" s="882">
        <v>60</v>
      </c>
    </row>
    <row r="65" spans="1:6" s="878" customFormat="1" ht="36">
      <c r="A65" s="882">
        <v>5</v>
      </c>
      <c r="B65" s="3277"/>
      <c r="C65" s="818" t="s">
        <v>623</v>
      </c>
      <c r="D65" s="818" t="s">
        <v>624</v>
      </c>
      <c r="E65" s="895">
        <v>0.2</v>
      </c>
      <c r="F65" s="882">
        <v>30</v>
      </c>
    </row>
    <row r="66" spans="1:6" s="878" customFormat="1" ht="36">
      <c r="A66" s="882">
        <v>6</v>
      </c>
      <c r="B66" s="3277"/>
      <c r="C66" s="818" t="s">
        <v>625</v>
      </c>
      <c r="D66" s="818" t="s">
        <v>626</v>
      </c>
      <c r="E66" s="895">
        <v>0.3</v>
      </c>
      <c r="F66" s="882">
        <v>50</v>
      </c>
    </row>
    <row r="67" spans="1:6" s="878" customFormat="1" ht="36">
      <c r="A67" s="882">
        <v>7</v>
      </c>
      <c r="B67" s="3277"/>
      <c r="C67" s="818" t="s">
        <v>627</v>
      </c>
      <c r="D67" s="818" t="s">
        <v>628</v>
      </c>
      <c r="E67" s="895">
        <v>0.2</v>
      </c>
      <c r="F67" s="882">
        <v>30</v>
      </c>
    </row>
    <row r="68" spans="1:6" s="878" customFormat="1" ht="36">
      <c r="A68" s="882">
        <v>8</v>
      </c>
      <c r="B68" s="3277"/>
      <c r="C68" s="818" t="s">
        <v>629</v>
      </c>
      <c r="D68" s="818" t="s">
        <v>630</v>
      </c>
      <c r="E68" s="895">
        <v>0.2</v>
      </c>
      <c r="F68" s="882">
        <v>30</v>
      </c>
    </row>
    <row r="69" spans="1:6" s="878" customFormat="1" ht="36">
      <c r="A69" s="882">
        <v>9</v>
      </c>
      <c r="B69" s="3277"/>
      <c r="C69" s="818" t="s">
        <v>631</v>
      </c>
      <c r="D69" s="818" t="s">
        <v>632</v>
      </c>
      <c r="E69" s="895">
        <v>0.2</v>
      </c>
      <c r="F69" s="882">
        <v>30</v>
      </c>
    </row>
    <row r="70" spans="1:6" s="878" customFormat="1" ht="48">
      <c r="A70" s="882">
        <v>10</v>
      </c>
      <c r="B70" s="3277"/>
      <c r="C70" s="818" t="s">
        <v>633</v>
      </c>
      <c r="D70" s="818" t="s">
        <v>634</v>
      </c>
      <c r="E70" s="895">
        <v>0.2</v>
      </c>
      <c r="F70" s="882">
        <v>30</v>
      </c>
    </row>
    <row r="71" spans="1:6" s="878" customFormat="1" ht="48">
      <c r="A71" s="882">
        <v>11</v>
      </c>
      <c r="B71" s="3277"/>
      <c r="C71" s="818" t="s">
        <v>635</v>
      </c>
      <c r="D71" s="818" t="s">
        <v>636</v>
      </c>
      <c r="E71" s="895">
        <v>0.2</v>
      </c>
      <c r="F71" s="882">
        <v>30</v>
      </c>
    </row>
    <row r="72" spans="1:6" s="878" customFormat="1" ht="36">
      <c r="A72" s="882">
        <v>12</v>
      </c>
      <c r="B72" s="3277"/>
      <c r="C72" s="818" t="s">
        <v>637</v>
      </c>
      <c r="D72" s="818" t="s">
        <v>638</v>
      </c>
      <c r="E72" s="895">
        <v>0.5</v>
      </c>
      <c r="F72" s="882">
        <v>80</v>
      </c>
    </row>
    <row r="73" spans="1:6" s="878" customFormat="1" ht="24">
      <c r="A73" s="882">
        <v>13</v>
      </c>
      <c r="B73" s="3277"/>
      <c r="C73" s="818" t="s">
        <v>639</v>
      </c>
      <c r="D73" s="818" t="s">
        <v>640</v>
      </c>
      <c r="E73" s="895">
        <v>0.4</v>
      </c>
      <c r="F73" s="882">
        <v>60</v>
      </c>
    </row>
    <row r="74" spans="1:6" s="878" customFormat="1" ht="24">
      <c r="A74" s="882">
        <v>14</v>
      </c>
      <c r="B74" s="3277"/>
      <c r="C74" s="818" t="s">
        <v>641</v>
      </c>
      <c r="D74" s="818" t="s">
        <v>642</v>
      </c>
      <c r="E74" s="895">
        <v>0.2</v>
      </c>
      <c r="F74" s="882">
        <v>30</v>
      </c>
    </row>
    <row r="75" spans="1:6" s="878" customFormat="1" ht="24">
      <c r="A75" s="882">
        <v>15</v>
      </c>
      <c r="B75" s="3277"/>
      <c r="C75" s="818" t="s">
        <v>643</v>
      </c>
      <c r="D75" s="818" t="s">
        <v>644</v>
      </c>
      <c r="E75" s="895">
        <v>0.2</v>
      </c>
      <c r="F75" s="882">
        <v>30</v>
      </c>
    </row>
    <row r="76" spans="1:6" s="878" customFormat="1" ht="24">
      <c r="A76" s="882">
        <v>16</v>
      </c>
      <c r="B76" s="3277" t="s">
        <v>645</v>
      </c>
      <c r="C76" s="818" t="s">
        <v>646</v>
      </c>
      <c r="D76" s="818" t="s">
        <v>647</v>
      </c>
      <c r="E76" s="895">
        <v>0.5</v>
      </c>
      <c r="F76" s="882">
        <v>80</v>
      </c>
    </row>
    <row r="77" spans="1:6" s="878" customFormat="1" ht="24">
      <c r="A77" s="882">
        <v>17</v>
      </c>
      <c r="B77" s="3277"/>
      <c r="C77" s="818" t="s">
        <v>648</v>
      </c>
      <c r="D77" s="818" t="s">
        <v>649</v>
      </c>
      <c r="E77" s="895">
        <v>0.5</v>
      </c>
      <c r="F77" s="882">
        <v>80</v>
      </c>
    </row>
    <row r="78" spans="1:6" s="878" customFormat="1" ht="24">
      <c r="A78" s="882">
        <v>18</v>
      </c>
      <c r="B78" s="3277"/>
      <c r="C78" s="818" t="s">
        <v>650</v>
      </c>
      <c r="D78" s="818" t="s">
        <v>651</v>
      </c>
      <c r="E78" s="895">
        <v>0.2</v>
      </c>
      <c r="F78" s="882">
        <v>30</v>
      </c>
    </row>
    <row r="79" spans="1:6" s="878" customFormat="1" ht="24">
      <c r="A79" s="882">
        <v>19</v>
      </c>
      <c r="B79" s="3277"/>
      <c r="C79" s="818" t="s">
        <v>652</v>
      </c>
      <c r="D79" s="818" t="s">
        <v>653</v>
      </c>
      <c r="E79" s="895">
        <v>0.5</v>
      </c>
      <c r="F79" s="882">
        <v>80</v>
      </c>
    </row>
    <row r="80" spans="1:6" s="878" customFormat="1" ht="36">
      <c r="A80" s="882">
        <v>20</v>
      </c>
      <c r="B80" s="3277"/>
      <c r="C80" s="818" t="s">
        <v>654</v>
      </c>
      <c r="D80" s="818" t="s">
        <v>655</v>
      </c>
      <c r="E80" s="895">
        <v>0.2</v>
      </c>
      <c r="F80" s="882">
        <v>30</v>
      </c>
    </row>
    <row r="81" spans="1:6" s="878" customFormat="1" ht="36">
      <c r="A81" s="882">
        <v>21</v>
      </c>
      <c r="B81" s="3277"/>
      <c r="C81" s="818" t="s">
        <v>656</v>
      </c>
      <c r="D81" s="818" t="s">
        <v>657</v>
      </c>
      <c r="E81" s="895">
        <v>0.2</v>
      </c>
      <c r="F81" s="882">
        <v>30</v>
      </c>
    </row>
    <row r="82" spans="1:6" s="878" customFormat="1" ht="48">
      <c r="A82" s="882">
        <v>22</v>
      </c>
      <c r="B82" s="3277"/>
      <c r="C82" s="818" t="s">
        <v>658</v>
      </c>
      <c r="D82" s="818" t="s">
        <v>659</v>
      </c>
      <c r="E82" s="895">
        <v>0.2</v>
      </c>
      <c r="F82" s="882">
        <v>30</v>
      </c>
    </row>
    <row r="83" spans="1:6" s="878" customFormat="1" ht="48">
      <c r="A83" s="882">
        <v>23</v>
      </c>
      <c r="B83" s="3277"/>
      <c r="C83" s="818" t="s">
        <v>660</v>
      </c>
      <c r="D83" s="818" t="s">
        <v>661</v>
      </c>
      <c r="E83" s="895">
        <v>0.2</v>
      </c>
      <c r="F83" s="882">
        <v>30</v>
      </c>
    </row>
    <row r="84" spans="1:6" s="878" customFormat="1" ht="36">
      <c r="A84" s="882">
        <v>24</v>
      </c>
      <c r="B84" s="3277"/>
      <c r="C84" s="818" t="s">
        <v>662</v>
      </c>
      <c r="D84" s="818" t="s">
        <v>663</v>
      </c>
      <c r="E84" s="895">
        <v>0.2</v>
      </c>
      <c r="F84" s="882">
        <v>30</v>
      </c>
    </row>
    <row r="85" spans="1:6" s="878" customFormat="1" ht="36">
      <c r="A85" s="882">
        <v>25</v>
      </c>
      <c r="B85" s="3277"/>
      <c r="C85" s="818" t="s">
        <v>664</v>
      </c>
      <c r="D85" s="818" t="s">
        <v>665</v>
      </c>
      <c r="E85" s="895">
        <v>0.5</v>
      </c>
      <c r="F85" s="882">
        <v>80</v>
      </c>
    </row>
    <row r="86" spans="1:6" s="878" customFormat="1" ht="36">
      <c r="A86" s="882">
        <v>26</v>
      </c>
      <c r="B86" s="3277"/>
      <c r="C86" s="818" t="s">
        <v>666</v>
      </c>
      <c r="D86" s="818" t="s">
        <v>667</v>
      </c>
      <c r="E86" s="895">
        <v>0.2</v>
      </c>
      <c r="F86" s="882">
        <v>30</v>
      </c>
    </row>
    <row r="87" spans="1:6" s="878" customFormat="1" ht="36">
      <c r="A87" s="882">
        <v>27</v>
      </c>
      <c r="B87" s="3277"/>
      <c r="C87" s="818" t="s">
        <v>668</v>
      </c>
      <c r="D87" s="818" t="s">
        <v>669</v>
      </c>
      <c r="E87" s="895">
        <v>0.2</v>
      </c>
      <c r="F87" s="882">
        <v>30</v>
      </c>
    </row>
    <row r="88" spans="1:6" s="878" customFormat="1" ht="36">
      <c r="A88" s="882">
        <v>28</v>
      </c>
      <c r="B88" s="3277"/>
      <c r="C88" s="818" t="s">
        <v>670</v>
      </c>
      <c r="D88" s="818" t="s">
        <v>671</v>
      </c>
      <c r="E88" s="895">
        <v>0.2</v>
      </c>
      <c r="F88" s="882">
        <v>30</v>
      </c>
    </row>
    <row r="89" spans="1:6" s="878" customFormat="1" ht="24">
      <c r="A89" s="882">
        <v>29</v>
      </c>
      <c r="B89" s="3277"/>
      <c r="C89" s="818" t="s">
        <v>672</v>
      </c>
      <c r="D89" s="818" t="s">
        <v>673</v>
      </c>
      <c r="E89" s="895">
        <v>0.2</v>
      </c>
      <c r="F89" s="882">
        <v>30</v>
      </c>
    </row>
    <row r="90" spans="1:6" s="878" customFormat="1" ht="24">
      <c r="A90" s="882">
        <v>30</v>
      </c>
      <c r="B90" s="3277"/>
      <c r="C90" s="818" t="s">
        <v>674</v>
      </c>
      <c r="D90" s="818" t="s">
        <v>675</v>
      </c>
      <c r="E90" s="895">
        <v>0.2</v>
      </c>
      <c r="F90" s="882">
        <v>30</v>
      </c>
    </row>
    <row r="91" spans="1:6" s="878" customFormat="1" ht="36">
      <c r="A91" s="882">
        <v>31</v>
      </c>
      <c r="B91" s="3277"/>
      <c r="C91" s="818" t="s">
        <v>676</v>
      </c>
      <c r="D91" s="818" t="s">
        <v>677</v>
      </c>
      <c r="E91" s="895">
        <v>0.2</v>
      </c>
      <c r="F91" s="882">
        <v>30</v>
      </c>
    </row>
    <row r="92" spans="1:6" s="878" customFormat="1" ht="24">
      <c r="A92" s="882">
        <v>32</v>
      </c>
      <c r="B92" s="3277" t="s">
        <v>678</v>
      </c>
      <c r="C92" s="882" t="s">
        <v>679</v>
      </c>
      <c r="D92" s="818" t="s">
        <v>680</v>
      </c>
      <c r="E92" s="895">
        <v>0.2</v>
      </c>
      <c r="F92" s="882">
        <v>30</v>
      </c>
    </row>
    <row r="93" spans="1:6" s="878" customFormat="1" ht="36">
      <c r="A93" s="882">
        <v>33</v>
      </c>
      <c r="B93" s="3277"/>
      <c r="C93" s="882" t="s">
        <v>681</v>
      </c>
      <c r="D93" s="818" t="s">
        <v>682</v>
      </c>
      <c r="E93" s="895">
        <v>0.2</v>
      </c>
      <c r="F93" s="882">
        <v>30</v>
      </c>
    </row>
    <row r="94" spans="1:6" s="878" customFormat="1" ht="48">
      <c r="A94" s="882">
        <v>34</v>
      </c>
      <c r="B94" s="3277"/>
      <c r="C94" s="882" t="s">
        <v>683</v>
      </c>
      <c r="D94" s="818" t="s">
        <v>684</v>
      </c>
      <c r="E94" s="895">
        <v>0.2</v>
      </c>
      <c r="F94" s="882">
        <v>30</v>
      </c>
    </row>
    <row r="95" spans="1:6" s="878" customFormat="1" ht="36">
      <c r="A95" s="882">
        <v>35</v>
      </c>
      <c r="B95" s="3277"/>
      <c r="C95" s="882" t="s">
        <v>685</v>
      </c>
      <c r="D95" s="818" t="s">
        <v>686</v>
      </c>
      <c r="E95" s="895">
        <v>0.2</v>
      </c>
      <c r="F95" s="882">
        <v>30</v>
      </c>
    </row>
    <row r="96" spans="1:6" s="878" customFormat="1" ht="48">
      <c r="A96" s="882">
        <v>36</v>
      </c>
      <c r="B96" s="3277"/>
      <c r="C96" s="818" t="s">
        <v>687</v>
      </c>
      <c r="D96" s="818" t="s">
        <v>688</v>
      </c>
      <c r="E96" s="895">
        <v>0.2</v>
      </c>
      <c r="F96" s="882">
        <v>30</v>
      </c>
    </row>
    <row r="97" spans="1:6" s="878" customFormat="1" ht="36">
      <c r="A97" s="882">
        <v>37</v>
      </c>
      <c r="B97" s="3277"/>
      <c r="C97" s="882" t="s">
        <v>689</v>
      </c>
      <c r="D97" s="818" t="s">
        <v>690</v>
      </c>
      <c r="E97" s="895">
        <v>0.2</v>
      </c>
      <c r="F97" s="882">
        <v>30</v>
      </c>
    </row>
    <row r="98" spans="1:6" s="878" customFormat="1" ht="36">
      <c r="A98" s="882">
        <v>38</v>
      </c>
      <c r="B98" s="3277"/>
      <c r="C98" s="882" t="s">
        <v>691</v>
      </c>
      <c r="D98" s="818" t="s">
        <v>692</v>
      </c>
      <c r="E98" s="895">
        <v>0.2</v>
      </c>
      <c r="F98" s="882">
        <v>30</v>
      </c>
    </row>
    <row r="99" spans="1:6" s="878" customFormat="1" ht="36">
      <c r="A99" s="882">
        <v>39</v>
      </c>
      <c r="B99" s="3277" t="s">
        <v>693</v>
      </c>
      <c r="C99" s="882" t="s">
        <v>694</v>
      </c>
      <c r="D99" s="818" t="s">
        <v>695</v>
      </c>
      <c r="E99" s="895">
        <v>0.3</v>
      </c>
      <c r="F99" s="882">
        <v>50</v>
      </c>
    </row>
    <row r="100" spans="1:6" s="878" customFormat="1" ht="24">
      <c r="A100" s="882">
        <v>40</v>
      </c>
      <c r="B100" s="3277"/>
      <c r="C100" s="882" t="s">
        <v>696</v>
      </c>
      <c r="D100" s="818" t="s">
        <v>697</v>
      </c>
      <c r="E100" s="895">
        <v>0.2</v>
      </c>
      <c r="F100" s="882">
        <v>30</v>
      </c>
    </row>
    <row r="101" spans="1:6" s="878" customFormat="1" ht="36">
      <c r="A101" s="882">
        <v>41</v>
      </c>
      <c r="B101" s="327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7" t="s">
        <v>708</v>
      </c>
      <c r="C105" s="882" t="s">
        <v>709</v>
      </c>
      <c r="D105" s="818" t="s">
        <v>710</v>
      </c>
      <c r="E105" s="895">
        <v>0.2</v>
      </c>
      <c r="F105" s="882">
        <v>30</v>
      </c>
    </row>
    <row r="106" spans="1:6" s="878" customFormat="1" ht="36">
      <c r="A106" s="882">
        <v>46</v>
      </c>
      <c r="B106" s="3277"/>
      <c r="C106" s="882" t="s">
        <v>711</v>
      </c>
      <c r="D106" s="818" t="s">
        <v>712</v>
      </c>
      <c r="E106" s="895">
        <v>0.2</v>
      </c>
      <c r="F106" s="882">
        <v>30</v>
      </c>
    </row>
    <row r="107" spans="1:6" s="878" customFormat="1" ht="36">
      <c r="A107" s="882">
        <v>47</v>
      </c>
      <c r="B107" s="3277" t="s">
        <v>713</v>
      </c>
      <c r="C107" s="882" t="s">
        <v>714</v>
      </c>
      <c r="D107" s="818" t="s">
        <v>715</v>
      </c>
      <c r="E107" s="895">
        <v>0.3</v>
      </c>
      <c r="F107" s="882">
        <v>50</v>
      </c>
    </row>
    <row r="108" spans="1:6" s="878" customFormat="1" ht="36">
      <c r="A108" s="882">
        <v>48</v>
      </c>
      <c r="B108" s="327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7" t="s">
        <v>724</v>
      </c>
      <c r="C111" s="882" t="s">
        <v>725</v>
      </c>
      <c r="D111" s="818" t="s">
        <v>726</v>
      </c>
      <c r="E111" s="895">
        <v>0.2</v>
      </c>
      <c r="F111" s="882">
        <v>30</v>
      </c>
    </row>
    <row r="112" spans="1:6" s="878" customFormat="1" ht="24">
      <c r="A112" s="882">
        <v>52</v>
      </c>
      <c r="B112" s="3277"/>
      <c r="C112" s="882" t="s">
        <v>727</v>
      </c>
      <c r="D112" s="818" t="s">
        <v>728</v>
      </c>
      <c r="E112" s="895">
        <v>0.2</v>
      </c>
      <c r="F112" s="882">
        <v>30</v>
      </c>
    </row>
    <row r="113" spans="1:6" s="878" customFormat="1" ht="24">
      <c r="A113" s="882">
        <v>53</v>
      </c>
      <c r="B113" s="327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7" t="s">
        <v>737</v>
      </c>
      <c r="C116" s="882" t="s">
        <v>738</v>
      </c>
      <c r="D116" s="818" t="s">
        <v>739</v>
      </c>
      <c r="E116" s="895">
        <v>0.2</v>
      </c>
      <c r="F116" s="882">
        <v>30</v>
      </c>
    </row>
    <row r="117" spans="1:6" ht="36">
      <c r="A117" s="882">
        <v>57</v>
      </c>
      <c r="B117" s="327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0.96889999999999998</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2988</v>
      </c>
    </row>
    <row r="2" spans="1:5" ht="15.75">
      <c r="A2" s="2912" t="s">
        <v>2980</v>
      </c>
      <c r="B2" s="2913">
        <f ca="1">SUMIF(B6:B13,"&lt;&gt;#ref!",B6:B13)</f>
        <v>78620</v>
      </c>
      <c r="C2" s="2912" t="s">
        <v>2981</v>
      </c>
      <c r="D2" s="2912" t="s">
        <v>2982</v>
      </c>
      <c r="E2" s="2913" t="e">
        <f ca="1">SUM(E6:E13)</f>
        <v>#REF!</v>
      </c>
    </row>
    <row r="3" spans="1:5" ht="15.75">
      <c r="A3" s="2912" t="s">
        <v>2983</v>
      </c>
      <c r="B3" s="2913" t="e">
        <f ca="1">ROUND(B2*10000/E2,0)</f>
        <v>#REF!</v>
      </c>
      <c r="C3" s="2912" t="s">
        <v>2989</v>
      </c>
      <c r="D3" s="2914"/>
      <c r="E3" s="2914"/>
    </row>
    <row r="4" spans="1:5" ht="15.75">
      <c r="A4" s="2915"/>
      <c r="B4" s="2914"/>
      <c r="C4" s="2914"/>
      <c r="D4" s="2914"/>
      <c r="E4" s="2914"/>
    </row>
    <row r="5" spans="1:5" ht="28.5">
      <c r="A5" s="2916" t="s">
        <v>2984</v>
      </c>
      <c r="B5" s="2912" t="s">
        <v>2985</v>
      </c>
      <c r="C5" s="2913"/>
      <c r="D5" s="2914"/>
      <c r="E5" s="2912" t="s">
        <v>2986</v>
      </c>
    </row>
    <row r="6" spans="1:5" ht="15.75">
      <c r="A6" s="2917" t="s">
        <v>2987</v>
      </c>
      <c r="B6" s="2913">
        <f ca="1">SUMIF(INDIRECT("'"&amp;A6&amp;"'"&amp;"!A:A"),"总价",INDIRECT("'"&amp;A6&amp;"'"&amp;"!B:B"))</f>
        <v>78620</v>
      </c>
      <c r="C6" s="2912" t="s">
        <v>2981</v>
      </c>
      <c r="D6" s="2914"/>
      <c r="E6" s="2577">
        <f ca="1">SUMIF(INDIRECT("'"&amp;A6&amp;"'"&amp;"!C:C"),"建筑面积",INDIRECT("'"&amp;A6&amp;"'"&amp;"!D:D"))</f>
        <v>193344.75</v>
      </c>
    </row>
    <row r="7" spans="1:5" ht="15.75">
      <c r="A7" s="2917"/>
      <c r="B7" s="2913" t="e">
        <f ca="1">SUMIF(INDIRECT("'"&amp;A7&amp;"'"&amp;"!A:A"),"总价",INDIRECT("'"&amp;A7&amp;"'"&amp;"!B:B"))</f>
        <v>#REF!</v>
      </c>
      <c r="C7" s="2912" t="s">
        <v>2981</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2981</v>
      </c>
      <c r="D8" s="2914"/>
      <c r="E8" s="2577" t="e">
        <f t="shared" ca="1" si="0"/>
        <v>#REF!</v>
      </c>
    </row>
    <row r="9" spans="1:5" ht="15.75">
      <c r="A9" s="2917"/>
      <c r="B9" s="2913" t="e">
        <f t="shared" ca="1" si="1"/>
        <v>#REF!</v>
      </c>
      <c r="C9" s="2912" t="s">
        <v>2981</v>
      </c>
      <c r="D9" s="2914"/>
      <c r="E9" s="2577" t="e">
        <f t="shared" ca="1" si="0"/>
        <v>#REF!</v>
      </c>
    </row>
    <row r="10" spans="1:5" ht="15.75">
      <c r="A10" s="2917"/>
      <c r="B10" s="2913" t="e">
        <f t="shared" ca="1" si="1"/>
        <v>#REF!</v>
      </c>
      <c r="C10" s="2912" t="s">
        <v>2981</v>
      </c>
      <c r="D10" s="2914"/>
      <c r="E10" s="2577" t="e">
        <f t="shared" ca="1" si="0"/>
        <v>#REF!</v>
      </c>
    </row>
    <row r="11" spans="1:5" ht="15.75">
      <c r="A11" s="2917"/>
      <c r="B11" s="2913" t="e">
        <f t="shared" ca="1" si="1"/>
        <v>#REF!</v>
      </c>
      <c r="C11" s="2912" t="s">
        <v>2981</v>
      </c>
      <c r="D11" s="2914"/>
      <c r="E11" s="2577" t="e">
        <f t="shared" ca="1" si="0"/>
        <v>#REF!</v>
      </c>
    </row>
    <row r="12" spans="1:5" ht="15.75">
      <c r="A12" s="2917"/>
      <c r="B12" s="2913" t="e">
        <f t="shared" ca="1" si="1"/>
        <v>#REF!</v>
      </c>
      <c r="C12" s="2912" t="s">
        <v>2981</v>
      </c>
      <c r="D12" s="2914"/>
      <c r="E12" s="2577" t="e">
        <f t="shared" ca="1" si="0"/>
        <v>#REF!</v>
      </c>
    </row>
    <row r="13" spans="1:5" ht="15.75">
      <c r="A13" s="2917"/>
      <c r="B13" s="2913" t="e">
        <f t="shared" ca="1" si="1"/>
        <v>#REF!</v>
      </c>
      <c r="C13" s="2912" t="s">
        <v>2981</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O6" sqref="O6:O14"/>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3" t="s">
        <v>1150</v>
      </c>
      <c r="C1" s="3283"/>
      <c r="D1" s="3283"/>
      <c r="E1" s="3283"/>
      <c r="F1" s="3283"/>
      <c r="G1" s="3279" t="s">
        <v>1151</v>
      </c>
      <c r="H1" s="3279"/>
      <c r="I1" s="3279"/>
      <c r="J1" s="3279"/>
      <c r="K1" s="3279"/>
      <c r="L1" s="3279"/>
      <c r="N1" s="3279" t="s">
        <v>1152</v>
      </c>
      <c r="O1" s="3279"/>
      <c r="P1" s="3279"/>
      <c r="Q1" s="3279"/>
      <c r="R1" s="1449"/>
      <c r="S1" s="3279" t="s">
        <v>1153</v>
      </c>
      <c r="T1" s="3279"/>
      <c r="U1" s="3279"/>
      <c r="V1" s="3279"/>
      <c r="X1" s="3278" t="s">
        <v>1154</v>
      </c>
      <c r="Y1" s="3279"/>
      <c r="Z1" s="3279"/>
      <c r="AA1" s="3279"/>
      <c r="AB1" s="3279"/>
      <c r="AD1" s="3278" t="s">
        <v>1155</v>
      </c>
      <c r="AE1" s="3279"/>
      <c r="AF1" s="3279"/>
      <c r="AG1" s="3279"/>
      <c r="AH1" s="3279"/>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1" customFormat="1" ht="14.25">
      <c r="A3" s="2940" t="s">
        <v>3023</v>
      </c>
      <c r="B3" s="2932"/>
      <c r="C3" s="2932"/>
      <c r="D3" s="2933"/>
      <c r="E3" s="2933"/>
      <c r="F3" s="2932"/>
      <c r="G3" s="2934"/>
      <c r="H3" s="2935"/>
      <c r="I3" s="2936">
        <f>ROUND(AVERAGE($I7:$I22),2)</f>
        <v>2.4500000000000002</v>
      </c>
      <c r="J3" s="2936">
        <f>ROUND(AVERAGE($J7:$J22),2)</f>
        <v>1.65</v>
      </c>
      <c r="K3" s="2936">
        <f>ROUND(AVERAGE($K7:$K22),2)</f>
        <v>2.71</v>
      </c>
      <c r="L3" s="2936">
        <f>ROUND(AVERAGE($L7:$L22),2)</f>
        <v>1.39</v>
      </c>
      <c r="N3" s="2934"/>
      <c r="O3" s="2937"/>
      <c r="P3" s="2937"/>
      <c r="Q3" s="2937"/>
      <c r="R3" s="2937"/>
      <c r="S3" s="2934"/>
      <c r="T3" s="2937"/>
      <c r="U3" s="2937"/>
      <c r="V3" s="2937"/>
      <c r="W3" s="2929"/>
      <c r="X3" s="2938">
        <f>ROUND(SUMPRODUCT(PRODUCT(1+N3:N$21)),4)</f>
        <v>1.4517</v>
      </c>
      <c r="Y3" s="2938">
        <f>ROUND(SUMPRODUCT(PRODUCT(1+O3:O$21)),4)</f>
        <v>1.2928999999999999</v>
      </c>
      <c r="Z3" s="2938">
        <f t="shared" ref="Z3:Z19" si="0">Y3</f>
        <v>1.2928999999999999</v>
      </c>
      <c r="AA3" s="2938">
        <f>ROUND(SUMPRODUCT(PRODUCT(1+P3:P$21)),4)</f>
        <v>1.5068999999999999</v>
      </c>
      <c r="AB3" s="2938">
        <f>ROUND(SUMPRODUCT(PRODUCT(1+Q3:Q$21)),4)</f>
        <v>1.2557</v>
      </c>
      <c r="AD3" s="2939">
        <f>ROUND(AVERAGE(I3:I$22)/100,4)</f>
        <v>2.2800000000000001E-2</v>
      </c>
      <c r="AE3" s="2939">
        <f>ROUND(AVERAGE(J3:J$22)/100,4)</f>
        <v>1.5699999999999999E-2</v>
      </c>
      <c r="AF3" s="2939">
        <f t="shared" ref="AF3:AF20" si="1">AE3</f>
        <v>1.5699999999999999E-2</v>
      </c>
      <c r="AG3" s="2939">
        <f>ROUND(AVERAGE(K3:K$22)/100,4)</f>
        <v>2.5100000000000001E-2</v>
      </c>
      <c r="AH3" s="2939">
        <f>ROUND(AVERAGE(L3:L$22)/100,4)</f>
        <v>1.35E-2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3029</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41">
        <v>2018</v>
      </c>
      <c r="H5" s="1732">
        <v>2</v>
      </c>
      <c r="I5" s="2926">
        <v>0</v>
      </c>
      <c r="J5" s="2926">
        <v>0</v>
      </c>
      <c r="K5" s="2926">
        <v>0</v>
      </c>
      <c r="L5" s="2926">
        <v>0</v>
      </c>
      <c r="N5" s="1470">
        <f t="shared" ref="N5" si="7">I5/100</f>
        <v>0</v>
      </c>
      <c r="O5" s="1470">
        <f t="shared" ref="O5" si="8">J5/100</f>
        <v>0</v>
      </c>
      <c r="P5" s="1470">
        <f t="shared" ref="P5" si="9">K5/100</f>
        <v>0</v>
      </c>
      <c r="Q5" s="1470">
        <f t="shared" ref="Q5" si="10">L5/100</f>
        <v>0</v>
      </c>
      <c r="R5" s="1734"/>
      <c r="S5" s="1735"/>
      <c r="T5" s="1734"/>
      <c r="U5" s="1734"/>
      <c r="V5" s="1734"/>
      <c r="W5" s="2930" t="s">
        <v>3024</v>
      </c>
      <c r="X5" s="1728">
        <f>ROUND(SUMPRODUCT(PRODUCT(1+N5:N$21)),4)</f>
        <v>1.4517</v>
      </c>
      <c r="Y5" s="1728">
        <f>ROUND(SUMPRODUCT(PRODUCT(1+O5:O$21)),4)</f>
        <v>1.2928999999999999</v>
      </c>
      <c r="Z5" s="1728">
        <f t="shared" ref="Z5" si="11">Y5</f>
        <v>1.2928999999999999</v>
      </c>
      <c r="AA5" s="1728">
        <f>ROUND(SUMPRODUCT(PRODUCT(1+P5:P$21)),4)</f>
        <v>1.5068999999999999</v>
      </c>
      <c r="AB5" s="1728">
        <f>ROUND(SUMPRODUCT(PRODUCT(1+Q5:Q$21)),4)</f>
        <v>1.2557</v>
      </c>
      <c r="AD5" s="1471">
        <f>ROUND(AVERAGE(I5:I$22)/100,4)</f>
        <v>2.2700000000000001E-2</v>
      </c>
      <c r="AE5" s="1471">
        <f>ROUND(AVERAGE(J5:J$22)/100,4)</f>
        <v>1.5699999999999999E-2</v>
      </c>
      <c r="AF5" s="1471">
        <f t="shared" ref="AF5" si="12">AE5</f>
        <v>1.5699999999999999E-2</v>
      </c>
      <c r="AG5" s="1471">
        <f>ROUND(AVERAGE(K5:K$22)/100,4)</f>
        <v>2.5000000000000001E-2</v>
      </c>
      <c r="AH5" s="1471">
        <f>ROUND(AVERAGE(L5:L$22)/100,4)</f>
        <v>1.35E-2</v>
      </c>
    </row>
    <row r="6" spans="1:34" s="1469" customFormat="1" ht="13.5" thickBot="1">
      <c r="A6" s="1464" t="s">
        <v>3022</v>
      </c>
      <c r="B6" s="1480">
        <f t="shared" ref="B6" si="13">B7*(1+N6)</f>
        <v>446.46299999999997</v>
      </c>
      <c r="C6" s="1480">
        <f t="shared" ref="C6" si="14">C7*(1+O6)</f>
        <v>333.27840000000003</v>
      </c>
      <c r="D6" s="1480">
        <f t="shared" ref="D6" si="15">C6</f>
        <v>333.27840000000003</v>
      </c>
      <c r="E6" s="1480">
        <f t="shared" ref="E6" si="16">E7*(1+P6)</f>
        <v>637.28279999999995</v>
      </c>
      <c r="F6" s="1480">
        <f t="shared" ref="F6" si="17">F7*(1+Q6)</f>
        <v>288.68830000000003</v>
      </c>
      <c r="G6" s="2942">
        <v>2018</v>
      </c>
      <c r="H6" s="1467">
        <v>1</v>
      </c>
      <c r="I6" s="1467">
        <v>1.7</v>
      </c>
      <c r="J6" s="1467">
        <v>1.92</v>
      </c>
      <c r="K6" s="1467">
        <v>1.64</v>
      </c>
      <c r="L6" s="1481">
        <v>2.0099999999999998</v>
      </c>
      <c r="M6" s="1474"/>
      <c r="N6" s="1475">
        <f t="shared" ref="N6:N11" si="18">I6/100</f>
        <v>1.7000000000000001E-2</v>
      </c>
      <c r="O6" s="1476">
        <f t="shared" ref="O6" si="19">J6/100</f>
        <v>1.9199999999999998E-2</v>
      </c>
      <c r="P6" s="1476">
        <f t="shared" ref="P6" si="20">K6/100</f>
        <v>1.6399999999999998E-2</v>
      </c>
      <c r="Q6" s="1476">
        <f t="shared" ref="Q6" si="21">L6/100</f>
        <v>2.0099999999999996E-2</v>
      </c>
      <c r="R6" s="1477"/>
      <c r="S6" s="1475">
        <f>B6/B7-1</f>
        <v>1.6999999999999904E-2</v>
      </c>
      <c r="T6" s="1476">
        <f t="shared" ref="T6" si="22">C6/C7-1</f>
        <v>1.9200000000000106E-2</v>
      </c>
      <c r="U6" s="1476">
        <f t="shared" ref="U6" si="23">D6/D7-1</f>
        <v>1.9200000000000106E-2</v>
      </c>
      <c r="V6" s="1476">
        <f t="shared" ref="V6" si="24">E6/E7-1</f>
        <v>1.639999999999997E-2</v>
      </c>
      <c r="W6" s="1792"/>
      <c r="X6" s="1790">
        <f>ROUND(SUMPRODUCT(PRODUCT(1+N6:N$21)),4)</f>
        <v>1.4517</v>
      </c>
      <c r="Y6" s="1790">
        <f>ROUND(SUMPRODUCT(PRODUCT(1+O6:O$21)),4)</f>
        <v>1.2928999999999999</v>
      </c>
      <c r="Z6" s="1790">
        <f t="shared" ref="Z6" si="25">Y6</f>
        <v>1.2928999999999999</v>
      </c>
      <c r="AA6" s="1790">
        <f>ROUND(SUMPRODUCT(PRODUCT(1+P6:P$21)),4)</f>
        <v>1.5068999999999999</v>
      </c>
      <c r="AB6" s="1790">
        <f>ROUND(SUMPRODUCT(PRODUCT(1+Q6:Q$21)),4)</f>
        <v>1.2557</v>
      </c>
      <c r="AC6" s="1792"/>
      <c r="AD6" s="1791">
        <f>ROUND(AVERAGE(I6:I$22)/100,4)</f>
        <v>2.4E-2</v>
      </c>
      <c r="AE6" s="1791">
        <f>ROUND(AVERAGE(J6:J$22)/100,4)</f>
        <v>1.66E-2</v>
      </c>
      <c r="AF6" s="1791">
        <f t="shared" ref="AF6" si="26">AE6</f>
        <v>1.66E-2</v>
      </c>
      <c r="AG6" s="1791">
        <f>ROUND(AVERAGE(K6:K$22)/100,4)</f>
        <v>2.6499999999999999E-2</v>
      </c>
      <c r="AH6" s="1791">
        <f>ROUND(AVERAGE(L6:L$22)/100,4)</f>
        <v>1.43E-2</v>
      </c>
    </row>
    <row r="7" spans="1:34">
      <c r="A7" s="1464" t="s">
        <v>3019</v>
      </c>
      <c r="B7" s="1472">
        <v>439</v>
      </c>
      <c r="C7" s="1472">
        <v>327</v>
      </c>
      <c r="D7" s="1472">
        <f>C7</f>
        <v>327</v>
      </c>
      <c r="E7" s="1472">
        <v>627</v>
      </c>
      <c r="F7" s="1473">
        <v>283</v>
      </c>
      <c r="G7" s="2928">
        <v>2017</v>
      </c>
      <c r="H7" s="1465">
        <v>4</v>
      </c>
      <c r="I7" s="1465">
        <v>1.71</v>
      </c>
      <c r="J7" s="1465">
        <v>1.78</v>
      </c>
      <c r="K7" s="1465">
        <v>1.71</v>
      </c>
      <c r="L7" s="1466">
        <v>1.43</v>
      </c>
      <c r="N7" s="1475">
        <f t="shared" si="18"/>
        <v>1.7100000000000001E-2</v>
      </c>
      <c r="O7" s="1476">
        <f t="shared" ref="O7" si="27">J7/100</f>
        <v>1.78E-2</v>
      </c>
      <c r="P7" s="1476">
        <f t="shared" ref="P7" si="28">K7/100</f>
        <v>1.7100000000000001E-2</v>
      </c>
      <c r="Q7" s="1476">
        <f t="shared" ref="Q7" si="29">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3020</v>
      </c>
      <c r="B8" s="1480">
        <f t="shared" ref="B8:B9" si="30">B9*(1+N8)</f>
        <v>431.80730811680002</v>
      </c>
      <c r="C8" s="1480">
        <f t="shared" ref="C8:C9" si="31">C9*(1+O8)</f>
        <v>320.57880516480003</v>
      </c>
      <c r="D8" s="1480">
        <f t="shared" ref="D8:D9" si="32">C8</f>
        <v>320.57880516480003</v>
      </c>
      <c r="E8" s="1480">
        <f t="shared" ref="E8:E9" si="33">E9*(1+P8)</f>
        <v>615.96110553196797</v>
      </c>
      <c r="F8" s="1480">
        <f t="shared" ref="F8:F9" si="34">F9*(1+Q8)</f>
        <v>279.46777300108801</v>
      </c>
      <c r="G8" s="2924"/>
      <c r="H8" s="1467">
        <v>3</v>
      </c>
      <c r="I8" s="1467">
        <v>2.98</v>
      </c>
      <c r="J8" s="1467">
        <v>2.11</v>
      </c>
      <c r="K8" s="1467">
        <v>3.24</v>
      </c>
      <c r="L8" s="1481">
        <v>1.72</v>
      </c>
      <c r="M8" s="1474"/>
      <c r="N8" s="1475">
        <f t="shared" si="18"/>
        <v>2.98E-2</v>
      </c>
      <c r="O8" s="1476">
        <f t="shared" ref="O8" si="35">J8/100</f>
        <v>2.1099999999999997E-2</v>
      </c>
      <c r="P8" s="1476">
        <f t="shared" ref="P8" si="36">K8/100</f>
        <v>3.2400000000000005E-2</v>
      </c>
      <c r="Q8" s="1476">
        <f t="shared" ref="Q8" si="37">L8/100</f>
        <v>1.72E-2</v>
      </c>
      <c r="R8" s="1477"/>
      <c r="S8" s="1475"/>
      <c r="T8" s="1476"/>
      <c r="U8" s="1476"/>
      <c r="V8" s="1476"/>
      <c r="W8" s="1792"/>
      <c r="X8" s="1790">
        <f>ROUND(SUMPRODUCT(PRODUCT(1+N8:N$21)),4)</f>
        <v>1.4034</v>
      </c>
      <c r="Y8" s="1790">
        <f>ROUND(SUMPRODUCT(PRODUCT(1+O8:O$21)),4)</f>
        <v>1.2463</v>
      </c>
      <c r="Z8" s="1790">
        <f t="shared" si="0"/>
        <v>1.2463</v>
      </c>
      <c r="AA8" s="1790">
        <f>ROUND(SUMPRODUCT(PRODUCT(1+P8:P$21)),4)</f>
        <v>1.4577</v>
      </c>
      <c r="AB8" s="1790">
        <f>ROUND(SUMPRODUCT(PRODUCT(1+Q8:Q$21)),4)</f>
        <v>1.2136</v>
      </c>
      <c r="AC8" s="1792"/>
      <c r="AD8" s="1791">
        <f>ROUND(AVERAGE(I8:I$22)/100,4)</f>
        <v>2.4899999999999999E-2</v>
      </c>
      <c r="AE8" s="1791">
        <f>ROUND(AVERAGE(J8:J$22)/100,4)</f>
        <v>1.6400000000000001E-2</v>
      </c>
      <c r="AF8" s="1791">
        <f t="shared" si="1"/>
        <v>1.6400000000000001E-2</v>
      </c>
      <c r="AG8" s="1791">
        <f>ROUND(AVERAGE(K8:K$22)/100,4)</f>
        <v>2.7799999999999998E-2</v>
      </c>
      <c r="AH8" s="1791">
        <f>ROUND(AVERAGE(L8:L$22)/100,4)</f>
        <v>1.3899999999999999E-2</v>
      </c>
    </row>
    <row r="9" spans="1:34" s="1733" customFormat="1">
      <c r="A9" s="1464" t="s">
        <v>1386</v>
      </c>
      <c r="B9" s="1480">
        <f t="shared" si="30"/>
        <v>419.31181600000002</v>
      </c>
      <c r="C9" s="1480">
        <f t="shared" si="31"/>
        <v>313.95436800000004</v>
      </c>
      <c r="D9" s="1480">
        <f t="shared" si="32"/>
        <v>313.95436800000004</v>
      </c>
      <c r="E9" s="1480">
        <f t="shared" si="33"/>
        <v>596.63028431999999</v>
      </c>
      <c r="F9" s="1480">
        <f t="shared" si="34"/>
        <v>274.74220703999998</v>
      </c>
      <c r="G9" s="2923"/>
      <c r="H9" s="1468">
        <v>2</v>
      </c>
      <c r="I9" s="1468">
        <v>3.4</v>
      </c>
      <c r="J9" s="1468">
        <v>2</v>
      </c>
      <c r="K9" s="1468">
        <v>3.82</v>
      </c>
      <c r="L9" s="1482">
        <v>1.68</v>
      </c>
      <c r="M9" s="1474"/>
      <c r="N9" s="1475">
        <f t="shared" si="18"/>
        <v>3.4000000000000002E-2</v>
      </c>
      <c r="O9" s="1476">
        <f t="shared" ref="O9" si="38">J9/100</f>
        <v>0.02</v>
      </c>
      <c r="P9" s="1476">
        <f t="shared" ref="P9" si="39">K9/100</f>
        <v>3.8199999999999998E-2</v>
      </c>
      <c r="Q9" s="1476">
        <f t="shared" ref="Q9" si="40">L9/100</f>
        <v>1.6799999999999999E-2</v>
      </c>
      <c r="R9" s="1477"/>
      <c r="S9" s="1478"/>
      <c r="T9" s="1479"/>
      <c r="U9" s="1479"/>
      <c r="V9" s="1479"/>
      <c r="W9" s="1456"/>
      <c r="X9" s="1790">
        <f>ROUND(SUMPRODUCT(PRODUCT(1+N9:N$21)),4)</f>
        <v>1.3628</v>
      </c>
      <c r="Y9" s="1790">
        <f>ROUND(SUMPRODUCT(PRODUCT(1+O9:O$21)),4)</f>
        <v>1.2205999999999999</v>
      </c>
      <c r="Z9" s="1790">
        <f t="shared" si="0"/>
        <v>1.2205999999999999</v>
      </c>
      <c r="AA9" s="1790">
        <f>ROUND(SUMPRODUCT(PRODUCT(1+P9:P$21)),4)</f>
        <v>1.4118999999999999</v>
      </c>
      <c r="AB9" s="1790">
        <f>ROUND(SUMPRODUCT(PRODUCT(1+Q9:Q$21)),4)</f>
        <v>1.1930000000000001</v>
      </c>
      <c r="AC9" s="1456"/>
      <c r="AD9" s="1791">
        <f>ROUND(AVERAGE(I9:I$22)/100,4)</f>
        <v>2.46E-2</v>
      </c>
      <c r="AE9" s="1791">
        <f>ROUND(AVERAGE(J9:J$22)/100,4)</f>
        <v>1.6E-2</v>
      </c>
      <c r="AF9" s="1791">
        <f t="shared" si="1"/>
        <v>1.6E-2</v>
      </c>
      <c r="AG9" s="1791">
        <f>ROUND(AVERAGE(K9:K$22)/100,4)</f>
        <v>2.75E-2</v>
      </c>
      <c r="AH9" s="1791">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4"/>
      <c r="H10" s="1467">
        <v>1</v>
      </c>
      <c r="I10" s="1467">
        <v>3.45</v>
      </c>
      <c r="J10" s="1467">
        <v>1.92</v>
      </c>
      <c r="K10" s="1467">
        <v>3.92</v>
      </c>
      <c r="L10" s="1481">
        <v>1.58</v>
      </c>
      <c r="M10" s="1474"/>
      <c r="N10" s="1475">
        <f t="shared" si="18"/>
        <v>3.4500000000000003E-2</v>
      </c>
      <c r="O10" s="1476">
        <f t="shared" ref="O10:Q25" si="41">J10/100</f>
        <v>1.9199999999999998E-2</v>
      </c>
      <c r="P10" s="1476">
        <f t="shared" si="41"/>
        <v>3.9199999999999999E-2</v>
      </c>
      <c r="Q10" s="1476">
        <f t="shared" si="41"/>
        <v>1.5800000000000002E-2</v>
      </c>
      <c r="R10" s="1477"/>
      <c r="S10" s="1475">
        <f>B10/B11-1</f>
        <v>3.4499999999999975E-2</v>
      </c>
      <c r="T10" s="1476">
        <f t="shared" ref="T10:V10" si="42">C10/C11-1</f>
        <v>1.9200000000000106E-2</v>
      </c>
      <c r="U10" s="1476">
        <f t="shared" si="42"/>
        <v>1.9200000000000106E-2</v>
      </c>
      <c r="V10" s="1476">
        <f t="shared" si="42"/>
        <v>3.9199999999999902E-2</v>
      </c>
      <c r="W10" s="1792"/>
      <c r="X10" s="1790">
        <f>ROUND(SUMPRODUCT(PRODUCT(1+N10:N$21)),4)</f>
        <v>1.3180000000000001</v>
      </c>
      <c r="Y10" s="1790">
        <f>ROUND(SUMPRODUCT(PRODUCT(1+O10:O$21)),4)</f>
        <v>1.1966000000000001</v>
      </c>
      <c r="Z10" s="1790">
        <f t="shared" si="0"/>
        <v>1.1966000000000001</v>
      </c>
      <c r="AA10" s="1790">
        <f>ROUND(SUMPRODUCT(PRODUCT(1+P10:P$21)),4)</f>
        <v>1.36</v>
      </c>
      <c r="AB10" s="1790">
        <f>ROUND(SUMPRODUCT(PRODUCT(1+Q10:Q$21)),4)</f>
        <v>1.1733</v>
      </c>
      <c r="AC10" s="1792"/>
      <c r="AD10" s="1791">
        <f>ROUND(AVERAGE(I10:I$22)/100,4)</f>
        <v>2.3900000000000001E-2</v>
      </c>
      <c r="AE10" s="1791">
        <f>ROUND(AVERAGE(J10:J$22)/100,4)</f>
        <v>1.5699999999999999E-2</v>
      </c>
      <c r="AF10" s="1791">
        <f t="shared" si="1"/>
        <v>1.5699999999999999E-2</v>
      </c>
      <c r="AG10" s="1791">
        <f>ROUND(AVERAGE(K10:K$22)/100,4)</f>
        <v>2.6599999999999999E-2</v>
      </c>
      <c r="AH10" s="1791">
        <f>ROUND(AVERAGE(L10:L$22)/100,4)</f>
        <v>1.34E-2</v>
      </c>
    </row>
    <row r="11" spans="1:34">
      <c r="A11" s="1464" t="s">
        <v>154</v>
      </c>
      <c r="B11" s="1472">
        <v>392</v>
      </c>
      <c r="C11" s="1472">
        <v>302</v>
      </c>
      <c r="D11" s="1472">
        <f>C11</f>
        <v>302</v>
      </c>
      <c r="E11" s="1472">
        <v>553</v>
      </c>
      <c r="F11" s="1473">
        <v>266</v>
      </c>
      <c r="G11" s="3284">
        <v>2016</v>
      </c>
      <c r="H11" s="1465">
        <v>4</v>
      </c>
      <c r="I11" s="1465">
        <v>4.5599999999999996</v>
      </c>
      <c r="J11" s="1465">
        <v>2.15</v>
      </c>
      <c r="K11" s="1465">
        <v>5.32</v>
      </c>
      <c r="L11" s="1466">
        <v>1.57</v>
      </c>
      <c r="N11" s="1475">
        <f t="shared" si="18"/>
        <v>4.5599999999999995E-2</v>
      </c>
      <c r="O11" s="1476">
        <f t="shared" si="41"/>
        <v>2.1499999999999998E-2</v>
      </c>
      <c r="P11" s="1476">
        <f t="shared" si="41"/>
        <v>5.3200000000000004E-2</v>
      </c>
      <c r="Q11" s="1476">
        <f t="shared" si="41"/>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3">B11/(1+N11)</f>
        <v>374.90436113236416</v>
      </c>
      <c r="C12" s="1480">
        <f t="shared" si="43"/>
        <v>295.64366128242779</v>
      </c>
      <c r="D12" s="1480">
        <f t="shared" ref="D12:D71" si="44">C12</f>
        <v>295.64366128242779</v>
      </c>
      <c r="E12" s="1480">
        <f t="shared" ref="E12:F14" si="45">E11/(1+P11)</f>
        <v>525.06646410938095</v>
      </c>
      <c r="F12" s="1480">
        <f t="shared" si="45"/>
        <v>261.88835286009646</v>
      </c>
      <c r="G12" s="3281"/>
      <c r="H12" s="1467">
        <v>3</v>
      </c>
      <c r="I12" s="1467">
        <v>4.12</v>
      </c>
      <c r="J12" s="1467">
        <v>2</v>
      </c>
      <c r="K12" s="1467">
        <v>4.79</v>
      </c>
      <c r="L12" s="1481">
        <v>1.97</v>
      </c>
      <c r="N12" s="1475">
        <f t="shared" ref="N12:Q46" si="46">I12/100</f>
        <v>4.1200000000000001E-2</v>
      </c>
      <c r="O12" s="1476">
        <f t="shared" si="41"/>
        <v>0.02</v>
      </c>
      <c r="P12" s="1476">
        <f t="shared" si="41"/>
        <v>4.7899999999999998E-2</v>
      </c>
      <c r="Q12" s="1476">
        <f t="shared" si="41"/>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3"/>
        <v>360.06949782209392</v>
      </c>
      <c r="C13" s="1480">
        <f t="shared" si="43"/>
        <v>289.84672674747821</v>
      </c>
      <c r="D13" s="1480">
        <f t="shared" si="44"/>
        <v>289.84672674747821</v>
      </c>
      <c r="E13" s="1480">
        <f t="shared" si="45"/>
        <v>501.06543001181495</v>
      </c>
      <c r="F13" s="1480">
        <f t="shared" si="45"/>
        <v>256.82882500744967</v>
      </c>
      <c r="G13" s="3281"/>
      <c r="H13" s="1468">
        <v>2</v>
      </c>
      <c r="I13" s="1468">
        <v>3.85</v>
      </c>
      <c r="J13" s="1468">
        <v>1.95</v>
      </c>
      <c r="K13" s="1468">
        <v>4.4800000000000004</v>
      </c>
      <c r="L13" s="1482">
        <v>1.41</v>
      </c>
      <c r="N13" s="1475">
        <f t="shared" si="46"/>
        <v>3.85E-2</v>
      </c>
      <c r="O13" s="1476">
        <f t="shared" si="41"/>
        <v>1.95E-2</v>
      </c>
      <c r="P13" s="1476">
        <f t="shared" si="41"/>
        <v>4.4800000000000006E-2</v>
      </c>
      <c r="Q13" s="1476">
        <f t="shared" si="41"/>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3"/>
        <v>346.720748986128</v>
      </c>
      <c r="C14" s="1480">
        <f t="shared" si="43"/>
        <v>284.30282172386285</v>
      </c>
      <c r="D14" s="1480">
        <f t="shared" si="44"/>
        <v>284.30282172386285</v>
      </c>
      <c r="E14" s="1480">
        <f t="shared" si="45"/>
        <v>479.58023546306947</v>
      </c>
      <c r="F14" s="1480">
        <f t="shared" si="45"/>
        <v>253.25788877571213</v>
      </c>
      <c r="G14" s="3282"/>
      <c r="H14" s="1467">
        <v>1</v>
      </c>
      <c r="I14" s="1467">
        <v>4.09</v>
      </c>
      <c r="J14" s="1467">
        <v>2.93</v>
      </c>
      <c r="K14" s="1467">
        <v>4.54</v>
      </c>
      <c r="L14" s="1481">
        <v>1.48</v>
      </c>
      <c r="N14" s="1475">
        <f t="shared" si="46"/>
        <v>4.0899999999999999E-2</v>
      </c>
      <c r="O14" s="1476">
        <f t="shared" si="41"/>
        <v>2.9300000000000003E-2</v>
      </c>
      <c r="P14" s="1476">
        <f t="shared" si="41"/>
        <v>4.5400000000000003E-2</v>
      </c>
      <c r="Q14" s="1476">
        <f t="shared" si="41"/>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4"/>
        <v>277</v>
      </c>
      <c r="E15" s="1472">
        <v>459</v>
      </c>
      <c r="F15" s="1473">
        <v>249</v>
      </c>
      <c r="G15" s="3280">
        <v>2015</v>
      </c>
      <c r="H15" s="1485">
        <v>4</v>
      </c>
      <c r="I15" s="1485">
        <v>1.63</v>
      </c>
      <c r="J15" s="1485">
        <v>1.1100000000000001</v>
      </c>
      <c r="K15" s="1485">
        <v>1.77</v>
      </c>
      <c r="L15" s="1486">
        <v>1.89</v>
      </c>
      <c r="N15" s="1487">
        <f t="shared" si="46"/>
        <v>1.6299999999999999E-2</v>
      </c>
      <c r="O15" s="1488">
        <f t="shared" si="41"/>
        <v>1.11E-2</v>
      </c>
      <c r="P15" s="1488">
        <f t="shared" si="41"/>
        <v>1.77E-2</v>
      </c>
      <c r="Q15" s="1488">
        <f t="shared" si="41"/>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47">B15/(1+N15)</f>
        <v>327.65915576109415</v>
      </c>
      <c r="C16" s="1480">
        <f t="shared" si="47"/>
        <v>273.95905449510434</v>
      </c>
      <c r="D16" s="1480">
        <f t="shared" si="44"/>
        <v>273.95905449510434</v>
      </c>
      <c r="E16" s="1480">
        <f t="shared" ref="E16:F18" si="48">E15/(1+P15)</f>
        <v>451.01699911565294</v>
      </c>
      <c r="F16" s="1480">
        <f t="shared" si="48"/>
        <v>244.38119540681129</v>
      </c>
      <c r="G16" s="3281"/>
      <c r="H16" s="1490">
        <v>3</v>
      </c>
      <c r="I16" s="1490">
        <v>1.65</v>
      </c>
      <c r="J16" s="1490">
        <v>0.92</v>
      </c>
      <c r="K16" s="1490">
        <v>1.88</v>
      </c>
      <c r="L16" s="1491">
        <v>1.26</v>
      </c>
      <c r="N16" s="1475">
        <f t="shared" si="46"/>
        <v>1.6500000000000001E-2</v>
      </c>
      <c r="O16" s="1492">
        <f t="shared" si="41"/>
        <v>9.1999999999999998E-3</v>
      </c>
      <c r="P16" s="1492">
        <f t="shared" si="41"/>
        <v>1.8799999999999997E-2</v>
      </c>
      <c r="Q16" s="1492">
        <f t="shared" si="41"/>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47"/>
        <v>322.34053690220776</v>
      </c>
      <c r="C17" s="1480">
        <f t="shared" si="47"/>
        <v>271.46160770422546</v>
      </c>
      <c r="D17" s="1480">
        <f t="shared" si="44"/>
        <v>271.46160770422546</v>
      </c>
      <c r="E17" s="1480">
        <f t="shared" si="48"/>
        <v>442.69434542172456</v>
      </c>
      <c r="F17" s="1480">
        <f t="shared" si="48"/>
        <v>241.34030753190925</v>
      </c>
      <c r="G17" s="3281"/>
      <c r="H17" s="1468">
        <v>2</v>
      </c>
      <c r="I17" s="1468">
        <v>0.77</v>
      </c>
      <c r="J17" s="1468">
        <v>0.69</v>
      </c>
      <c r="K17" s="1468">
        <v>0.8</v>
      </c>
      <c r="L17" s="1482">
        <v>0.88</v>
      </c>
      <c r="N17" s="1475">
        <f t="shared" si="46"/>
        <v>7.7000000000000002E-3</v>
      </c>
      <c r="O17" s="1492">
        <f t="shared" si="41"/>
        <v>6.8999999999999999E-3</v>
      </c>
      <c r="P17" s="1492">
        <f t="shared" si="41"/>
        <v>8.0000000000000002E-3</v>
      </c>
      <c r="Q17" s="1492">
        <f t="shared" si="41"/>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47"/>
        <v>319.87748030386797</v>
      </c>
      <c r="C18" s="1480">
        <f t="shared" si="47"/>
        <v>269.60135833173649</v>
      </c>
      <c r="D18" s="1480">
        <f t="shared" si="44"/>
        <v>269.60135833173649</v>
      </c>
      <c r="E18" s="1480">
        <f t="shared" si="48"/>
        <v>439.18089823583784</v>
      </c>
      <c r="F18" s="1480">
        <f t="shared" si="48"/>
        <v>239.23503918706311</v>
      </c>
      <c r="G18" s="3282"/>
      <c r="H18" s="1467">
        <v>1</v>
      </c>
      <c r="I18" s="1467">
        <v>0.51</v>
      </c>
      <c r="J18" s="1467">
        <v>0.54</v>
      </c>
      <c r="K18" s="1467">
        <v>0.48</v>
      </c>
      <c r="L18" s="1481">
        <v>0.93</v>
      </c>
      <c r="N18" s="1483">
        <f t="shared" si="46"/>
        <v>5.1000000000000004E-3</v>
      </c>
      <c r="O18" s="1484">
        <f t="shared" si="41"/>
        <v>5.4000000000000003E-3</v>
      </c>
      <c r="P18" s="1484">
        <f t="shared" si="41"/>
        <v>4.7999999999999996E-3</v>
      </c>
      <c r="Q18" s="1484">
        <f t="shared" si="41"/>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4"/>
        <v>268</v>
      </c>
      <c r="E19" s="1493">
        <v>437</v>
      </c>
      <c r="F19" s="1494">
        <v>237</v>
      </c>
      <c r="G19" s="3280">
        <v>2014</v>
      </c>
      <c r="H19" s="1485">
        <v>4</v>
      </c>
      <c r="I19" s="1485">
        <v>0.21</v>
      </c>
      <c r="J19" s="1485">
        <v>0.41</v>
      </c>
      <c r="K19" s="1485">
        <v>0.12</v>
      </c>
      <c r="L19" s="1486">
        <v>0.89</v>
      </c>
      <c r="N19" s="1475">
        <f t="shared" si="46"/>
        <v>2.0999999999999999E-3</v>
      </c>
      <c r="O19" s="1476">
        <f t="shared" si="41"/>
        <v>4.0999999999999995E-3</v>
      </c>
      <c r="P19" s="1476">
        <f t="shared" si="41"/>
        <v>1.1999999999999999E-3</v>
      </c>
      <c r="Q19" s="1476">
        <f t="shared" si="41"/>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49">B19/(1+N19)</f>
        <v>317.33359944117353</v>
      </c>
      <c r="C20" s="1480">
        <f t="shared" si="49"/>
        <v>266.90568668459315</v>
      </c>
      <c r="D20" s="1480">
        <f t="shared" si="44"/>
        <v>266.90568668459315</v>
      </c>
      <c r="E20" s="1480">
        <f t="shared" ref="E20:F22" si="50">E19/(1+P19)</f>
        <v>436.47622852576905</v>
      </c>
      <c r="F20" s="1480">
        <f t="shared" si="50"/>
        <v>234.90930716622066</v>
      </c>
      <c r="G20" s="3281"/>
      <c r="H20" s="1495">
        <v>3</v>
      </c>
      <c r="I20" s="1495">
        <v>0.83</v>
      </c>
      <c r="J20" s="1495">
        <v>1.47</v>
      </c>
      <c r="K20" s="1495">
        <v>0.65</v>
      </c>
      <c r="L20" s="1496">
        <v>0.72</v>
      </c>
      <c r="N20" s="1475">
        <f t="shared" si="46"/>
        <v>8.3000000000000001E-3</v>
      </c>
      <c r="O20" s="1476">
        <f t="shared" si="41"/>
        <v>1.47E-2</v>
      </c>
      <c r="P20" s="1476">
        <f t="shared" si="41"/>
        <v>6.5000000000000006E-3</v>
      </c>
      <c r="Q20" s="1476">
        <f t="shared" si="41"/>
        <v>7.1999999999999998E-3</v>
      </c>
      <c r="R20" s="1477"/>
      <c r="S20" s="1475"/>
      <c r="T20" s="1476"/>
      <c r="U20" s="1476"/>
      <c r="V20" s="1476"/>
      <c r="X20" s="1462">
        <f>ROUND(SUMPRODUCT(PRODUCT(1+N20:N$21)),4)</f>
        <v>1.0325</v>
      </c>
      <c r="Y20" s="1462">
        <f>ROUND(SUMPRODUCT(PRODUCT(1+O20:O$21)),4)</f>
        <v>1.0353000000000001</v>
      </c>
      <c r="Z20" s="1462">
        <f t="shared" ref="Z20:Z21" si="51">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49"/>
        <v>314.72141172386546</v>
      </c>
      <c r="C21" s="1480">
        <f t="shared" si="49"/>
        <v>263.03901319069001</v>
      </c>
      <c r="D21" s="1480">
        <f t="shared" si="44"/>
        <v>263.03901319069001</v>
      </c>
      <c r="E21" s="1480">
        <f t="shared" si="50"/>
        <v>433.65745506782821</v>
      </c>
      <c r="F21" s="1480">
        <f t="shared" si="50"/>
        <v>233.23005080045735</v>
      </c>
      <c r="G21" s="3281"/>
      <c r="H21" s="1485">
        <v>2</v>
      </c>
      <c r="I21" s="1485">
        <v>2.4</v>
      </c>
      <c r="J21" s="1485">
        <v>2.0299999999999998</v>
      </c>
      <c r="K21" s="1485">
        <v>2.59</v>
      </c>
      <c r="L21" s="1486">
        <v>1.52</v>
      </c>
      <c r="N21" s="1475">
        <f t="shared" si="46"/>
        <v>2.4E-2</v>
      </c>
      <c r="O21" s="1476">
        <f t="shared" si="41"/>
        <v>2.0299999999999999E-2</v>
      </c>
      <c r="P21" s="1476">
        <f t="shared" si="41"/>
        <v>2.5899999999999999E-2</v>
      </c>
      <c r="Q21" s="1476">
        <f t="shared" si="41"/>
        <v>1.52E-2</v>
      </c>
      <c r="R21" s="1477"/>
      <c r="S21" s="1475"/>
      <c r="T21" s="1476"/>
      <c r="U21" s="1476"/>
      <c r="V21" s="1476"/>
      <c r="X21" s="1462">
        <f>1+N21</f>
        <v>1.024</v>
      </c>
      <c r="Y21" s="1462">
        <f>1+O21</f>
        <v>1.0203</v>
      </c>
      <c r="Z21" s="1462">
        <f t="shared" si="51"/>
        <v>1.0203</v>
      </c>
      <c r="AA21" s="1462">
        <f>1+P21</f>
        <v>1.0259</v>
      </c>
      <c r="AB21" s="1462">
        <f>1+Q21</f>
        <v>1.0152000000000001</v>
      </c>
      <c r="AD21" s="1463">
        <f>ROUND(AVERAGE(I21:I$22)/100,4)</f>
        <v>2.69E-2</v>
      </c>
      <c r="AE21" s="1463">
        <f>ROUND(AVERAGE(J21:J$22)/100,4)</f>
        <v>2.1899999999999999E-2</v>
      </c>
      <c r="AF21" s="1463">
        <f t="shared" ref="AF21" si="52">AE21</f>
        <v>2.1899999999999999E-2</v>
      </c>
      <c r="AG21" s="1463">
        <f>ROUND(AVERAGE(K21:K$22)/100,4)</f>
        <v>2.9399999999999999E-2</v>
      </c>
      <c r="AH21" s="1463">
        <f>ROUND(AVERAGE(L21:L$22)/100,4)</f>
        <v>1.44E-2</v>
      </c>
    </row>
    <row r="22" spans="1:34" s="1501" customFormat="1" ht="13.5" thickBot="1">
      <c r="A22" s="1497" t="s">
        <v>144</v>
      </c>
      <c r="B22" s="1498">
        <f t="shared" si="49"/>
        <v>307.34512863658733</v>
      </c>
      <c r="C22" s="1498">
        <f t="shared" si="49"/>
        <v>257.80556031626975</v>
      </c>
      <c r="D22" s="1498">
        <f t="shared" si="44"/>
        <v>257.80556031626975</v>
      </c>
      <c r="E22" s="1498">
        <f t="shared" si="50"/>
        <v>422.70928459677179</v>
      </c>
      <c r="F22" s="1498">
        <f t="shared" si="50"/>
        <v>229.73803270336617</v>
      </c>
      <c r="G22" s="3282"/>
      <c r="H22" s="1499">
        <v>1</v>
      </c>
      <c r="I22" s="1499">
        <v>2.97</v>
      </c>
      <c r="J22" s="1499">
        <v>2.34</v>
      </c>
      <c r="K22" s="1499">
        <v>3.28</v>
      </c>
      <c r="L22" s="1500">
        <v>1.36</v>
      </c>
      <c r="N22" s="1502">
        <f t="shared" si="46"/>
        <v>2.9700000000000001E-2</v>
      </c>
      <c r="O22" s="1503">
        <f t="shared" si="41"/>
        <v>2.3399999999999997E-2</v>
      </c>
      <c r="P22" s="1503">
        <f t="shared" si="41"/>
        <v>3.2799999999999996E-2</v>
      </c>
      <c r="Q22" s="1503">
        <f t="shared" si="41"/>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29">
        <f>I22/100</f>
        <v>2.9700000000000001E-2</v>
      </c>
      <c r="AE22" s="1729">
        <f>J22/100</f>
        <v>2.3399999999999997E-2</v>
      </c>
      <c r="AF22" s="1729">
        <f>AE22</f>
        <v>2.3399999999999997E-2</v>
      </c>
      <c r="AG22" s="1729">
        <f>K22/100</f>
        <v>3.2799999999999996E-2</v>
      </c>
      <c r="AH22" s="1729">
        <f>L22/100</f>
        <v>1.3600000000000001E-2</v>
      </c>
    </row>
    <row r="23" spans="1:34" ht="13.5" thickBot="1">
      <c r="A23" s="1464" t="s">
        <v>1163</v>
      </c>
      <c r="B23" s="1472">
        <v>299</v>
      </c>
      <c r="C23" s="1472">
        <v>252</v>
      </c>
      <c r="D23" s="1472">
        <f t="shared" si="44"/>
        <v>252</v>
      </c>
      <c r="E23" s="1472">
        <v>409</v>
      </c>
      <c r="F23" s="1473">
        <v>227</v>
      </c>
      <c r="G23" s="3285">
        <v>2013</v>
      </c>
      <c r="H23" s="1509">
        <v>4</v>
      </c>
      <c r="I23" s="1509">
        <v>1.83</v>
      </c>
      <c r="J23" s="1509">
        <v>1.68</v>
      </c>
      <c r="K23" s="1509">
        <v>1.97</v>
      </c>
      <c r="L23" s="1510">
        <v>0.87</v>
      </c>
      <c r="N23" s="1487">
        <f t="shared" si="46"/>
        <v>1.83E-2</v>
      </c>
      <c r="O23" s="1488">
        <f t="shared" si="41"/>
        <v>1.6799999999999999E-2</v>
      </c>
      <c r="P23" s="1488">
        <f t="shared" si="41"/>
        <v>1.9699999999999999E-2</v>
      </c>
      <c r="Q23" s="1488">
        <f t="shared" si="41"/>
        <v>8.6999999999999994E-3</v>
      </c>
      <c r="R23" s="1477"/>
      <c r="S23" s="1478"/>
      <c r="T23" s="1479"/>
      <c r="U23" s="1479"/>
      <c r="V23" s="1479"/>
      <c r="X23" s="1479"/>
      <c r="Y23" s="1479"/>
      <c r="Z23" s="1479"/>
    </row>
    <row r="24" spans="1:34">
      <c r="A24" s="1464" t="s">
        <v>1164</v>
      </c>
      <c r="B24" s="1480">
        <f t="shared" ref="B24:C26" si="53">B23/(1+N23)</f>
        <v>293.62663262299913</v>
      </c>
      <c r="C24" s="1480">
        <f t="shared" si="53"/>
        <v>247.83634933123525</v>
      </c>
      <c r="D24" s="1480">
        <f t="shared" si="44"/>
        <v>247.83634933123525</v>
      </c>
      <c r="E24" s="1480">
        <f t="shared" ref="E24:F26" si="54">E23/(1+P23)</f>
        <v>401.09836226341076</v>
      </c>
      <c r="F24" s="1480">
        <f t="shared" si="54"/>
        <v>225.04213343908003</v>
      </c>
      <c r="G24" s="3286"/>
      <c r="H24" s="1490">
        <v>3</v>
      </c>
      <c r="I24" s="1490">
        <v>1.86</v>
      </c>
      <c r="J24" s="1490">
        <v>1.72</v>
      </c>
      <c r="K24" s="1490">
        <v>1.98</v>
      </c>
      <c r="L24" s="1491">
        <v>0.88</v>
      </c>
      <c r="N24" s="1475">
        <f t="shared" si="46"/>
        <v>1.8600000000000002E-2</v>
      </c>
      <c r="O24" s="1492">
        <f t="shared" si="41"/>
        <v>1.72E-2</v>
      </c>
      <c r="P24" s="1492">
        <f t="shared" si="41"/>
        <v>1.9799999999999998E-2</v>
      </c>
      <c r="Q24" s="1492">
        <f t="shared" si="41"/>
        <v>8.8000000000000005E-3</v>
      </c>
      <c r="R24" s="1477"/>
      <c r="S24" s="1475"/>
      <c r="T24" s="1476"/>
      <c r="U24" s="1476"/>
      <c r="V24" s="1476"/>
    </row>
    <row r="25" spans="1:34">
      <c r="A25" s="1464" t="s">
        <v>1165</v>
      </c>
      <c r="B25" s="1480">
        <f t="shared" si="53"/>
        <v>288.2649053828776</v>
      </c>
      <c r="C25" s="1480">
        <f t="shared" si="53"/>
        <v>243.64564425013293</v>
      </c>
      <c r="D25" s="1480">
        <f t="shared" si="44"/>
        <v>243.64564425013293</v>
      </c>
      <c r="E25" s="1480">
        <f t="shared" si="54"/>
        <v>393.31080825986544</v>
      </c>
      <c r="F25" s="1480">
        <f t="shared" si="54"/>
        <v>223.07903790551154</v>
      </c>
      <c r="G25" s="3286"/>
      <c r="H25" s="1468">
        <v>2</v>
      </c>
      <c r="I25" s="1468">
        <v>2.04</v>
      </c>
      <c r="J25" s="1468">
        <v>2.33</v>
      </c>
      <c r="K25" s="1468">
        <v>2.0699999999999998</v>
      </c>
      <c r="L25" s="1482">
        <v>0.69</v>
      </c>
      <c r="N25" s="1475">
        <f t="shared" si="46"/>
        <v>2.0400000000000001E-2</v>
      </c>
      <c r="O25" s="1492">
        <f t="shared" si="41"/>
        <v>2.3300000000000001E-2</v>
      </c>
      <c r="P25" s="1492">
        <f t="shared" si="41"/>
        <v>2.07E-2</v>
      </c>
      <c r="Q25" s="1492">
        <f t="shared" si="41"/>
        <v>6.8999999999999999E-3</v>
      </c>
      <c r="R25" s="1477"/>
      <c r="S25" s="1475"/>
      <c r="T25" s="1476"/>
      <c r="U25" s="1476"/>
      <c r="V25" s="1476"/>
      <c r="X25" s="1511"/>
      <c r="Y25" s="1512"/>
    </row>
    <row r="26" spans="1:34">
      <c r="A26" s="1464" t="s">
        <v>1166</v>
      </c>
      <c r="B26" s="1480">
        <f t="shared" si="53"/>
        <v>282.50186729015837</v>
      </c>
      <c r="C26" s="1480">
        <f t="shared" si="53"/>
        <v>238.09796174155468</v>
      </c>
      <c r="D26" s="1480">
        <f t="shared" si="44"/>
        <v>238.09796174155468</v>
      </c>
      <c r="E26" s="1480">
        <f t="shared" si="54"/>
        <v>385.33438646014054</v>
      </c>
      <c r="F26" s="1480">
        <f t="shared" si="54"/>
        <v>221.55034055567739</v>
      </c>
      <c r="G26" s="3287"/>
      <c r="H26" s="1467">
        <v>1</v>
      </c>
      <c r="I26" s="1467">
        <v>1.67</v>
      </c>
      <c r="J26" s="1467">
        <v>1.31</v>
      </c>
      <c r="K26" s="1467">
        <v>1.85</v>
      </c>
      <c r="L26" s="1481">
        <v>0.96</v>
      </c>
      <c r="N26" s="1483">
        <f t="shared" si="46"/>
        <v>1.67E-2</v>
      </c>
      <c r="O26" s="1484">
        <f t="shared" si="46"/>
        <v>1.3100000000000001E-2</v>
      </c>
      <c r="P26" s="1484">
        <f t="shared" si="46"/>
        <v>1.8500000000000003E-2</v>
      </c>
      <c r="Q26" s="1484">
        <f t="shared" si="46"/>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4"/>
        <v>234</v>
      </c>
      <c r="E27" s="1514">
        <v>379</v>
      </c>
      <c r="F27" s="1515">
        <v>220</v>
      </c>
      <c r="G27" s="3280">
        <v>2012</v>
      </c>
      <c r="H27" s="1485">
        <v>4</v>
      </c>
      <c r="I27" s="1485">
        <v>0.91</v>
      </c>
      <c r="J27" s="1485">
        <v>0.68</v>
      </c>
      <c r="K27" s="1485">
        <v>0.98</v>
      </c>
      <c r="L27" s="1486">
        <v>0.9</v>
      </c>
      <c r="N27" s="1475">
        <f t="shared" si="46"/>
        <v>9.1000000000000004E-3</v>
      </c>
      <c r="O27" s="1476">
        <f t="shared" si="46"/>
        <v>6.8000000000000005E-3</v>
      </c>
      <c r="P27" s="1476">
        <f t="shared" si="46"/>
        <v>9.7999999999999997E-3</v>
      </c>
      <c r="Q27" s="1476">
        <f t="shared" si="46"/>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4"/>
        <v>232.41954707985698</v>
      </c>
      <c r="E28" s="1480">
        <f t="shared" ref="E28:F30" si="55">E27/(1+P27)</f>
        <v>375.32184591008121</v>
      </c>
      <c r="F28" s="1480">
        <f t="shared" si="55"/>
        <v>218.03766105054513</v>
      </c>
      <c r="G28" s="3281"/>
      <c r="H28" s="1490">
        <v>3</v>
      </c>
      <c r="I28" s="1490">
        <v>0.09</v>
      </c>
      <c r="J28" s="1490">
        <v>0.28999999999999998</v>
      </c>
      <c r="K28" s="1490">
        <v>-0.01</v>
      </c>
      <c r="L28" s="1491">
        <v>0.57999999999999996</v>
      </c>
      <c r="N28" s="1475">
        <f t="shared" si="46"/>
        <v>8.9999999999999998E-4</v>
      </c>
      <c r="O28" s="1476">
        <f t="shared" si="46"/>
        <v>2.8999999999999998E-3</v>
      </c>
      <c r="P28" s="1476">
        <f t="shared" si="46"/>
        <v>-1E-4</v>
      </c>
      <c r="Q28" s="1476">
        <f t="shared" si="46"/>
        <v>5.7999999999999996E-3</v>
      </c>
      <c r="R28" s="1477"/>
      <c r="S28" s="1475"/>
      <c r="T28" s="1476"/>
      <c r="U28" s="1476"/>
      <c r="V28" s="1476"/>
    </row>
    <row r="29" spans="1:34">
      <c r="A29" s="1464" t="s">
        <v>1169</v>
      </c>
      <c r="B29" s="1480">
        <f>B28/(1+N28)</f>
        <v>275.24529281292263</v>
      </c>
      <c r="C29" s="1480">
        <f>C28/(1+O28)</f>
        <v>231.74747938962707</v>
      </c>
      <c r="D29" s="1480">
        <f t="shared" si="44"/>
        <v>231.74747938962707</v>
      </c>
      <c r="E29" s="1480">
        <f t="shared" si="55"/>
        <v>375.35938184826603</v>
      </c>
      <c r="F29" s="1480">
        <f t="shared" si="55"/>
        <v>216.78033510692495</v>
      </c>
      <c r="G29" s="3281"/>
      <c r="H29" s="1468">
        <v>2</v>
      </c>
      <c r="I29" s="1468">
        <v>0.02</v>
      </c>
      <c r="J29" s="1468">
        <v>0.12</v>
      </c>
      <c r="K29" s="1468">
        <v>-0.08</v>
      </c>
      <c r="L29" s="1482">
        <v>1.24</v>
      </c>
      <c r="N29" s="1475">
        <f t="shared" si="46"/>
        <v>2.0000000000000001E-4</v>
      </c>
      <c r="O29" s="1476">
        <f t="shared" si="46"/>
        <v>1.1999999999999999E-3</v>
      </c>
      <c r="P29" s="1476">
        <f t="shared" si="46"/>
        <v>-8.0000000000000004E-4</v>
      </c>
      <c r="Q29" s="1476">
        <f t="shared" si="46"/>
        <v>1.24E-2</v>
      </c>
      <c r="R29" s="1477"/>
      <c r="S29" s="1475"/>
      <c r="T29" s="1476"/>
      <c r="U29" s="1476"/>
      <c r="V29" s="1476"/>
    </row>
    <row r="30" spans="1:34" ht="13.5" thickBot="1">
      <c r="A30" s="1464" t="s">
        <v>1170</v>
      </c>
      <c r="B30" s="1480">
        <f>B29/(1+N29)</f>
        <v>275.19025476197027</v>
      </c>
      <c r="C30" s="1516">
        <v>232</v>
      </c>
      <c r="D30" s="1516">
        <f t="shared" si="44"/>
        <v>232</v>
      </c>
      <c r="E30" s="1480">
        <f t="shared" si="55"/>
        <v>375.65990977608692</v>
      </c>
      <c r="F30" s="1480">
        <f t="shared" si="55"/>
        <v>214.12518283971252</v>
      </c>
      <c r="G30" s="3282"/>
      <c r="H30" s="1467">
        <v>1</v>
      </c>
      <c r="I30" s="1467">
        <v>0.02</v>
      </c>
      <c r="J30" s="1467">
        <v>0.13</v>
      </c>
      <c r="K30" s="1467">
        <v>-0.04</v>
      </c>
      <c r="L30" s="1481">
        <v>0.46</v>
      </c>
      <c r="N30" s="1475">
        <f t="shared" si="46"/>
        <v>2.0000000000000001E-4</v>
      </c>
      <c r="O30" s="1476">
        <f t="shared" si="46"/>
        <v>1.2999999999999999E-3</v>
      </c>
      <c r="P30" s="1476">
        <f t="shared" si="46"/>
        <v>-4.0000000000000002E-4</v>
      </c>
      <c r="Q30" s="1476">
        <f t="shared" si="46"/>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4"/>
        <v>232</v>
      </c>
      <c r="E31" s="1472">
        <v>376</v>
      </c>
      <c r="F31" s="1473">
        <v>213</v>
      </c>
      <c r="G31" s="3280">
        <v>2011</v>
      </c>
      <c r="H31" s="1485">
        <v>4</v>
      </c>
      <c r="I31" s="1485">
        <v>-0.2</v>
      </c>
      <c r="J31" s="1485">
        <v>0.04</v>
      </c>
      <c r="K31" s="1485">
        <v>-0.34</v>
      </c>
      <c r="L31" s="1486">
        <v>0.46</v>
      </c>
      <c r="N31" s="1487">
        <f t="shared" si="46"/>
        <v>-2E-3</v>
      </c>
      <c r="O31" s="1488">
        <f t="shared" si="46"/>
        <v>4.0000000000000002E-4</v>
      </c>
      <c r="P31" s="1488">
        <f t="shared" si="46"/>
        <v>-3.4000000000000002E-3</v>
      </c>
      <c r="Q31" s="1488">
        <f t="shared" si="46"/>
        <v>4.5999999999999999E-3</v>
      </c>
      <c r="R31" s="1477"/>
      <c r="S31" s="1478"/>
      <c r="T31" s="1479"/>
      <c r="U31" s="1479"/>
      <c r="V31" s="1479"/>
      <c r="X31" s="1479"/>
      <c r="Y31" s="1479"/>
      <c r="Z31" s="1479"/>
    </row>
    <row r="32" spans="1:34">
      <c r="A32" s="1464" t="s">
        <v>1172</v>
      </c>
      <c r="B32" s="1480">
        <f t="shared" ref="B32:C34" si="56">B31/(1+N31)</f>
        <v>275.55110220440883</v>
      </c>
      <c r="C32" s="1480">
        <f t="shared" si="56"/>
        <v>231.90723710515795</v>
      </c>
      <c r="D32" s="1480">
        <f t="shared" si="44"/>
        <v>231.90723710515795</v>
      </c>
      <c r="E32" s="1480">
        <f t="shared" ref="E32:F34" si="57">E31/(1+P31)</f>
        <v>377.28276138872161</v>
      </c>
      <c r="F32" s="1480">
        <f t="shared" si="57"/>
        <v>212.02468644236512</v>
      </c>
      <c r="G32" s="3281">
        <v>2011</v>
      </c>
      <c r="H32" s="1490">
        <v>3</v>
      </c>
      <c r="I32" s="1490">
        <v>0.13</v>
      </c>
      <c r="J32" s="1490">
        <v>0.75</v>
      </c>
      <c r="K32" s="1490">
        <v>-0.08</v>
      </c>
      <c r="L32" s="1491">
        <v>0.53</v>
      </c>
      <c r="N32" s="1475">
        <f t="shared" si="46"/>
        <v>1.2999999999999999E-3</v>
      </c>
      <c r="O32" s="1492">
        <f t="shared" si="46"/>
        <v>7.4999999999999997E-3</v>
      </c>
      <c r="P32" s="1492">
        <f t="shared" si="46"/>
        <v>-8.0000000000000004E-4</v>
      </c>
      <c r="Q32" s="1492">
        <f t="shared" si="46"/>
        <v>5.3E-3</v>
      </c>
      <c r="R32" s="1477"/>
      <c r="S32" s="1475"/>
      <c r="T32" s="1476"/>
      <c r="U32" s="1476"/>
      <c r="V32" s="1476"/>
    </row>
    <row r="33" spans="1:26">
      <c r="A33" s="1464" t="s">
        <v>1173</v>
      </c>
      <c r="B33" s="1480">
        <f t="shared" si="56"/>
        <v>275.19335084830601</v>
      </c>
      <c r="C33" s="1480">
        <f t="shared" si="56"/>
        <v>230.18088050139744</v>
      </c>
      <c r="D33" s="1480">
        <f t="shared" si="44"/>
        <v>230.18088050139744</v>
      </c>
      <c r="E33" s="1480">
        <f t="shared" si="57"/>
        <v>377.58482925212331</v>
      </c>
      <c r="F33" s="1480">
        <f t="shared" si="57"/>
        <v>210.90687997847917</v>
      </c>
      <c r="G33" s="3281">
        <v>2011</v>
      </c>
      <c r="H33" s="1468">
        <v>2</v>
      </c>
      <c r="I33" s="1468">
        <v>-0.4</v>
      </c>
      <c r="J33" s="1468">
        <v>0.17</v>
      </c>
      <c r="K33" s="1468">
        <v>-0.57999999999999996</v>
      </c>
      <c r="L33" s="1482">
        <v>-0.2</v>
      </c>
      <c r="N33" s="1475">
        <f t="shared" si="46"/>
        <v>-4.0000000000000001E-3</v>
      </c>
      <c r="O33" s="1492">
        <f t="shared" si="46"/>
        <v>1.7000000000000001E-3</v>
      </c>
      <c r="P33" s="1492">
        <f t="shared" si="46"/>
        <v>-5.7999999999999996E-3</v>
      </c>
      <c r="Q33" s="1492">
        <f t="shared" si="46"/>
        <v>-2E-3</v>
      </c>
      <c r="R33" s="1477"/>
      <c r="S33" s="1475"/>
      <c r="T33" s="1476"/>
      <c r="U33" s="1476"/>
      <c r="V33" s="1476"/>
    </row>
    <row r="34" spans="1:26" ht="13.5" thickBot="1">
      <c r="A34" s="1464" t="s">
        <v>1174</v>
      </c>
      <c r="B34" s="1480">
        <f t="shared" si="56"/>
        <v>276.29854502841971</v>
      </c>
      <c r="C34" s="1480">
        <f t="shared" si="56"/>
        <v>229.79023709833027</v>
      </c>
      <c r="D34" s="1480">
        <f t="shared" si="44"/>
        <v>229.79023709833027</v>
      </c>
      <c r="E34" s="1480">
        <f t="shared" si="57"/>
        <v>379.78759731655936</v>
      </c>
      <c r="F34" s="1480">
        <f t="shared" si="57"/>
        <v>211.32953905659235</v>
      </c>
      <c r="G34" s="3282">
        <v>2011</v>
      </c>
      <c r="H34" s="1467">
        <v>1</v>
      </c>
      <c r="I34" s="1467">
        <v>2.65</v>
      </c>
      <c r="J34" s="1467">
        <v>3.76</v>
      </c>
      <c r="K34" s="1467">
        <v>1.89</v>
      </c>
      <c r="L34" s="1481">
        <v>7.95</v>
      </c>
      <c r="N34" s="1483">
        <f t="shared" si="46"/>
        <v>2.6499999999999999E-2</v>
      </c>
      <c r="O34" s="1484">
        <f t="shared" si="46"/>
        <v>3.7599999999999995E-2</v>
      </c>
      <c r="P34" s="1484">
        <f t="shared" si="46"/>
        <v>1.89E-2</v>
      </c>
      <c r="Q34" s="1484">
        <f t="shared" si="46"/>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4"/>
        <v>221</v>
      </c>
      <c r="E35" s="1472">
        <v>373</v>
      </c>
      <c r="F35" s="1473">
        <v>196</v>
      </c>
      <c r="G35" s="3280">
        <v>2010</v>
      </c>
      <c r="H35" s="1485">
        <v>4</v>
      </c>
      <c r="I35" s="1485">
        <v>5.72</v>
      </c>
      <c r="J35" s="1485">
        <v>6.57</v>
      </c>
      <c r="K35" s="1485">
        <v>5.72</v>
      </c>
      <c r="L35" s="1486">
        <v>2.72</v>
      </c>
      <c r="N35" s="1475">
        <f t="shared" si="46"/>
        <v>5.7200000000000001E-2</v>
      </c>
      <c r="O35" s="1476">
        <f t="shared" si="46"/>
        <v>6.5700000000000008E-2</v>
      </c>
      <c r="P35" s="1476">
        <f t="shared" si="46"/>
        <v>5.7200000000000001E-2</v>
      </c>
      <c r="Q35" s="1476">
        <f t="shared" si="46"/>
        <v>2.7200000000000002E-2</v>
      </c>
      <c r="R35" s="1477"/>
      <c r="S35" s="1478"/>
      <c r="T35" s="1479"/>
      <c r="U35" s="1479"/>
      <c r="V35" s="1479"/>
      <c r="X35" s="1479"/>
      <c r="Y35" s="1479"/>
      <c r="Z35" s="1479"/>
    </row>
    <row r="36" spans="1:26">
      <c r="A36" s="1464" t="s">
        <v>1176</v>
      </c>
      <c r="B36" s="1480">
        <f t="shared" ref="B36:C38" si="58">B35/(1+N35)</f>
        <v>254.44570563753314</v>
      </c>
      <c r="C36" s="1480">
        <f t="shared" si="58"/>
        <v>207.37543398705074</v>
      </c>
      <c r="D36" s="1480">
        <f t="shared" si="44"/>
        <v>207.37543398705074</v>
      </c>
      <c r="E36" s="1480">
        <f t="shared" ref="E36:F38" si="59">E35/(1+P35)</f>
        <v>352.81876655315932</v>
      </c>
      <c r="F36" s="1480">
        <f t="shared" si="59"/>
        <v>190.809968847352</v>
      </c>
      <c r="G36" s="3281">
        <v>2010</v>
      </c>
      <c r="H36" s="1490">
        <v>3</v>
      </c>
      <c r="I36" s="1490">
        <v>4.7300000000000004</v>
      </c>
      <c r="J36" s="1490">
        <v>3.9</v>
      </c>
      <c r="K36" s="1490">
        <v>5.03</v>
      </c>
      <c r="L36" s="1491">
        <v>4.21</v>
      </c>
      <c r="N36" s="1475">
        <f t="shared" si="46"/>
        <v>4.7300000000000002E-2</v>
      </c>
      <c r="O36" s="1476">
        <f t="shared" si="46"/>
        <v>3.9E-2</v>
      </c>
      <c r="P36" s="1476">
        <f t="shared" si="46"/>
        <v>5.0300000000000004E-2</v>
      </c>
      <c r="Q36" s="1476">
        <f t="shared" si="46"/>
        <v>4.2099999999999999E-2</v>
      </c>
      <c r="R36" s="1477"/>
      <c r="S36" s="1475"/>
      <c r="T36" s="1476"/>
      <c r="U36" s="1476"/>
      <c r="V36" s="1476"/>
    </row>
    <row r="37" spans="1:26">
      <c r="A37" s="1464" t="s">
        <v>1177</v>
      </c>
      <c r="B37" s="1480">
        <f t="shared" si="58"/>
        <v>242.95398227588385</v>
      </c>
      <c r="C37" s="1480">
        <f t="shared" si="58"/>
        <v>199.59137053614126</v>
      </c>
      <c r="D37" s="1480">
        <f t="shared" si="44"/>
        <v>199.59137053614126</v>
      </c>
      <c r="E37" s="1480">
        <f t="shared" si="59"/>
        <v>335.92189522342125</v>
      </c>
      <c r="F37" s="1480">
        <f t="shared" si="59"/>
        <v>183.10139991109489</v>
      </c>
      <c r="G37" s="3281">
        <v>2010</v>
      </c>
      <c r="H37" s="1468">
        <v>2</v>
      </c>
      <c r="I37" s="1468">
        <v>4.6900000000000004</v>
      </c>
      <c r="J37" s="1468">
        <v>3.55</v>
      </c>
      <c r="K37" s="1468">
        <v>5.07</v>
      </c>
      <c r="L37" s="1482">
        <v>4.2300000000000004</v>
      </c>
      <c r="N37" s="1475">
        <f t="shared" si="46"/>
        <v>4.6900000000000004E-2</v>
      </c>
      <c r="O37" s="1476">
        <f t="shared" si="46"/>
        <v>3.5499999999999997E-2</v>
      </c>
      <c r="P37" s="1476">
        <f t="shared" si="46"/>
        <v>5.0700000000000002E-2</v>
      </c>
      <c r="Q37" s="1476">
        <f t="shared" si="46"/>
        <v>4.2300000000000004E-2</v>
      </c>
      <c r="R37" s="1477"/>
      <c r="S37" s="1475"/>
      <c r="T37" s="1476"/>
      <c r="U37" s="1476"/>
      <c r="V37" s="1476"/>
    </row>
    <row r="38" spans="1:26" ht="13.5" thickBot="1">
      <c r="A38" s="1464" t="s">
        <v>1178</v>
      </c>
      <c r="B38" s="1480">
        <f t="shared" si="58"/>
        <v>232.06990378821649</v>
      </c>
      <c r="C38" s="1480">
        <f t="shared" si="58"/>
        <v>192.74878854286936</v>
      </c>
      <c r="D38" s="1480">
        <f t="shared" si="44"/>
        <v>192.74878854286936</v>
      </c>
      <c r="E38" s="1480">
        <f t="shared" si="59"/>
        <v>319.71247284992984</v>
      </c>
      <c r="F38" s="1480">
        <f t="shared" si="59"/>
        <v>175.67053622862409</v>
      </c>
      <c r="G38" s="3282">
        <v>2010</v>
      </c>
      <c r="H38" s="1467">
        <v>1</v>
      </c>
      <c r="I38" s="1467">
        <v>5.4</v>
      </c>
      <c r="J38" s="1467">
        <v>3.2</v>
      </c>
      <c r="K38" s="1467">
        <v>6.16</v>
      </c>
      <c r="L38" s="1481">
        <v>4.51</v>
      </c>
      <c r="N38" s="1475">
        <f t="shared" si="46"/>
        <v>5.4000000000000006E-2</v>
      </c>
      <c r="O38" s="1476">
        <f t="shared" si="46"/>
        <v>3.2000000000000001E-2</v>
      </c>
      <c r="P38" s="1476">
        <f t="shared" si="46"/>
        <v>6.1600000000000002E-2</v>
      </c>
      <c r="Q38" s="1476">
        <f t="shared" si="46"/>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4"/>
        <v>187</v>
      </c>
      <c r="E39" s="1472">
        <v>301</v>
      </c>
      <c r="F39" s="1473">
        <v>168</v>
      </c>
      <c r="G39" s="3280">
        <v>2009</v>
      </c>
      <c r="H39" s="1485">
        <v>4</v>
      </c>
      <c r="I39" s="1485">
        <v>2.2999999999999998</v>
      </c>
      <c r="J39" s="1485">
        <v>1.04</v>
      </c>
      <c r="K39" s="1485">
        <v>2.84</v>
      </c>
      <c r="L39" s="1486">
        <v>0.67</v>
      </c>
      <c r="N39" s="1487">
        <f t="shared" si="46"/>
        <v>2.3E-2</v>
      </c>
      <c r="O39" s="1488">
        <f t="shared" si="46"/>
        <v>1.04E-2</v>
      </c>
      <c r="P39" s="1488">
        <f t="shared" si="46"/>
        <v>2.8399999999999998E-2</v>
      </c>
      <c r="Q39" s="1488">
        <f t="shared" si="46"/>
        <v>6.7000000000000002E-3</v>
      </c>
      <c r="R39" s="1477"/>
      <c r="S39" s="1478"/>
      <c r="T39" s="1479"/>
      <c r="U39" s="1479"/>
      <c r="V39" s="1479"/>
      <c r="X39" s="1479"/>
      <c r="Y39" s="1479"/>
      <c r="Z39" s="1479"/>
    </row>
    <row r="40" spans="1:26">
      <c r="A40" s="1464" t="s">
        <v>1180</v>
      </c>
      <c r="B40" s="1480">
        <f t="shared" ref="B40:C42" si="60">B39/(1+N39)</f>
        <v>215.05376344086022</v>
      </c>
      <c r="C40" s="1480">
        <f t="shared" si="60"/>
        <v>185.0752177355503</v>
      </c>
      <c r="D40" s="1480">
        <f t="shared" si="44"/>
        <v>185.0752177355503</v>
      </c>
      <c r="E40" s="1480">
        <f t="shared" ref="E40:F42" si="61">E39/(1+P39)</f>
        <v>292.68767016725008</v>
      </c>
      <c r="F40" s="1480">
        <f t="shared" si="61"/>
        <v>166.88189132810174</v>
      </c>
      <c r="G40" s="3281">
        <v>2009</v>
      </c>
      <c r="H40" s="1490">
        <v>3</v>
      </c>
      <c r="I40" s="1490">
        <v>2.1</v>
      </c>
      <c r="J40" s="1490">
        <v>1.86</v>
      </c>
      <c r="K40" s="1490">
        <v>2.29</v>
      </c>
      <c r="L40" s="1491">
        <v>0.85</v>
      </c>
      <c r="N40" s="1475">
        <f t="shared" si="46"/>
        <v>2.1000000000000001E-2</v>
      </c>
      <c r="O40" s="1492">
        <f t="shared" si="46"/>
        <v>1.8600000000000002E-2</v>
      </c>
      <c r="P40" s="1492">
        <f t="shared" si="46"/>
        <v>2.29E-2</v>
      </c>
      <c r="Q40" s="1492">
        <f t="shared" si="46"/>
        <v>8.5000000000000006E-3</v>
      </c>
      <c r="R40" s="1477"/>
      <c r="S40" s="1475"/>
      <c r="T40" s="1476"/>
      <c r="U40" s="1476"/>
      <c r="V40" s="1476"/>
    </row>
    <row r="41" spans="1:26">
      <c r="A41" s="1464" t="s">
        <v>1181</v>
      </c>
      <c r="B41" s="1480">
        <f t="shared" si="60"/>
        <v>210.630522469011</v>
      </c>
      <c r="C41" s="1480">
        <f t="shared" si="60"/>
        <v>181.69567812247232</v>
      </c>
      <c r="D41" s="1480">
        <f t="shared" si="44"/>
        <v>181.69567812247232</v>
      </c>
      <c r="E41" s="1480">
        <f t="shared" si="61"/>
        <v>286.13517466736738</v>
      </c>
      <c r="F41" s="1480">
        <f t="shared" si="61"/>
        <v>165.47535084591149</v>
      </c>
      <c r="G41" s="3281">
        <v>2009</v>
      </c>
      <c r="H41" s="1468">
        <v>2</v>
      </c>
      <c r="I41" s="1468">
        <v>0.86</v>
      </c>
      <c r="J41" s="1468">
        <v>-1.1299999999999999</v>
      </c>
      <c r="K41" s="1468">
        <v>1.79</v>
      </c>
      <c r="L41" s="1482">
        <v>-2.0699999999999998</v>
      </c>
      <c r="N41" s="1475">
        <f t="shared" si="46"/>
        <v>8.6E-3</v>
      </c>
      <c r="O41" s="1492">
        <f t="shared" si="46"/>
        <v>-1.1299999999999999E-2</v>
      </c>
      <c r="P41" s="1492">
        <f t="shared" si="46"/>
        <v>1.7899999999999999E-2</v>
      </c>
      <c r="Q41" s="1492">
        <f t="shared" si="46"/>
        <v>-2.07E-2</v>
      </c>
      <c r="R41" s="1477"/>
      <c r="S41" s="1475"/>
      <c r="T41" s="1476"/>
      <c r="U41" s="1476"/>
      <c r="V41" s="1476"/>
    </row>
    <row r="42" spans="1:26">
      <c r="A42" s="1464" t="s">
        <v>1182</v>
      </c>
      <c r="B42" s="1480">
        <f t="shared" si="60"/>
        <v>208.83454537875372</v>
      </c>
      <c r="C42" s="1480">
        <f t="shared" si="60"/>
        <v>183.77230517090351</v>
      </c>
      <c r="D42" s="1480">
        <f t="shared" si="44"/>
        <v>183.77230517090351</v>
      </c>
      <c r="E42" s="1480">
        <f t="shared" si="61"/>
        <v>281.10342338870947</v>
      </c>
      <c r="F42" s="1480">
        <f t="shared" si="61"/>
        <v>168.97309388942256</v>
      </c>
      <c r="G42" s="3282">
        <v>2009</v>
      </c>
      <c r="H42" s="1467">
        <v>1</v>
      </c>
      <c r="I42" s="1467">
        <v>-2.64</v>
      </c>
      <c r="J42" s="1467">
        <v>-2.5299999999999998</v>
      </c>
      <c r="K42" s="1467">
        <v>-3.02</v>
      </c>
      <c r="L42" s="1481">
        <v>1.52</v>
      </c>
      <c r="N42" s="1483">
        <f t="shared" si="46"/>
        <v>-2.64E-2</v>
      </c>
      <c r="O42" s="1484">
        <f t="shared" si="46"/>
        <v>-2.53E-2</v>
      </c>
      <c r="P42" s="1484">
        <f t="shared" si="46"/>
        <v>-3.0200000000000001E-2</v>
      </c>
      <c r="Q42" s="1484">
        <f t="shared" si="46"/>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4"/>
        <v>188</v>
      </c>
      <c r="E43" s="1514">
        <v>289</v>
      </c>
      <c r="F43" s="1515">
        <v>166</v>
      </c>
      <c r="G43" s="3280">
        <v>2008</v>
      </c>
      <c r="H43" s="1485">
        <v>4</v>
      </c>
      <c r="I43" s="1485">
        <v>1.73</v>
      </c>
      <c r="J43" s="1485">
        <v>0.03</v>
      </c>
      <c r="K43" s="1485">
        <v>2.59</v>
      </c>
      <c r="L43" s="1486">
        <v>-1.66</v>
      </c>
      <c r="N43" s="1475">
        <f t="shared" si="46"/>
        <v>1.7299999999999999E-2</v>
      </c>
      <c r="O43" s="1476">
        <f t="shared" si="46"/>
        <v>2.9999999999999997E-4</v>
      </c>
      <c r="P43" s="1476">
        <f t="shared" si="46"/>
        <v>2.5899999999999999E-2</v>
      </c>
      <c r="Q43" s="1476">
        <f t="shared" si="46"/>
        <v>-1.66E-2</v>
      </c>
      <c r="R43" s="1477"/>
      <c r="S43" s="1478"/>
      <c r="T43" s="1479"/>
      <c r="U43" s="1479"/>
      <c r="V43" s="1479"/>
      <c r="X43" s="1479"/>
      <c r="Y43" s="1479"/>
      <c r="Z43" s="1479"/>
    </row>
    <row r="44" spans="1:26">
      <c r="A44" s="1464" t="s">
        <v>1184</v>
      </c>
      <c r="B44" s="1480">
        <f t="shared" ref="B44:C46" si="62">B43/(1+N43)</f>
        <v>210.36075887152265</v>
      </c>
      <c r="C44" s="1480">
        <f t="shared" si="62"/>
        <v>187.94361691492554</v>
      </c>
      <c r="D44" s="1480">
        <f t="shared" si="44"/>
        <v>187.94361691492554</v>
      </c>
      <c r="E44" s="1480">
        <f t="shared" ref="E44:F46" si="63">E43/(1+P43)</f>
        <v>281.70386977288234</v>
      </c>
      <c r="F44" s="1480">
        <f t="shared" si="63"/>
        <v>168.80211511083994</v>
      </c>
      <c r="G44" s="3281">
        <v>2008</v>
      </c>
      <c r="H44" s="1490">
        <v>3</v>
      </c>
      <c r="I44" s="1490">
        <v>1.96</v>
      </c>
      <c r="J44" s="1490">
        <v>2.36</v>
      </c>
      <c r="K44" s="1490">
        <v>1.82</v>
      </c>
      <c r="L44" s="1491">
        <v>2.2200000000000002</v>
      </c>
      <c r="N44" s="1475">
        <f t="shared" si="46"/>
        <v>1.9599999999999999E-2</v>
      </c>
      <c r="O44" s="1476">
        <f t="shared" si="46"/>
        <v>2.3599999999999999E-2</v>
      </c>
      <c r="P44" s="1476">
        <f t="shared" si="46"/>
        <v>1.8200000000000001E-2</v>
      </c>
      <c r="Q44" s="1476">
        <f t="shared" si="46"/>
        <v>2.2200000000000001E-2</v>
      </c>
      <c r="R44" s="1477"/>
      <c r="S44" s="1475"/>
      <c r="T44" s="1476"/>
      <c r="U44" s="1476"/>
      <c r="V44" s="1476"/>
    </row>
    <row r="45" spans="1:26">
      <c r="A45" s="1464" t="s">
        <v>1185</v>
      </c>
      <c r="B45" s="1480">
        <f t="shared" si="62"/>
        <v>206.31694671589116</v>
      </c>
      <c r="C45" s="1480">
        <f t="shared" si="62"/>
        <v>183.61041121036101</v>
      </c>
      <c r="D45" s="1480">
        <f t="shared" si="44"/>
        <v>183.61041121036101</v>
      </c>
      <c r="E45" s="1480">
        <f t="shared" si="63"/>
        <v>276.66850301795557</v>
      </c>
      <c r="F45" s="1480">
        <f t="shared" si="63"/>
        <v>165.1360938278614</v>
      </c>
      <c r="G45" s="3281">
        <v>2008</v>
      </c>
      <c r="H45" s="1468">
        <v>2</v>
      </c>
      <c r="I45" s="1468">
        <v>4.93</v>
      </c>
      <c r="J45" s="1468">
        <v>7.38</v>
      </c>
      <c r="K45" s="1468">
        <v>3.98</v>
      </c>
      <c r="L45" s="1482">
        <v>6.86</v>
      </c>
      <c r="N45" s="1475">
        <f t="shared" si="46"/>
        <v>4.9299999999999997E-2</v>
      </c>
      <c r="O45" s="1476">
        <f t="shared" si="46"/>
        <v>7.3800000000000004E-2</v>
      </c>
      <c r="P45" s="1476">
        <f t="shared" si="46"/>
        <v>3.9800000000000002E-2</v>
      </c>
      <c r="Q45" s="1476">
        <f t="shared" si="46"/>
        <v>6.8600000000000008E-2</v>
      </c>
      <c r="R45" s="1477"/>
      <c r="S45" s="1475"/>
      <c r="T45" s="1476"/>
      <c r="U45" s="1476"/>
      <c r="V45" s="1476"/>
    </row>
    <row r="46" spans="1:26" s="1520" customFormat="1" ht="13.5" thickBot="1">
      <c r="A46" s="1464" t="s">
        <v>1186</v>
      </c>
      <c r="B46" s="1517">
        <f t="shared" si="62"/>
        <v>196.62341248059772</v>
      </c>
      <c r="C46" s="1517">
        <f t="shared" si="62"/>
        <v>170.99125648199012</v>
      </c>
      <c r="D46" s="1517">
        <f t="shared" si="44"/>
        <v>170.99125648199012</v>
      </c>
      <c r="E46" s="1517">
        <f t="shared" si="63"/>
        <v>266.07857570490052</v>
      </c>
      <c r="F46" s="1517">
        <f t="shared" si="63"/>
        <v>154.53499328828505</v>
      </c>
      <c r="G46" s="3282">
        <v>2008</v>
      </c>
      <c r="H46" s="1518">
        <v>1</v>
      </c>
      <c r="I46" s="1518">
        <v>4.1399999999999997</v>
      </c>
      <c r="J46" s="1518">
        <v>3.45</v>
      </c>
      <c r="K46" s="1518">
        <v>4.95</v>
      </c>
      <c r="L46" s="1519">
        <v>4.82</v>
      </c>
      <c r="N46" s="1521">
        <f t="shared" si="46"/>
        <v>4.1399999999999999E-2</v>
      </c>
      <c r="O46" s="1522">
        <f t="shared" si="46"/>
        <v>3.4500000000000003E-2</v>
      </c>
      <c r="P46" s="1522">
        <f t="shared" si="46"/>
        <v>4.9500000000000002E-2</v>
      </c>
      <c r="Q46" s="1522">
        <f t="shared" si="46"/>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4"/>
        <v>165</v>
      </c>
      <c r="E47" s="1472">
        <v>254</v>
      </c>
      <c r="F47" s="1473">
        <v>148</v>
      </c>
      <c r="G47" s="3280">
        <v>2007</v>
      </c>
      <c r="H47" s="1525">
        <v>4</v>
      </c>
      <c r="I47" s="1525">
        <v>5.51</v>
      </c>
      <c r="J47" s="1525">
        <v>4.8899999999999997</v>
      </c>
      <c r="K47" s="1525">
        <v>6.43</v>
      </c>
      <c r="L47" s="1526">
        <v>5.36</v>
      </c>
      <c r="N47" s="1527">
        <f t="shared" ref="N47:O50" si="64">B47/B48-1</f>
        <v>4.1339718365245526E-2</v>
      </c>
      <c r="O47" s="1528">
        <f t="shared" si="64"/>
        <v>4.0324492593776018E-2</v>
      </c>
      <c r="P47" s="1528">
        <f t="shared" ref="P47:Q50" si="65">E47/E48-1</f>
        <v>6.1625555347990968E-2</v>
      </c>
      <c r="Q47" s="1528">
        <f t="shared" si="65"/>
        <v>4.6757569250590603E-2</v>
      </c>
      <c r="R47" s="1477"/>
      <c r="S47" s="1478"/>
      <c r="T47" s="1479"/>
      <c r="U47" s="1479"/>
      <c r="V47" s="1479"/>
      <c r="X47" s="1479"/>
      <c r="Y47" s="1479"/>
      <c r="Z47" s="1479"/>
    </row>
    <row r="48" spans="1:26">
      <c r="A48" s="1464" t="s">
        <v>1188</v>
      </c>
      <c r="B48" s="1480">
        <f t="shared" ref="B48:C50" si="66">B49+(B$47-B$51)*I48/SUM(I$47:I$50)</f>
        <v>180.5366651097618</v>
      </c>
      <c r="C48" s="1480">
        <f t="shared" si="66"/>
        <v>158.60435967302453</v>
      </c>
      <c r="D48" s="1480">
        <f t="shared" si="44"/>
        <v>158.60435967302453</v>
      </c>
      <c r="E48" s="1480">
        <f t="shared" ref="E48:F50" si="67">E49+(E$47-E$51)*K48/SUM(K$47:K$50)</f>
        <v>239.25573260785075</v>
      </c>
      <c r="F48" s="1480">
        <f t="shared" si="67"/>
        <v>141.38899430740037</v>
      </c>
      <c r="G48" s="3281">
        <v>2007</v>
      </c>
      <c r="H48" s="1490">
        <v>3</v>
      </c>
      <c r="I48" s="1490">
        <v>8.65</v>
      </c>
      <c r="J48" s="1490">
        <v>8.06</v>
      </c>
      <c r="K48" s="1490">
        <v>9.94</v>
      </c>
      <c r="L48" s="1491">
        <v>5.8</v>
      </c>
      <c r="N48" s="1527">
        <f t="shared" si="64"/>
        <v>6.940217571740015E-2</v>
      </c>
      <c r="O48" s="1528">
        <f t="shared" si="64"/>
        <v>7.1197482471153428E-2</v>
      </c>
      <c r="P48" s="1528">
        <f t="shared" si="65"/>
        <v>0.10529679922579582</v>
      </c>
      <c r="Q48" s="1528">
        <f t="shared" si="65"/>
        <v>5.3292245059512133E-2</v>
      </c>
      <c r="R48" s="1477"/>
      <c r="S48" s="1475"/>
      <c r="T48" s="1476"/>
      <c r="U48" s="1476"/>
      <c r="V48" s="1476"/>
      <c r="X48" s="1529"/>
      <c r="Y48" s="1529"/>
      <c r="Z48" s="1529"/>
    </row>
    <row r="49" spans="1:26">
      <c r="A49" s="1464" t="s">
        <v>1189</v>
      </c>
      <c r="B49" s="1480">
        <f t="shared" si="66"/>
        <v>168.82017748715555</v>
      </c>
      <c r="C49" s="1480">
        <f t="shared" si="66"/>
        <v>148.06267029972753</v>
      </c>
      <c r="D49" s="1480">
        <f t="shared" si="44"/>
        <v>148.06267029972753</v>
      </c>
      <c r="E49" s="1480">
        <f t="shared" si="67"/>
        <v>216.46288379323747</v>
      </c>
      <c r="F49" s="1480">
        <f t="shared" si="67"/>
        <v>134.23529411764704</v>
      </c>
      <c r="G49" s="3281">
        <v>2007</v>
      </c>
      <c r="H49" s="1468">
        <v>2</v>
      </c>
      <c r="I49" s="1468">
        <v>3.67</v>
      </c>
      <c r="J49" s="1468">
        <v>2.3199999999999998</v>
      </c>
      <c r="K49" s="1468">
        <v>5.0199999999999996</v>
      </c>
      <c r="L49" s="1482">
        <v>6.71</v>
      </c>
      <c r="N49" s="1527">
        <f t="shared" si="64"/>
        <v>3.0339138143848032E-2</v>
      </c>
      <c r="O49" s="1528">
        <f t="shared" si="64"/>
        <v>2.0922341588790472E-2</v>
      </c>
      <c r="P49" s="1528">
        <f t="shared" si="65"/>
        <v>5.6164796592717003E-2</v>
      </c>
      <c r="Q49" s="1528">
        <f t="shared" si="65"/>
        <v>6.5704536723887319E-2</v>
      </c>
      <c r="R49" s="1477"/>
      <c r="S49" s="1475"/>
      <c r="T49" s="1476"/>
      <c r="U49" s="1476"/>
      <c r="V49" s="1476"/>
      <c r="X49" s="1529"/>
      <c r="Y49" s="1529"/>
      <c r="Z49" s="1529"/>
    </row>
    <row r="50" spans="1:26">
      <c r="A50" s="1464" t="s">
        <v>1190</v>
      </c>
      <c r="B50" s="1480">
        <f t="shared" si="66"/>
        <v>163.84913591779542</v>
      </c>
      <c r="C50" s="1480">
        <f t="shared" si="66"/>
        <v>145.0283378746594</v>
      </c>
      <c r="D50" s="1480">
        <f t="shared" si="44"/>
        <v>145.0283378746594</v>
      </c>
      <c r="E50" s="1480">
        <f t="shared" si="67"/>
        <v>204.95180722891567</v>
      </c>
      <c r="F50" s="1480">
        <f t="shared" si="67"/>
        <v>125.95920303605313</v>
      </c>
      <c r="G50" s="3282">
        <v>2007</v>
      </c>
      <c r="H50" s="1467">
        <v>1</v>
      </c>
      <c r="I50" s="1467">
        <v>3.58</v>
      </c>
      <c r="J50" s="1467">
        <v>3.08</v>
      </c>
      <c r="K50" s="1467">
        <v>4.34</v>
      </c>
      <c r="L50" s="1481">
        <v>3.21</v>
      </c>
      <c r="N50" s="1530">
        <f t="shared" si="64"/>
        <v>3.0497710174814063E-2</v>
      </c>
      <c r="O50" s="1531">
        <f t="shared" si="64"/>
        <v>2.8569772160704998E-2</v>
      </c>
      <c r="P50" s="1531">
        <f t="shared" si="65"/>
        <v>5.1034908866234296E-2</v>
      </c>
      <c r="Q50" s="1531">
        <f t="shared" si="65"/>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4"/>
        <v>141</v>
      </c>
      <c r="E51" s="1493">
        <v>195</v>
      </c>
      <c r="F51" s="1494">
        <v>122</v>
      </c>
      <c r="G51" s="3280">
        <v>2006</v>
      </c>
      <c r="H51" s="1485">
        <v>4</v>
      </c>
      <c r="I51" s="1485">
        <v>3.79</v>
      </c>
      <c r="J51" s="1485">
        <v>2.21</v>
      </c>
      <c r="K51" s="1485">
        <v>5.65</v>
      </c>
      <c r="L51" s="1486">
        <v>5.41</v>
      </c>
      <c r="N51" s="1527">
        <f t="shared" ref="N51:O54" si="68">I51/SUM(I$51:I$54)*(B$51/B$55-1)</f>
        <v>7.245466462748526E-2</v>
      </c>
      <c r="O51" s="1528">
        <f t="shared" si="68"/>
        <v>2.3237230038062766E-2</v>
      </c>
      <c r="P51" s="1528">
        <f t="shared" ref="P51:Q54" si="69">K51/SUM(K$51:K$54)*(E$51/E$55-1)</f>
        <v>0.16146893866323722</v>
      </c>
      <c r="Q51" s="1528">
        <f t="shared" si="69"/>
        <v>5.0755230321793784E-2</v>
      </c>
      <c r="R51" s="1477"/>
      <c r="S51" s="1478"/>
      <c r="T51" s="1479"/>
      <c r="U51" s="1479"/>
      <c r="V51" s="1479"/>
      <c r="X51" s="1529"/>
      <c r="Y51" s="1529"/>
      <c r="Z51" s="1529"/>
    </row>
    <row r="52" spans="1:26">
      <c r="A52" s="1464" t="s">
        <v>1192</v>
      </c>
      <c r="B52" s="1480">
        <f t="shared" ref="B52:C54" si="70">B53+(B$51-B$55)*I52/SUM(I$51:I$54)</f>
        <v>149.00125628140702</v>
      </c>
      <c r="C52" s="1480">
        <f t="shared" si="70"/>
        <v>137.95592286501378</v>
      </c>
      <c r="D52" s="1480">
        <f t="shared" si="44"/>
        <v>137.95592286501378</v>
      </c>
      <c r="E52" s="1480">
        <f t="shared" ref="E52:F54" si="71">E53+(E$51-E$55)*K52/SUM(K$51:K$54)</f>
        <v>169.97231450719823</v>
      </c>
      <c r="F52" s="1480">
        <f t="shared" si="71"/>
        <v>116.21390374331551</v>
      </c>
      <c r="G52" s="3281">
        <v>2006</v>
      </c>
      <c r="H52" s="1490">
        <v>3</v>
      </c>
      <c r="I52" s="1490">
        <v>0.92</v>
      </c>
      <c r="J52" s="1490">
        <v>1.08</v>
      </c>
      <c r="K52" s="1490">
        <v>0.73</v>
      </c>
      <c r="L52" s="1491">
        <v>1.08</v>
      </c>
      <c r="N52" s="1527">
        <f t="shared" si="68"/>
        <v>1.7587939698492462E-2</v>
      </c>
      <c r="O52" s="1528">
        <f t="shared" si="68"/>
        <v>1.1355750425840628E-2</v>
      </c>
      <c r="P52" s="1528">
        <f t="shared" si="69"/>
        <v>2.0862358446754544E-2</v>
      </c>
      <c r="Q52" s="1528">
        <f t="shared" si="69"/>
        <v>1.0132282578103011E-2</v>
      </c>
      <c r="R52" s="1477"/>
      <c r="S52" s="1475"/>
      <c r="T52" s="1476"/>
      <c r="U52" s="1476"/>
      <c r="V52" s="1476"/>
      <c r="X52" s="1529"/>
      <c r="Y52" s="1529"/>
      <c r="Z52" s="1529"/>
    </row>
    <row r="53" spans="1:26">
      <c r="A53" s="1464" t="s">
        <v>1193</v>
      </c>
      <c r="B53" s="1480">
        <f t="shared" si="70"/>
        <v>146.57412060301507</v>
      </c>
      <c r="C53" s="1480">
        <f t="shared" si="70"/>
        <v>136.46831955922866</v>
      </c>
      <c r="D53" s="1480">
        <f t="shared" si="44"/>
        <v>136.46831955922866</v>
      </c>
      <c r="E53" s="1480">
        <f t="shared" si="71"/>
        <v>166.73864894795128</v>
      </c>
      <c r="F53" s="1480">
        <f t="shared" si="71"/>
        <v>115.05882352941177</v>
      </c>
      <c r="G53" s="3281">
        <v>2006</v>
      </c>
      <c r="H53" s="1468">
        <v>2</v>
      </c>
      <c r="I53" s="1468">
        <v>0.96</v>
      </c>
      <c r="J53" s="1468">
        <v>0.25</v>
      </c>
      <c r="K53" s="1468">
        <v>1.9</v>
      </c>
      <c r="L53" s="1482">
        <v>0.95</v>
      </c>
      <c r="N53" s="1527">
        <f t="shared" si="68"/>
        <v>1.8352632728861701E-2</v>
      </c>
      <c r="O53" s="1528">
        <f t="shared" si="68"/>
        <v>2.6286459319075526E-3</v>
      </c>
      <c r="P53" s="1528">
        <f t="shared" si="69"/>
        <v>5.4299289107991269E-2</v>
      </c>
      <c r="Q53" s="1528">
        <f t="shared" si="69"/>
        <v>8.9126559714794995E-3</v>
      </c>
      <c r="R53" s="1477"/>
      <c r="S53" s="1475"/>
      <c r="T53" s="1476"/>
      <c r="U53" s="1476"/>
      <c r="V53" s="1476"/>
      <c r="X53" s="1529"/>
      <c r="Y53" s="1529"/>
      <c r="Z53" s="1529"/>
    </row>
    <row r="54" spans="1:26">
      <c r="A54" s="1464" t="s">
        <v>1194</v>
      </c>
      <c r="B54" s="1480">
        <f t="shared" si="70"/>
        <v>144.04145728643215</v>
      </c>
      <c r="C54" s="1480">
        <f t="shared" si="70"/>
        <v>136.12396694214877</v>
      </c>
      <c r="D54" s="1480">
        <f t="shared" si="44"/>
        <v>136.12396694214877</v>
      </c>
      <c r="E54" s="1480">
        <f t="shared" si="71"/>
        <v>158.32225913621264</v>
      </c>
      <c r="F54" s="1480">
        <f t="shared" si="71"/>
        <v>114.04278074866311</v>
      </c>
      <c r="G54" s="3282">
        <v>2006</v>
      </c>
      <c r="H54" s="1467">
        <v>1</v>
      </c>
      <c r="I54" s="1467">
        <v>2.29</v>
      </c>
      <c r="J54" s="1467">
        <v>3.72</v>
      </c>
      <c r="K54" s="1467">
        <v>0.75</v>
      </c>
      <c r="L54" s="1481">
        <v>0.04</v>
      </c>
      <c r="N54" s="1530">
        <f t="shared" si="68"/>
        <v>4.3778675988638847E-2</v>
      </c>
      <c r="O54" s="1531">
        <f t="shared" si="68"/>
        <v>3.9114251466784385E-2</v>
      </c>
      <c r="P54" s="1531">
        <f t="shared" si="69"/>
        <v>2.1433929911049188E-2</v>
      </c>
      <c r="Q54" s="1531">
        <f t="shared" si="69"/>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4"/>
        <v>131</v>
      </c>
      <c r="E55" s="1493">
        <v>155</v>
      </c>
      <c r="F55" s="1494">
        <v>114</v>
      </c>
      <c r="G55" s="3280">
        <v>2005</v>
      </c>
      <c r="H55" s="1485">
        <v>4</v>
      </c>
      <c r="I55" s="1485">
        <v>3.29</v>
      </c>
      <c r="J55" s="1485">
        <v>1.44</v>
      </c>
      <c r="K55" s="1485">
        <v>0.66</v>
      </c>
      <c r="L55" s="1486">
        <v>7.78</v>
      </c>
      <c r="N55" s="1527">
        <f t="shared" ref="N55:O58" si="72">I55/SUM(I$55:I$58)*(B$55/B$59-1)</f>
        <v>9.9404603216919935E-2</v>
      </c>
      <c r="O55" s="1528">
        <f t="shared" si="72"/>
        <v>4.7636550760861554E-2</v>
      </c>
      <c r="P55" s="1528">
        <f t="shared" ref="P55:Q58" si="73">K55/SUM(K$55:K$58)*(E$55/E$59-1)</f>
        <v>8.3756345177664976E-2</v>
      </c>
      <c r="Q55" s="1528">
        <f t="shared" si="73"/>
        <v>5.2148766661559584E-2</v>
      </c>
      <c r="R55" s="1477"/>
      <c r="S55" s="1478"/>
      <c r="T55" s="1479"/>
      <c r="U55" s="1479"/>
      <c r="V55" s="1479"/>
      <c r="X55" s="1529"/>
      <c r="Y55" s="1529"/>
      <c r="Z55" s="1529"/>
    </row>
    <row r="56" spans="1:26">
      <c r="A56" s="1464" t="s">
        <v>1196</v>
      </c>
      <c r="B56" s="1480">
        <f t="shared" ref="B56:C58" si="74">B57+(B$55-B$59)*I56/SUM(I$55:I$58)</f>
        <v>125.9720430107527</v>
      </c>
      <c r="C56" s="1480">
        <f t="shared" si="74"/>
        <v>125.1883408071749</v>
      </c>
      <c r="D56" s="1480">
        <f t="shared" si="44"/>
        <v>125.1883408071749</v>
      </c>
      <c r="E56" s="1480">
        <f t="shared" ref="E56:F58" si="75">E57+(E$55-E$59)*K56/SUM(K$55:K$58)</f>
        <v>144.61421319796952</v>
      </c>
      <c r="F56" s="1480">
        <f t="shared" si="75"/>
        <v>108.42008196721311</v>
      </c>
      <c r="G56" s="3281">
        <v>2005</v>
      </c>
      <c r="H56" s="1490">
        <v>3</v>
      </c>
      <c r="I56" s="1490">
        <v>0.46</v>
      </c>
      <c r="J56" s="1490">
        <v>0.32</v>
      </c>
      <c r="K56" s="1490">
        <v>0.42</v>
      </c>
      <c r="L56" s="1491">
        <v>0.64</v>
      </c>
      <c r="N56" s="1527">
        <f t="shared" si="72"/>
        <v>1.3898515951301874E-2</v>
      </c>
      <c r="O56" s="1528">
        <f t="shared" si="72"/>
        <v>1.0585900169080346E-2</v>
      </c>
      <c r="P56" s="1528">
        <f t="shared" si="73"/>
        <v>5.3299492385786795E-2</v>
      </c>
      <c r="Q56" s="1528">
        <f t="shared" si="73"/>
        <v>4.2898728359123568E-3</v>
      </c>
      <c r="R56" s="1477"/>
      <c r="S56" s="1475"/>
      <c r="T56" s="1476"/>
      <c r="U56" s="1476"/>
      <c r="V56" s="1476"/>
      <c r="X56" s="1529"/>
      <c r="Y56" s="1529"/>
      <c r="Z56" s="1529"/>
    </row>
    <row r="57" spans="1:26">
      <c r="A57" s="1464" t="s">
        <v>1197</v>
      </c>
      <c r="B57" s="1480">
        <f t="shared" si="74"/>
        <v>124.29032258064517</v>
      </c>
      <c r="C57" s="1480">
        <f t="shared" si="74"/>
        <v>123.8968609865471</v>
      </c>
      <c r="D57" s="1480">
        <f t="shared" si="44"/>
        <v>123.8968609865471</v>
      </c>
      <c r="E57" s="1480">
        <f t="shared" si="75"/>
        <v>138.00507614213197</v>
      </c>
      <c r="F57" s="1480">
        <f t="shared" si="75"/>
        <v>107.96106557377048</v>
      </c>
      <c r="G57" s="3281">
        <v>2005</v>
      </c>
      <c r="H57" s="1468">
        <v>2</v>
      </c>
      <c r="I57" s="1468">
        <v>0.47</v>
      </c>
      <c r="J57" s="1468">
        <v>0.1</v>
      </c>
      <c r="K57" s="1468">
        <v>0.52</v>
      </c>
      <c r="L57" s="1482">
        <v>0.79</v>
      </c>
      <c r="N57" s="1527">
        <f t="shared" si="72"/>
        <v>1.420065760241713E-2</v>
      </c>
      <c r="O57" s="1528">
        <f t="shared" si="72"/>
        <v>3.3080938028376083E-3</v>
      </c>
      <c r="P57" s="1528">
        <f t="shared" si="73"/>
        <v>6.598984771573603E-2</v>
      </c>
      <c r="Q57" s="1528">
        <f t="shared" si="73"/>
        <v>5.2953117818293153E-3</v>
      </c>
      <c r="R57" s="1477"/>
      <c r="S57" s="1475"/>
      <c r="T57" s="1476"/>
      <c r="U57" s="1476"/>
      <c r="V57" s="1476"/>
      <c r="X57" s="1529"/>
      <c r="Y57" s="1529"/>
      <c r="Z57" s="1529"/>
    </row>
    <row r="58" spans="1:26">
      <c r="A58" s="1464" t="s">
        <v>1198</v>
      </c>
      <c r="B58" s="1480">
        <f t="shared" si="74"/>
        <v>122.57204301075269</v>
      </c>
      <c r="C58" s="1480">
        <f t="shared" si="74"/>
        <v>123.4932735426009</v>
      </c>
      <c r="D58" s="1480">
        <f t="shared" si="44"/>
        <v>123.4932735426009</v>
      </c>
      <c r="E58" s="1480">
        <f t="shared" si="75"/>
        <v>129.82233502538071</v>
      </c>
      <c r="F58" s="1480">
        <f t="shared" si="75"/>
        <v>107.39446721311475</v>
      </c>
      <c r="G58" s="3282">
        <v>2005</v>
      </c>
      <c r="H58" s="1467">
        <v>1</v>
      </c>
      <c r="I58" s="1467">
        <v>0.43</v>
      </c>
      <c r="J58" s="1467">
        <v>0.37</v>
      </c>
      <c r="K58" s="1467">
        <v>0.37</v>
      </c>
      <c r="L58" s="1481">
        <v>0.55000000000000004</v>
      </c>
      <c r="N58" s="1530">
        <f t="shared" si="72"/>
        <v>1.2992090997956099E-2</v>
      </c>
      <c r="O58" s="1531">
        <f t="shared" si="72"/>
        <v>1.2239947070499151E-2</v>
      </c>
      <c r="P58" s="1531">
        <f t="shared" si="73"/>
        <v>4.6954314720812178E-2</v>
      </c>
      <c r="Q58" s="1531">
        <f t="shared" si="73"/>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4"/>
        <v>122</v>
      </c>
      <c r="E59" s="1514">
        <v>124</v>
      </c>
      <c r="F59" s="1515">
        <v>107</v>
      </c>
      <c r="G59" s="3280">
        <v>2004</v>
      </c>
      <c r="H59" s="1485">
        <v>4</v>
      </c>
      <c r="I59" s="1485">
        <v>0.33</v>
      </c>
      <c r="J59" s="1485">
        <v>0.5</v>
      </c>
      <c r="K59" s="1485">
        <v>0.5</v>
      </c>
      <c r="L59" s="1486">
        <v>0</v>
      </c>
      <c r="N59" s="1527">
        <f t="shared" ref="N59:O62" si="76">I59/SUM(I$59:I$62)*(B$59/B$63-1)</f>
        <v>1.3391770148526898E-2</v>
      </c>
      <c r="O59" s="1528">
        <f t="shared" si="76"/>
        <v>1.063264221158958E-2</v>
      </c>
      <c r="P59" s="1528">
        <f t="shared" ref="P59:Q62" si="77">K59/SUM(K$59:K$62)*(E$59/E$63-1)</f>
        <v>2.2244466688911134E-2</v>
      </c>
      <c r="Q59" s="1528">
        <f t="shared" si="77"/>
        <v>0</v>
      </c>
      <c r="R59" s="1477"/>
      <c r="S59" s="1478"/>
      <c r="T59" s="1479"/>
      <c r="U59" s="1479"/>
      <c r="V59" s="1479"/>
      <c r="X59" s="1529"/>
      <c r="Y59" s="1529"/>
      <c r="Z59" s="1529"/>
    </row>
    <row r="60" spans="1:26">
      <c r="A60" s="1464" t="s">
        <v>1200</v>
      </c>
      <c r="B60" s="1480">
        <f t="shared" ref="B60:C62" si="78">B61+(B$59-B$63)*I60/SUM(I$59:I$62)</f>
        <v>119.51351351351352</v>
      </c>
      <c r="C60" s="1480">
        <f t="shared" si="78"/>
        <v>120.7878787878788</v>
      </c>
      <c r="D60" s="1480">
        <f t="shared" si="44"/>
        <v>120.7878787878788</v>
      </c>
      <c r="E60" s="1480">
        <f t="shared" ref="E60:F62" si="79">E61+(E$59-E$63)*K60/SUM(K$59:K$62)</f>
        <v>121.5975975975976</v>
      </c>
      <c r="F60" s="1480">
        <f t="shared" si="79"/>
        <v>107</v>
      </c>
      <c r="G60" s="3281">
        <v>2004</v>
      </c>
      <c r="H60" s="1490">
        <v>3</v>
      </c>
      <c r="I60" s="1490">
        <v>0.56000000000000005</v>
      </c>
      <c r="J60" s="1490">
        <v>0.8</v>
      </c>
      <c r="K60" s="1490">
        <v>0.83</v>
      </c>
      <c r="L60" s="1491">
        <v>0.06</v>
      </c>
      <c r="N60" s="1527">
        <f t="shared" si="76"/>
        <v>2.2725428130833527E-2</v>
      </c>
      <c r="O60" s="1528">
        <f t="shared" si="76"/>
        <v>1.7012227538543329E-2</v>
      </c>
      <c r="P60" s="1528">
        <f t="shared" si="77"/>
        <v>3.6925814703592477E-2</v>
      </c>
      <c r="Q60" s="1528">
        <f t="shared" si="77"/>
        <v>2.8846153846153744E-2</v>
      </c>
      <c r="R60" s="1477"/>
      <c r="S60" s="1475"/>
      <c r="T60" s="1476"/>
      <c r="U60" s="1476"/>
      <c r="V60" s="1476"/>
      <c r="X60" s="1529"/>
      <c r="Y60" s="1529"/>
      <c r="Z60" s="1529"/>
    </row>
    <row r="61" spans="1:26">
      <c r="A61" s="1464" t="s">
        <v>1201</v>
      </c>
      <c r="B61" s="1480">
        <f t="shared" si="78"/>
        <v>116.99099099099099</v>
      </c>
      <c r="C61" s="1480">
        <f t="shared" si="78"/>
        <v>118.84848484848486</v>
      </c>
      <c r="D61" s="1480">
        <f t="shared" si="44"/>
        <v>118.84848484848486</v>
      </c>
      <c r="E61" s="1480">
        <f t="shared" si="79"/>
        <v>117.60960960960961</v>
      </c>
      <c r="F61" s="1480">
        <f t="shared" si="79"/>
        <v>104</v>
      </c>
      <c r="G61" s="3281">
        <v>2004</v>
      </c>
      <c r="H61" s="1468">
        <v>2</v>
      </c>
      <c r="I61" s="1468">
        <v>1</v>
      </c>
      <c r="J61" s="1468">
        <v>1.5</v>
      </c>
      <c r="K61" s="1468">
        <v>1.5</v>
      </c>
      <c r="L61" s="1482">
        <v>0</v>
      </c>
      <c r="N61" s="1527">
        <f t="shared" si="76"/>
        <v>4.0581121662202721E-2</v>
      </c>
      <c r="O61" s="1528">
        <f t="shared" si="76"/>
        <v>3.1897926634768738E-2</v>
      </c>
      <c r="P61" s="1528">
        <f t="shared" si="77"/>
        <v>6.6733400066733395E-2</v>
      </c>
      <c r="Q61" s="1528">
        <f t="shared" si="77"/>
        <v>0</v>
      </c>
      <c r="R61" s="1477"/>
      <c r="S61" s="1475"/>
      <c r="T61" s="1476"/>
      <c r="U61" s="1476"/>
      <c r="V61" s="1476"/>
      <c r="X61" s="1529"/>
      <c r="Y61" s="1529"/>
      <c r="Z61" s="1529"/>
    </row>
    <row r="62" spans="1:26" s="1520" customFormat="1" ht="13.5" thickBot="1">
      <c r="A62" s="1464" t="s">
        <v>1202</v>
      </c>
      <c r="B62" s="1517">
        <f t="shared" si="78"/>
        <v>112.48648648648648</v>
      </c>
      <c r="C62" s="1517">
        <f t="shared" si="78"/>
        <v>115.21212121212122</v>
      </c>
      <c r="D62" s="1517">
        <f t="shared" si="44"/>
        <v>115.21212121212122</v>
      </c>
      <c r="E62" s="1517">
        <f t="shared" si="79"/>
        <v>110.4024024024024</v>
      </c>
      <c r="F62" s="1517">
        <f t="shared" si="79"/>
        <v>104</v>
      </c>
      <c r="G62" s="3282">
        <v>2004</v>
      </c>
      <c r="H62" s="1518">
        <v>1</v>
      </c>
      <c r="I62" s="1518">
        <v>0.33</v>
      </c>
      <c r="J62" s="1518">
        <v>0.5</v>
      </c>
      <c r="K62" s="1518">
        <v>0.5</v>
      </c>
      <c r="L62" s="1519">
        <v>0</v>
      </c>
      <c r="N62" s="1532">
        <f t="shared" si="76"/>
        <v>1.3391770148526898E-2</v>
      </c>
      <c r="O62" s="1533">
        <f t="shared" si="76"/>
        <v>1.063264221158958E-2</v>
      </c>
      <c r="P62" s="1533">
        <f t="shared" si="77"/>
        <v>2.2244466688911134E-2</v>
      </c>
      <c r="Q62" s="1533">
        <f t="shared" si="77"/>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4"/>
        <v>114</v>
      </c>
      <c r="E63" s="1535">
        <v>108</v>
      </c>
      <c r="F63" s="1536">
        <v>104</v>
      </c>
      <c r="G63" s="3280">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0">B65+(B$63-B$67)/4</f>
        <v>109.75</v>
      </c>
      <c r="C64" s="1539">
        <f t="shared" si="80"/>
        <v>112.25</v>
      </c>
      <c r="D64" s="1539">
        <f t="shared" si="44"/>
        <v>112.25</v>
      </c>
      <c r="E64" s="1539">
        <f t="shared" ref="E64:F66" si="81">E65+(E$63-E$67)/4</f>
        <v>107.25</v>
      </c>
      <c r="F64" s="1539">
        <f t="shared" si="81"/>
        <v>103.5</v>
      </c>
      <c r="G64" s="3281">
        <v>2003</v>
      </c>
      <c r="H64" s="1490">
        <v>3</v>
      </c>
      <c r="I64" s="1537"/>
      <c r="J64" s="1537"/>
      <c r="K64" s="1537"/>
      <c r="L64" s="1537"/>
      <c r="X64" s="1529"/>
      <c r="Y64" s="1529"/>
      <c r="Z64" s="1529"/>
    </row>
    <row r="65" spans="1:26">
      <c r="A65" s="1464" t="s">
        <v>1205</v>
      </c>
      <c r="B65" s="1539">
        <f t="shared" si="80"/>
        <v>108.5</v>
      </c>
      <c r="C65" s="1539">
        <f t="shared" si="80"/>
        <v>110.5</v>
      </c>
      <c r="D65" s="1539">
        <f t="shared" si="44"/>
        <v>110.5</v>
      </c>
      <c r="E65" s="1539">
        <f t="shared" si="81"/>
        <v>106.5</v>
      </c>
      <c r="F65" s="1539">
        <f t="shared" si="81"/>
        <v>103</v>
      </c>
      <c r="G65" s="3281">
        <v>2003</v>
      </c>
      <c r="H65" s="1468">
        <v>2</v>
      </c>
      <c r="I65" s="1537"/>
      <c r="J65" s="1537"/>
      <c r="K65" s="1537"/>
      <c r="L65" s="1537"/>
      <c r="X65" s="1529"/>
      <c r="Y65" s="1529"/>
      <c r="Z65" s="1529"/>
    </row>
    <row r="66" spans="1:26" ht="13.5" thickBot="1">
      <c r="A66" s="1464" t="s">
        <v>1206</v>
      </c>
      <c r="B66" s="1539">
        <f t="shared" si="80"/>
        <v>107.25</v>
      </c>
      <c r="C66" s="1539">
        <f t="shared" si="80"/>
        <v>108.75</v>
      </c>
      <c r="D66" s="1539">
        <f t="shared" si="44"/>
        <v>108.75</v>
      </c>
      <c r="E66" s="1539">
        <f t="shared" si="81"/>
        <v>105.75</v>
      </c>
      <c r="F66" s="1539">
        <f t="shared" si="81"/>
        <v>102.5</v>
      </c>
      <c r="G66" s="3282">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4"/>
        <v>107</v>
      </c>
      <c r="E67" s="1541">
        <v>105</v>
      </c>
      <c r="F67" s="1542">
        <v>102</v>
      </c>
      <c r="G67" s="3280">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2">B69+(B$67-B$71)/4</f>
        <v>105</v>
      </c>
      <c r="C68" s="1539">
        <f t="shared" si="82"/>
        <v>106</v>
      </c>
      <c r="D68" s="1539">
        <f t="shared" si="44"/>
        <v>106</v>
      </c>
      <c r="E68" s="1539">
        <f t="shared" ref="E68:F70" si="83">E69+(E$67-E$71)/4</f>
        <v>104.5</v>
      </c>
      <c r="F68" s="1539">
        <f t="shared" si="83"/>
        <v>101.5</v>
      </c>
      <c r="G68" s="3281">
        <v>2002</v>
      </c>
      <c r="H68" s="1490">
        <v>3</v>
      </c>
      <c r="I68" s="1537"/>
      <c r="J68" s="1537"/>
      <c r="K68" s="1537"/>
      <c r="L68" s="1537"/>
      <c r="X68" s="1529"/>
      <c r="Y68" s="1529"/>
      <c r="Z68" s="1529"/>
    </row>
    <row r="69" spans="1:26">
      <c r="A69" s="1464" t="s">
        <v>1209</v>
      </c>
      <c r="B69" s="1539">
        <f t="shared" si="82"/>
        <v>104</v>
      </c>
      <c r="C69" s="1539">
        <f t="shared" si="82"/>
        <v>105</v>
      </c>
      <c r="D69" s="1539">
        <f t="shared" si="44"/>
        <v>105</v>
      </c>
      <c r="E69" s="1539">
        <f t="shared" si="83"/>
        <v>104</v>
      </c>
      <c r="F69" s="1539">
        <f t="shared" si="83"/>
        <v>101</v>
      </c>
      <c r="G69" s="3281">
        <v>2002</v>
      </c>
      <c r="H69" s="1468">
        <v>2</v>
      </c>
      <c r="I69" s="1537"/>
      <c r="J69" s="1537"/>
      <c r="K69" s="1537"/>
      <c r="L69" s="1537"/>
      <c r="X69" s="1529"/>
      <c r="Y69" s="1529"/>
      <c r="Z69" s="1529"/>
    </row>
    <row r="70" spans="1:26" s="1501" customFormat="1" ht="13.5" thickBot="1">
      <c r="A70" s="1497" t="s">
        <v>1210</v>
      </c>
      <c r="B70" s="1543">
        <f t="shared" si="82"/>
        <v>103</v>
      </c>
      <c r="C70" s="1543">
        <f t="shared" si="82"/>
        <v>104</v>
      </c>
      <c r="D70" s="1543">
        <f t="shared" si="44"/>
        <v>104</v>
      </c>
      <c r="E70" s="1543">
        <f t="shared" si="83"/>
        <v>103.5</v>
      </c>
      <c r="F70" s="1543">
        <f t="shared" si="83"/>
        <v>100.5</v>
      </c>
      <c r="G70" s="3282">
        <v>2002</v>
      </c>
      <c r="H70" s="1544">
        <v>1</v>
      </c>
      <c r="I70" s="1545"/>
      <c r="J70" s="1545"/>
      <c r="K70" s="1545"/>
      <c r="L70" s="1545"/>
      <c r="N70" s="1546"/>
      <c r="S70" s="1546"/>
      <c r="X70" s="1547"/>
      <c r="Y70" s="1547"/>
      <c r="Z70" s="1547"/>
    </row>
    <row r="71" spans="1:26" ht="13.5" thickBot="1">
      <c r="B71" s="1548">
        <v>102</v>
      </c>
      <c r="C71" s="1549">
        <v>103</v>
      </c>
      <c r="D71" s="1549">
        <f t="shared" si="44"/>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2990</v>
      </c>
      <c r="C1" s="3289" t="s">
        <v>2991</v>
      </c>
      <c r="D1" s="3290"/>
      <c r="E1" s="3290"/>
      <c r="F1" s="3290"/>
      <c r="G1" s="3290"/>
      <c r="H1" s="3290"/>
      <c r="I1" s="3290"/>
      <c r="J1" s="3290"/>
      <c r="K1" s="3290"/>
      <c r="L1" s="3290"/>
      <c r="M1" s="3290"/>
      <c r="N1" s="3290"/>
      <c r="O1" s="3290"/>
      <c r="P1" s="3290"/>
      <c r="Q1" s="3290"/>
      <c r="R1" s="3290"/>
      <c r="S1" s="3291"/>
      <c r="T1" s="1207" t="s">
        <v>2992</v>
      </c>
    </row>
    <row r="2" spans="1:45" s="707" customFormat="1">
      <c r="A2" s="1208"/>
      <c r="B2" s="703" t="s">
        <v>2993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2994</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2995</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2996</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2997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2998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2999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3000</v>
      </c>
      <c r="B17" s="2919" t="s">
        <v>3001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3002</v>
      </c>
      <c r="E19" s="1794"/>
      <c r="F19" s="1794"/>
      <c r="G19" s="1794"/>
      <c r="H19" s="1283"/>
      <c r="I19" s="168"/>
      <c r="J19" s="168"/>
      <c r="K19" s="168"/>
      <c r="L19" s="168"/>
      <c r="M19" s="168"/>
      <c r="N19" s="168"/>
      <c r="O19" s="168"/>
      <c r="P19" s="168"/>
      <c r="Q19" s="168"/>
      <c r="R19" s="788"/>
      <c r="S19" s="138"/>
    </row>
    <row r="20" spans="1:45" ht="16.5" thickBot="1">
      <c r="A20" s="715" t="s">
        <v>3003</v>
      </c>
      <c r="B20" s="338" t="e">
        <f ca="1">IF(D20="——",S22,S22-F20)</f>
        <v>#REF!</v>
      </c>
      <c r="C20" s="168"/>
      <c r="D20" s="2921" t="s">
        <v>3004</v>
      </c>
      <c r="E20" s="1795"/>
      <c r="F20" s="1207" t="e">
        <f ca="1">SUMIF(INDIRECT("'"&amp;H20&amp;"'"&amp;"!A:A"),"承租人权益价值",INDIRECT("'"&amp;H20&amp;"'"&amp;"!c:c"))</f>
        <v>#REF!</v>
      </c>
      <c r="G20" s="1207" t="s">
        <v>3005</v>
      </c>
      <c r="H20" s="2922"/>
      <c r="I20" s="168"/>
      <c r="J20" s="168"/>
      <c r="K20" s="168"/>
      <c r="L20" s="168"/>
      <c r="M20" s="168"/>
      <c r="N20" s="168"/>
      <c r="O20" s="168"/>
      <c r="P20" s="168"/>
      <c r="Q20" s="168"/>
      <c r="R20" s="788"/>
      <c r="S20" s="138"/>
    </row>
    <row r="21" spans="1:45" ht="15.75">
      <c r="A21" s="715" t="s">
        <v>3006</v>
      </c>
      <c r="B21" s="338">
        <f>R22</f>
        <v>10000</v>
      </c>
      <c r="C21" s="168"/>
      <c r="D21" s="168"/>
      <c r="E21" s="168"/>
      <c r="F21" s="168"/>
      <c r="G21" s="168"/>
      <c r="H21" s="168"/>
      <c r="I21" s="168"/>
      <c r="J21" s="168"/>
      <c r="K21" s="168"/>
      <c r="L21" s="168"/>
      <c r="M21" s="168"/>
      <c r="N21" s="168"/>
      <c r="O21" s="168"/>
      <c r="P21" s="168"/>
      <c r="Q21" s="168"/>
      <c r="R21" s="788"/>
      <c r="S21" s="138"/>
    </row>
    <row r="22" spans="1:45">
      <c r="A22" s="361" t="s">
        <v>3007</v>
      </c>
      <c r="B22" s="24">
        <f>SUM(B24:B10000)</f>
        <v>100</v>
      </c>
      <c r="C22" s="3067" t="s">
        <v>33</v>
      </c>
      <c r="D22" s="3068"/>
      <c r="E22" s="3068"/>
      <c r="F22" s="3068"/>
      <c r="G22" s="3068"/>
      <c r="H22" s="3068"/>
      <c r="I22" s="3068"/>
      <c r="J22" s="3068"/>
      <c r="K22" s="3068"/>
      <c r="L22" s="3068"/>
      <c r="M22" s="3068"/>
      <c r="N22" s="3068"/>
      <c r="O22" s="3068"/>
      <c r="P22" s="3068"/>
      <c r="Q22" s="3288"/>
      <c r="R22" s="716">
        <f>ROUND(S22*10000/B22,0)</f>
        <v>10000</v>
      </c>
      <c r="S22" s="24">
        <f>SUM(S24:S10000)</f>
        <v>100</v>
      </c>
    </row>
    <row r="23" spans="1:45" s="12" customFormat="1" ht="24">
      <c r="A23" s="11" t="s">
        <v>3008</v>
      </c>
      <c r="B23" s="11" t="s">
        <v>3009</v>
      </c>
      <c r="C23" s="11" t="s">
        <v>3010</v>
      </c>
      <c r="D23" s="11" t="str">
        <f>B5</f>
        <v>修正项2</v>
      </c>
      <c r="E23" s="11" t="s">
        <v>3010</v>
      </c>
      <c r="F23" s="11" t="str">
        <f>B7</f>
        <v>修正项3</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17" t="s">
        <v>3011</v>
      </c>
      <c r="S23" s="11" t="s">
        <v>3012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135667</v>
      </c>
      <c r="C2" s="2" t="s">
        <v>133</v>
      </c>
      <c r="D2" s="243"/>
      <c r="E2" s="243"/>
      <c r="F2" s="243"/>
      <c r="G2" s="243"/>
    </row>
    <row r="3" spans="1:7" s="244" customFormat="1" ht="18" customHeight="1" thickBot="1">
      <c r="A3" s="247" t="s">
        <v>85</v>
      </c>
      <c r="B3" s="248">
        <f ca="1">ROUND(B2*10000/'数据-汇总表'!E3,0)</f>
        <v>6431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150</v>
      </c>
      <c r="F9" s="265"/>
      <c r="G9" s="270"/>
    </row>
    <row r="10" spans="1:7" s="258" customFormat="1" ht="13.5" customHeight="1">
      <c r="A10" s="953" t="s">
        <v>801</v>
      </c>
      <c r="B10" s="268" t="s">
        <v>94</v>
      </c>
      <c r="C10" s="269">
        <f>ROUND(D10*E10/10000,0)</f>
        <v>4008</v>
      </c>
      <c r="D10" s="1035">
        <f>'数据-汇总表'!E6</f>
        <v>210956.06</v>
      </c>
      <c r="E10" s="269">
        <f>'数据-取费表'!B28</f>
        <v>190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4219</v>
      </c>
      <c r="D19" s="1039">
        <f>'数据-汇总表'!E3</f>
        <v>210956.06</v>
      </c>
      <c r="E19" s="255">
        <f>'数据-取费表'!B31</f>
        <v>200</v>
      </c>
      <c r="F19" s="275"/>
      <c r="G19" s="1" t="s">
        <v>1074</v>
      </c>
    </row>
    <row r="20" spans="1:7" s="258" customFormat="1" ht="13.5" customHeight="1">
      <c r="A20" s="951" t="s">
        <v>1057</v>
      </c>
      <c r="B20" s="254" t="s">
        <v>104</v>
      </c>
      <c r="C20" s="276">
        <f>ROUND((C5+C19)*F20,0)</f>
        <v>497</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2438</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410</v>
      </c>
      <c r="D24" s="282"/>
      <c r="E24" s="282"/>
      <c r="F24" s="283"/>
      <c r="G24" s="284" t="s">
        <v>109</v>
      </c>
    </row>
    <row r="25" spans="1:7" s="258" customFormat="1" ht="24">
      <c r="A25" s="954" t="s">
        <v>793</v>
      </c>
      <c r="B25" s="259" t="s">
        <v>1058</v>
      </c>
      <c r="C25" s="1358">
        <f ca="1">ROUND(IF('数据-取费表'!B22&lt;=1,C20*F22*'数据-取费表'!B23/2,C20*(POWER((1+F22),'数据-取费表'!B23/2)-1)),0)</f>
        <v>24</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4305</v>
      </c>
      <c r="D27" s="279">
        <f>C29</f>
        <v>3.3999999999999998E-3</v>
      </c>
      <c r="E27" s="280" t="s">
        <v>126</v>
      </c>
      <c r="F27" s="290">
        <f>'数据-取费表'!Q16</f>
        <v>0.17</v>
      </c>
      <c r="G27" s="291" t="s">
        <v>1069</v>
      </c>
    </row>
    <row r="28" spans="1:7" s="258" customFormat="1" ht="13.5" customHeight="1">
      <c r="A28" s="954" t="s">
        <v>794</v>
      </c>
      <c r="B28" s="292" t="s">
        <v>1062</v>
      </c>
      <c r="C28" s="293">
        <f>ROUND((C5+C19+C20)*F27*'数据-取费表'!B21/'数据-取费表'!B20,0)</f>
        <v>4305</v>
      </c>
      <c r="D28" s="279"/>
      <c r="E28" s="280"/>
      <c r="F28" s="290"/>
      <c r="G28" s="291"/>
    </row>
    <row r="29" spans="1:7" s="258" customFormat="1" ht="13.5" customHeight="1">
      <c r="A29" s="954" t="s">
        <v>792</v>
      </c>
      <c r="B29" s="292" t="s">
        <v>1063</v>
      </c>
      <c r="C29" s="282">
        <f>ROUND(C21*F27*'数据-取费表'!B21/'数据-取费表'!B20,4)</f>
        <v>3.3999999999999998E-3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34736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78983</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71545</v>
      </c>
      <c r="D34" s="261"/>
      <c r="E34" s="264"/>
      <c r="F34" s="301">
        <f>IF('数据-取费表'!B24=0,1,'数据-取费表'!N16)</f>
        <v>1</v>
      </c>
      <c r="G34" s="263" t="s">
        <v>116</v>
      </c>
    </row>
    <row r="35" spans="1:7" ht="13.5" customHeight="1">
      <c r="A35" s="954" t="s">
        <v>796</v>
      </c>
      <c r="B35" s="259" t="s">
        <v>60</v>
      </c>
      <c r="C35" s="264">
        <f>ROUND(C34*F35,0)</f>
        <v>2146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4219</v>
      </c>
      <c r="D37" s="261">
        <f>'数据-汇总表'!E3</f>
        <v>210956.06</v>
      </c>
      <c r="E37" s="293">
        <f>'数据-取费表'!B35</f>
        <v>200</v>
      </c>
      <c r="F37" s="303"/>
      <c r="G37" s="305" t="s">
        <v>119</v>
      </c>
    </row>
    <row r="38" spans="1:7" ht="13.5" customHeight="1">
      <c r="A38" s="954" t="s">
        <v>799</v>
      </c>
      <c r="B38" s="259" t="s">
        <v>63</v>
      </c>
      <c r="C38" s="264">
        <f>ROUND(C34*F38,0)</f>
        <v>1073</v>
      </c>
      <c r="D38" s="264"/>
      <c r="E38" s="264"/>
      <c r="F38" s="303">
        <f>'数据-取费表'!B36</f>
        <v>1.4999999999999999E-2</v>
      </c>
      <c r="G38" s="263" t="s">
        <v>117</v>
      </c>
    </row>
    <row r="39" spans="1:7" s="258" customFormat="1" ht="13.5" customHeight="1">
      <c r="A39" s="951" t="s">
        <v>783</v>
      </c>
      <c r="B39" s="254" t="s">
        <v>104</v>
      </c>
      <c r="C39" s="276">
        <f>ROUND(C33*F20,0)</f>
        <v>1580</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3827</v>
      </c>
      <c r="D41" s="279">
        <f ca="1">C44</f>
        <v>1E-3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3752</v>
      </c>
      <c r="D42" s="282"/>
      <c r="E42" s="282"/>
      <c r="F42" s="283"/>
      <c r="G42" s="3152" t="s">
        <v>121</v>
      </c>
    </row>
    <row r="43" spans="1:7" ht="13.5" customHeight="1">
      <c r="A43" s="954" t="s">
        <v>792</v>
      </c>
      <c r="B43" s="259" t="s">
        <v>1064</v>
      </c>
      <c r="C43" s="282">
        <f ca="1">ROUND(IF('数据-取费表'!B22&lt;=1,C39*F22*'数据-取费表'!B21/2,C39*(POWER((1+F22),'数据-取费表'!B21/2)-1)),0)</f>
        <v>75</v>
      </c>
      <c r="D43" s="282"/>
      <c r="E43" s="282"/>
      <c r="F43" s="283"/>
      <c r="G43" s="3153"/>
    </row>
    <row r="44" spans="1:7" ht="13.5" customHeight="1">
      <c r="A44" s="954" t="s">
        <v>793</v>
      </c>
      <c r="B44" s="259" t="s">
        <v>1066</v>
      </c>
      <c r="C44" s="282">
        <f ca="1">ROUND(IF('数据-取费表'!B22&lt;=1,C40*F22*'数据-取费表'!B21/2,C40*(POWER((1+F22),'数据-取费表'!B21/2)-1)),4)</f>
        <v>1E-3</v>
      </c>
      <c r="D44" s="282"/>
      <c r="E44" s="282"/>
      <c r="F44" s="283"/>
      <c r="G44" s="3154"/>
    </row>
    <row r="45" spans="1:7" s="258" customFormat="1" ht="13.5" customHeight="1">
      <c r="A45" s="951" t="s">
        <v>786</v>
      </c>
      <c r="B45" s="288" t="s">
        <v>112</v>
      </c>
      <c r="C45" s="289">
        <f>C46</f>
        <v>13696</v>
      </c>
      <c r="D45" s="279">
        <f>C47</f>
        <v>3.3999999999999998E-3</v>
      </c>
      <c r="E45" s="280" t="s">
        <v>129</v>
      </c>
      <c r="F45" s="290"/>
      <c r="G45" s="291" t="s">
        <v>1072</v>
      </c>
    </row>
    <row r="46" spans="1:7" s="258" customFormat="1" ht="13.5" customHeight="1">
      <c r="A46" s="954" t="s">
        <v>794</v>
      </c>
      <c r="B46" s="292" t="s">
        <v>1065</v>
      </c>
      <c r="C46" s="293">
        <f>ROUND((C33+C39)*F27,0)</f>
        <v>13696</v>
      </c>
      <c r="D46" s="307"/>
      <c r="E46" s="280"/>
      <c r="F46" s="290"/>
      <c r="G46" s="291"/>
    </row>
    <row r="47" spans="1:7" s="258" customFormat="1" ht="13.5" customHeight="1">
      <c r="A47" s="954" t="s">
        <v>792</v>
      </c>
      <c r="B47" s="292" t="s">
        <v>1067</v>
      </c>
      <c r="C47" s="282">
        <f>ROUND(C40*F27,4)</f>
        <v>3.3999999999999998E-3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106243</v>
      </c>
      <c r="D49" s="276"/>
      <c r="E49" s="276"/>
      <c r="F49" s="308"/>
      <c r="G49" s="278" t="s">
        <v>1073</v>
      </c>
    </row>
    <row r="50" spans="1:7" s="302" customFormat="1" ht="24">
      <c r="A50" s="951" t="s">
        <v>789</v>
      </c>
      <c r="B50" s="254" t="s">
        <v>124</v>
      </c>
      <c r="C50" s="276"/>
      <c r="D50" s="276"/>
      <c r="E50" s="276"/>
      <c r="F50" s="308">
        <f>IF('数据-取费表'!B24=0,'数据-取费表'!N16,1)</f>
        <v>0.95</v>
      </c>
      <c r="G50" s="291" t="s">
        <v>125</v>
      </c>
    </row>
    <row r="51" spans="1:7" ht="16.5" customHeight="1">
      <c r="A51" s="951" t="s">
        <v>790</v>
      </c>
      <c r="B51" s="254" t="s">
        <v>132</v>
      </c>
      <c r="C51" s="276">
        <f ca="1">ROUND(C49*F50,0)</f>
        <v>100931</v>
      </c>
      <c r="D51" s="276"/>
      <c r="E51" s="276"/>
      <c r="F51" s="308"/>
      <c r="G51" s="278" t="s">
        <v>64</v>
      </c>
    </row>
    <row r="52" spans="1:7" s="252" customFormat="1" ht="16.5" thickBot="1">
      <c r="A52" s="309" t="s">
        <v>65</v>
      </c>
      <c r="B52" s="310"/>
      <c r="C52" s="311">
        <f ca="1">C31+C51</f>
        <v>135667</v>
      </c>
      <c r="D52" s="310"/>
      <c r="E52" s="310"/>
      <c r="F52" s="310"/>
      <c r="G52" s="312"/>
    </row>
    <row r="55" spans="1:7" ht="15">
      <c r="B55" s="314" t="s">
        <v>66</v>
      </c>
      <c r="C55" s="315"/>
    </row>
    <row r="56" spans="1:7">
      <c r="B56" s="317" t="s">
        <v>67</v>
      </c>
      <c r="C56" s="318">
        <f ca="1">ROUND(C51/C52,3)</f>
        <v>0.74399999999999999</v>
      </c>
    </row>
    <row r="57" spans="1:7">
      <c r="B57" s="317" t="s">
        <v>68</v>
      </c>
      <c r="C57" s="319">
        <f ca="1">1-C56</f>
        <v>0.25600000000000001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2" t="s">
        <v>156</v>
      </c>
      <c r="B1" s="3292"/>
      <c r="C1" s="3292"/>
      <c r="D1" s="3292"/>
      <c r="E1" s="3292"/>
      <c r="F1" s="329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3" t="s">
        <v>169</v>
      </c>
      <c r="B2" s="3293"/>
      <c r="C2" s="3293"/>
      <c r="D2" s="3293"/>
      <c r="E2" s="3293"/>
      <c r="F2" s="329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2" t="s">
        <v>871</v>
      </c>
      <c r="B1" s="329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43235</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141</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成本法!Print_Area</vt:lpstr>
      <vt:lpstr>估价对象房地状况!Print_Area</vt:lpstr>
      <vt:lpstr>估价师及机构信息!Print_Area</vt:lpstr>
      <vt:lpstr>结果表!Print_Area</vt:lpstr>
      <vt:lpstr>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2018-05-21T02:49:34Z</dcterms:modified>
</cp:coreProperties>
</file>