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21" activeTab="5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租赁合同" sheetId="88" r:id="rId18"/>
    <sheet name="当前租赁台账" sheetId="86" r:id="rId19"/>
    <sheet name="系统读取表" sheetId="74" r:id="rId20"/>
    <sheet name="结果表-负2层" sheetId="9" r:id="rId21"/>
    <sheet name="基准地价修正-商业" sheetId="43" r:id="rId22"/>
    <sheet name="成本法-负2层" sheetId="68" r:id="rId23"/>
    <sheet name="成本法 (元)" sheetId="69" state="hidden" r:id="rId24"/>
    <sheet name="假设开发法" sheetId="12" state="hidden" r:id="rId25"/>
    <sheet name="收益法-负2层" sheetId="15" r:id="rId26"/>
    <sheet name="结果表-负3层" sheetId="91" r:id="rId27"/>
    <sheet name="成本法-负3层" sheetId="89" r:id="rId28"/>
    <sheet name="收益法-负3层" sheetId="90" r:id="rId29"/>
    <sheet name="结果表-车位" sheetId="84"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成本法-车位" sheetId="82" state="hidden" r:id="rId38"/>
    <sheet name="基准地价修-车位" sheetId="85" state="hidden" r:id="rId39"/>
    <sheet name="收益法-地下车位" sheetId="83"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 name="Sheet1" sheetId="80" r:id="rId56"/>
    <sheet name="市调" sheetId="87" r:id="rId57"/>
    <sheet name="Sheet2" sheetId="92" r:id="rId58"/>
  </sheets>
  <externalReferences>
    <externalReference r:id="rId59"/>
    <externalReference r:id="rId60"/>
    <externalReference r:id="rId61"/>
  </externalReferences>
  <definedNames>
    <definedName name="_xlnm._FilterDatabase" localSheetId="35" hidden="1">'比较法-办公'!$A$1:$L$50</definedName>
    <definedName name="_xlnm._FilterDatabase" localSheetId="41" hidden="1">'比较法-仓储'!$A$1:$L$37</definedName>
    <definedName name="_xlnm._FilterDatabase" localSheetId="40"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8" hidden="1">当前租赁台账!$A$3:$AG$97</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3">'成本法 (元)'!$A$1:$G$57</definedName>
    <definedName name="_xlnm.Print_Area" localSheetId="37">'成本法-车位'!$A$1:$G$57</definedName>
    <definedName name="_xlnm.Print_Area" localSheetId="22">'成本法-负2层'!$A$1:$G$57</definedName>
    <definedName name="_xlnm.Print_Area" localSheetId="27">'成本法-负3层'!$A$1:$G$57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38">'基准地价修-车位'!$A$1:$J$44,'基准地价修-车位'!$A$47:$H$101,'基准地价修-车位'!$R$1:$V$16</definedName>
    <definedName name="_xlnm.Print_Area" localSheetId="21">'基准地价修正-商业'!$A$1:$J$44,'基准地价修正-商业'!$A$47:$H$101,'基准地价修正-商业'!$R$1:$V$16</definedName>
    <definedName name="_xlnm.Print_Area" localSheetId="24">假设开发法!$A$1:$K$32</definedName>
    <definedName name="_xlnm.Print_Area" localSheetId="29">'结果表-车位'!$A$1:$I$127</definedName>
    <definedName name="_xlnm.Print_Area" localSheetId="20">'结果表-负2层'!$A$1:$I$127</definedName>
    <definedName name="_xlnm.Print_Area" localSheetId="26">'结果表-负3层'!$A$1:$I$127</definedName>
    <definedName name="_xlnm.Print_Area" localSheetId="30">'收益法 (元)'!$A$1:$F$43,'收益法 (元)'!$H$3:$M$29,'收益法 (元)'!$A$45:$F$71,'收益法 (元)'!$I$46:$N$65</definedName>
    <definedName name="_xlnm.Print_Area" localSheetId="32">'收益法（汇总）'!$A$1:$F$13</definedName>
    <definedName name="_xlnm.Print_Area" localSheetId="39">'收益法-地下车位'!$A$1:$F$43,'收益法-地下车位'!$H$3:$M$29,'收益法-地下车位'!$A$46:$F$71,'收益法-地下车位'!$I$46:$N$65</definedName>
    <definedName name="_xlnm.Print_Area" localSheetId="25">'收益法-负2层'!$A$1:$F$43,'收益法-负2层'!$H$3:$M$29,'收益法-负2层'!$A$46:$F$71,'收益法-负2层'!$I$46:$N$65</definedName>
    <definedName name="_xlnm.Print_Area" localSheetId="28">'收益法-负3层'!$A$1:$F$43,'收益法-负3层'!$H$3:$M$29,'收益法-负3层'!$A$46:$F$71,'收益法-负3层'!$I$46:$N$65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7" i="92" l="1"/>
  <c r="F7" i="92"/>
  <c r="D7" i="92"/>
  <c r="H6" i="92"/>
  <c r="F6" i="92"/>
  <c r="D6" i="92"/>
  <c r="C6" i="92"/>
  <c r="B6" i="92"/>
  <c r="A3" i="3"/>
  <c r="B16" i="74" l="1"/>
  <c r="D16" i="74" l="1"/>
  <c r="G16" i="74" l="1"/>
  <c r="A120" i="91" l="1"/>
  <c r="H111" i="91"/>
  <c r="D126" i="91" s="1"/>
  <c r="D127" i="91" s="1"/>
  <c r="E111" i="91"/>
  <c r="A126" i="91" s="1"/>
  <c r="E109" i="91"/>
  <c r="A124" i="91" s="1"/>
  <c r="E107" i="91"/>
  <c r="A122" i="91" s="1"/>
  <c r="H106" i="91"/>
  <c r="H103" i="91" s="1"/>
  <c r="D120" i="91" s="1"/>
  <c r="H105" i="91"/>
  <c r="H104" i="91"/>
  <c r="D101" i="91"/>
  <c r="C101" i="91"/>
  <c r="C91" i="91"/>
  <c r="E90" i="91"/>
  <c r="D89" i="91"/>
  <c r="C89" i="91" s="1"/>
  <c r="C87" i="91" s="1"/>
  <c r="H77" i="91"/>
  <c r="D77" i="91"/>
  <c r="C76" i="91"/>
  <c r="F59" i="91"/>
  <c r="E59" i="91"/>
  <c r="N55" i="91" s="1"/>
  <c r="F56" i="91"/>
  <c r="O55" i="91"/>
  <c r="K55" i="91"/>
  <c r="J55" i="91"/>
  <c r="I55" i="91"/>
  <c r="F55" i="91"/>
  <c r="O53" i="91" s="1"/>
  <c r="O54" i="91"/>
  <c r="N54" i="91"/>
  <c r="N53" i="91"/>
  <c r="K49" i="91"/>
  <c r="E48" i="91"/>
  <c r="N52" i="91" s="1"/>
  <c r="D48" i="91"/>
  <c r="M52" i="91" s="1"/>
  <c r="F33" i="91"/>
  <c r="D27" i="91"/>
  <c r="C25" i="91"/>
  <c r="C24" i="91"/>
  <c r="D17" i="91"/>
  <c r="C17" i="91"/>
  <c r="C18" i="91" s="1"/>
  <c r="D18" i="91" s="1"/>
  <c r="L4" i="91"/>
  <c r="K4" i="91"/>
  <c r="H1" i="91"/>
  <c r="Q72" i="90"/>
  <c r="Q59" i="90"/>
  <c r="K59" i="90"/>
  <c r="P74" i="90" s="1"/>
  <c r="F59" i="90"/>
  <c r="Q58" i="90"/>
  <c r="J50" i="90"/>
  <c r="J49" i="90"/>
  <c r="M47" i="90"/>
  <c r="D46" i="90"/>
  <c r="F33" i="90"/>
  <c r="F61" i="90" s="1"/>
  <c r="F31" i="90"/>
  <c r="F23" i="90"/>
  <c r="D24" i="90" s="1"/>
  <c r="D23" i="90"/>
  <c r="D22" i="90"/>
  <c r="F21" i="90"/>
  <c r="F20" i="90"/>
  <c r="M19" i="90"/>
  <c r="F18" i="90"/>
  <c r="M17" i="90"/>
  <c r="F17" i="90"/>
  <c r="F15" i="90"/>
  <c r="F38" i="89"/>
  <c r="E37" i="89"/>
  <c r="F36" i="89"/>
  <c r="F35" i="89"/>
  <c r="F21" i="89"/>
  <c r="F40" i="89" s="1"/>
  <c r="F20" i="89"/>
  <c r="F39" i="89" s="1"/>
  <c r="C19" i="89"/>
  <c r="E10" i="89"/>
  <c r="E9" i="89"/>
  <c r="F7" i="89"/>
  <c r="J52" i="15"/>
  <c r="D39" i="43"/>
  <c r="D38" i="43"/>
  <c r="W23" i="1"/>
  <c r="W24" i="1"/>
  <c r="J7" i="1"/>
  <c r="J52" i="90" s="1"/>
  <c r="Q51" i="90" s="1"/>
  <c r="I7" i="1"/>
  <c r="H7" i="1"/>
  <c r="K13" i="3"/>
  <c r="I13" i="3"/>
  <c r="C281" i="81"/>
  <c r="D281" i="81"/>
  <c r="B281" i="81"/>
  <c r="C284" i="81" s="1"/>
  <c r="C287" i="81" s="1"/>
  <c r="E2" i="89"/>
  <c r="C92" i="91" l="1"/>
  <c r="C94" i="91"/>
  <c r="K120" i="91"/>
  <c r="D121" i="91"/>
  <c r="H109" i="91"/>
  <c r="H112" i="91"/>
  <c r="P61" i="90"/>
  <c r="C21" i="89"/>
  <c r="C40" i="89"/>
  <c r="D124" i="91" l="1"/>
  <c r="D125" i="91" s="1"/>
  <c r="H110" i="91"/>
  <c r="D6" i="88" l="1"/>
  <c r="L5" i="88"/>
  <c r="K5" i="88"/>
  <c r="K4" i="88"/>
  <c r="K6" i="88"/>
  <c r="K7" i="88" l="1"/>
  <c r="K8" i="88"/>
  <c r="I195" i="86"/>
  <c r="H196" i="86"/>
  <c r="H198" i="86" s="1"/>
  <c r="I194" i="86"/>
  <c r="G189" i="86"/>
  <c r="I165" i="86"/>
  <c r="I164" i="86"/>
  <c r="I163" i="86"/>
  <c r="I162" i="86"/>
  <c r="I161" i="86"/>
  <c r="I160" i="86"/>
  <c r="I159" i="86"/>
  <c r="I158" i="86"/>
  <c r="I157" i="86"/>
  <c r="J156" i="86"/>
  <c r="I156" i="86"/>
  <c r="J155" i="86"/>
  <c r="I155" i="86"/>
  <c r="J154" i="86"/>
  <c r="I154" i="86"/>
  <c r="J153" i="86"/>
  <c r="I153" i="86"/>
  <c r="J152" i="86"/>
  <c r="I152" i="86"/>
  <c r="J151" i="86"/>
  <c r="I151" i="86"/>
  <c r="J150" i="86"/>
  <c r="I150" i="86"/>
  <c r="J149" i="86"/>
  <c r="I149" i="86"/>
  <c r="J148" i="86"/>
  <c r="I148" i="86"/>
  <c r="J147" i="86"/>
  <c r="I147" i="86"/>
  <c r="J146" i="86"/>
  <c r="I146" i="86"/>
  <c r="J145" i="86"/>
  <c r="I145" i="86"/>
  <c r="J144" i="86"/>
  <c r="I144" i="86"/>
  <c r="J143" i="86"/>
  <c r="I143" i="86"/>
  <c r="J142" i="86"/>
  <c r="I142" i="86"/>
  <c r="J141" i="86"/>
  <c r="I141" i="86"/>
  <c r="J140" i="86"/>
  <c r="I140" i="86"/>
  <c r="J139" i="86"/>
  <c r="I139" i="86"/>
  <c r="J138" i="86"/>
  <c r="I138" i="86"/>
  <c r="J137" i="86"/>
  <c r="I137" i="86"/>
  <c r="J136" i="86"/>
  <c r="I136" i="86"/>
  <c r="J135" i="86"/>
  <c r="I135" i="86"/>
  <c r="J134" i="86"/>
  <c r="I134" i="86"/>
  <c r="J133" i="86"/>
  <c r="I133" i="86"/>
  <c r="J132" i="86"/>
  <c r="I132" i="86"/>
  <c r="J131" i="86"/>
  <c r="I131" i="86"/>
  <c r="J130" i="86"/>
  <c r="I130" i="86"/>
  <c r="J129" i="86"/>
  <c r="I129" i="86"/>
  <c r="J128" i="86"/>
  <c r="I128" i="86"/>
  <c r="J127" i="86"/>
  <c r="I127" i="86"/>
  <c r="J126" i="86"/>
  <c r="I126" i="86"/>
  <c r="J125" i="86"/>
  <c r="I125" i="86"/>
  <c r="J124" i="86"/>
  <c r="I124" i="86"/>
  <c r="J123" i="86"/>
  <c r="I123" i="86"/>
  <c r="J122" i="86"/>
  <c r="I122" i="86"/>
  <c r="J121" i="86"/>
  <c r="I121" i="86"/>
  <c r="J120" i="86"/>
  <c r="I120" i="86"/>
  <c r="J119" i="86"/>
  <c r="I119" i="86"/>
  <c r="J118" i="86"/>
  <c r="I118" i="86"/>
  <c r="J117" i="86"/>
  <c r="I117" i="86"/>
  <c r="J116" i="86"/>
  <c r="I116" i="86"/>
  <c r="J115" i="86"/>
  <c r="I115" i="86"/>
  <c r="J114" i="86"/>
  <c r="I114" i="86"/>
  <c r="J113" i="86"/>
  <c r="I113" i="86"/>
  <c r="J112" i="86"/>
  <c r="I112" i="86"/>
  <c r="J111" i="86"/>
  <c r="I111" i="86"/>
  <c r="J110" i="86"/>
  <c r="I110" i="86"/>
  <c r="J109" i="86"/>
  <c r="I109" i="86"/>
  <c r="J108" i="86"/>
  <c r="I108" i="86"/>
  <c r="J107" i="86"/>
  <c r="I107" i="86"/>
  <c r="J106" i="86"/>
  <c r="I106" i="86"/>
  <c r="J105" i="86"/>
  <c r="I105" i="86"/>
  <c r="J104" i="86"/>
  <c r="I104" i="86"/>
  <c r="J103" i="86"/>
  <c r="I103" i="86"/>
  <c r="J102" i="86"/>
  <c r="I102" i="86"/>
  <c r="J101" i="86"/>
  <c r="I101" i="86"/>
  <c r="J100" i="86"/>
  <c r="I100" i="86"/>
  <c r="J99" i="86"/>
  <c r="I99" i="86"/>
  <c r="J98" i="86"/>
  <c r="I98" i="86"/>
  <c r="J97" i="86"/>
  <c r="I97" i="86"/>
  <c r="J96" i="86"/>
  <c r="I96" i="86"/>
  <c r="J95" i="86"/>
  <c r="I95" i="86"/>
  <c r="J94" i="86"/>
  <c r="I94" i="86"/>
  <c r="J93" i="86"/>
  <c r="I93" i="86"/>
  <c r="J92" i="86"/>
  <c r="I92" i="86"/>
  <c r="J91" i="86"/>
  <c r="I91" i="86"/>
  <c r="J90" i="86"/>
  <c r="I90" i="86"/>
  <c r="J89" i="86"/>
  <c r="I89" i="86"/>
  <c r="J88" i="86"/>
  <c r="I88" i="86"/>
  <c r="J87" i="86"/>
  <c r="J86" i="86"/>
  <c r="I86" i="86"/>
  <c r="J85" i="86"/>
  <c r="I85" i="86"/>
  <c r="J84" i="86"/>
  <c r="I84" i="86"/>
  <c r="J83" i="86"/>
  <c r="I83" i="86"/>
  <c r="J82" i="86"/>
  <c r="I82" i="86"/>
  <c r="J81" i="86"/>
  <c r="I81" i="86"/>
  <c r="J80" i="86"/>
  <c r="I80" i="86"/>
  <c r="J79" i="86"/>
  <c r="I79" i="86"/>
  <c r="J78" i="86"/>
  <c r="I78" i="86"/>
  <c r="J77" i="86"/>
  <c r="I77" i="86"/>
  <c r="J76" i="86"/>
  <c r="I76" i="86"/>
  <c r="J75" i="86"/>
  <c r="I75" i="86"/>
  <c r="H74" i="86"/>
  <c r="H189" i="86" s="1"/>
  <c r="F74" i="86"/>
  <c r="J74" i="86" s="1"/>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J23" i="86"/>
  <c r="I23" i="86"/>
  <c r="J22" i="86"/>
  <c r="I22" i="86"/>
  <c r="J21" i="86"/>
  <c r="I21" i="86"/>
  <c r="J20" i="86"/>
  <c r="I20" i="86"/>
  <c r="J19" i="86"/>
  <c r="I19" i="86"/>
  <c r="J18" i="86"/>
  <c r="I18" i="86"/>
  <c r="J17" i="86"/>
  <c r="I17" i="86"/>
  <c r="J16" i="86"/>
  <c r="I16" i="86"/>
  <c r="J15" i="86"/>
  <c r="I15" i="86"/>
  <c r="D15" i="86"/>
  <c r="D189" i="86" s="1"/>
  <c r="E186" i="86" s="1"/>
  <c r="J14" i="86"/>
  <c r="I14" i="86"/>
  <c r="J13" i="86"/>
  <c r="I13" i="86"/>
  <c r="J12" i="86"/>
  <c r="I12" i="86"/>
  <c r="J11" i="86"/>
  <c r="I11" i="86"/>
  <c r="J10" i="86"/>
  <c r="I10" i="86"/>
  <c r="J9" i="86"/>
  <c r="I9" i="86"/>
  <c r="J8" i="86"/>
  <c r="J7" i="86"/>
  <c r="J4" i="86"/>
  <c r="H200" i="86" l="1"/>
  <c r="I198" i="86"/>
  <c r="H199" i="86"/>
  <c r="I199" i="86" s="1"/>
  <c r="I189" i="86"/>
  <c r="I74" i="86"/>
  <c r="H197" i="86"/>
  <c r="I197" i="86" s="1"/>
  <c r="I196" i="86"/>
  <c r="K10" i="88"/>
  <c r="K9" i="88"/>
  <c r="F262" i="8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c r="D99" i="85"/>
  <c r="N98" i="85"/>
  <c r="M98" i="85"/>
  <c r="K98" i="85"/>
  <c r="J98" i="85" s="1"/>
  <c r="D98" i="85"/>
  <c r="M97" i="85"/>
  <c r="N97" i="85" s="1"/>
  <c r="K97" i="85"/>
  <c r="J97" i="85" s="1"/>
  <c r="D97" i="85"/>
  <c r="N96" i="85"/>
  <c r="M96" i="85"/>
  <c r="K96" i="85"/>
  <c r="J96" i="85" s="1"/>
  <c r="D96" i="85"/>
  <c r="N95" i="85"/>
  <c r="M95" i="85"/>
  <c r="K95" i="85"/>
  <c r="J95" i="85" s="1"/>
  <c r="D95" i="85"/>
  <c r="B95" i="85"/>
  <c r="N94" i="85"/>
  <c r="M94" i="85"/>
  <c r="K94" i="85"/>
  <c r="J94" i="85" s="1"/>
  <c r="D94" i="85"/>
  <c r="N93" i="85"/>
  <c r="M93" i="85"/>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I18" i="85" s="1"/>
  <c r="E17" i="85" s="1"/>
  <c r="G24" i="85"/>
  <c r="E44" i="85" s="1"/>
  <c r="E24" i="85"/>
  <c r="Q32" i="85" s="1"/>
  <c r="I23" i="85"/>
  <c r="C22" i="85"/>
  <c r="G18"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C18" i="84" s="1"/>
  <c r="D18" i="84" s="1"/>
  <c r="L4" i="84"/>
  <c r="K4" i="84"/>
  <c r="H1" i="84"/>
  <c r="J52" i="83"/>
  <c r="Q51" i="83" s="1"/>
  <c r="Q72" i="83"/>
  <c r="Q59" i="83"/>
  <c r="K59" i="83"/>
  <c r="P74" i="83" s="1"/>
  <c r="F59" i="83"/>
  <c r="Q58" i="83"/>
  <c r="J50" i="83"/>
  <c r="J49" i="83"/>
  <c r="M47" i="83"/>
  <c r="D46" i="83"/>
  <c r="F33" i="83"/>
  <c r="F61" i="83" s="1"/>
  <c r="F31" i="83"/>
  <c r="F23" i="83"/>
  <c r="D24" i="83" s="1"/>
  <c r="D23" i="83"/>
  <c r="D22" i="83"/>
  <c r="F21" i="83"/>
  <c r="F20" i="83"/>
  <c r="M19" i="83"/>
  <c r="F18" i="83"/>
  <c r="M17" i="83"/>
  <c r="F17" i="83"/>
  <c r="F15" i="83"/>
  <c r="F38" i="82"/>
  <c r="E37" i="82"/>
  <c r="F36" i="82"/>
  <c r="F35" i="82"/>
  <c r="F21" i="82"/>
  <c r="F40" i="82" s="1"/>
  <c r="F20" i="82"/>
  <c r="F39" i="82" s="1"/>
  <c r="C19" i="82"/>
  <c r="E10" i="82"/>
  <c r="E9" i="82"/>
  <c r="F7" i="82"/>
  <c r="X25" i="1"/>
  <c r="Y23" i="1"/>
  <c r="J49" i="15"/>
  <c r="W22" i="1"/>
  <c r="W21" i="1"/>
  <c r="N6" i="1"/>
  <c r="G20" i="6"/>
  <c r="G19" i="6"/>
  <c r="B14" i="74" s="1"/>
  <c r="D3" i="4"/>
  <c r="E2" i="82"/>
  <c r="N7" i="1" l="1"/>
  <c r="Y7" i="1" s="1"/>
  <c r="S5" i="85"/>
  <c r="D21" i="85"/>
  <c r="K21" i="85"/>
  <c r="O21" i="85"/>
  <c r="H74" i="85"/>
  <c r="H85" i="85"/>
  <c r="D42" i="85"/>
  <c r="B15" i="74"/>
  <c r="H103" i="84"/>
  <c r="D120" i="84" s="1"/>
  <c r="H111" i="84"/>
  <c r="D126" i="84" s="1"/>
  <c r="D127" i="84" s="1"/>
  <c r="S3" i="85"/>
  <c r="S6" i="85"/>
  <c r="X7" i="85"/>
  <c r="I21" i="85"/>
  <c r="M21" i="85"/>
  <c r="E61" i="85"/>
  <c r="B59" i="85" s="1"/>
  <c r="H61" i="85"/>
  <c r="H72" i="85"/>
  <c r="H76" i="85"/>
  <c r="H202" i="86"/>
  <c r="I200" i="86"/>
  <c r="H201" i="86"/>
  <c r="I201" i="86" s="1"/>
  <c r="Y24" i="1"/>
  <c r="Y25" i="1" s="1"/>
  <c r="W25" i="1" s="1"/>
  <c r="K12" i="88"/>
  <c r="K11" i="88"/>
  <c r="Y6" i="1"/>
  <c r="H42" i="85"/>
  <c r="D1" i="85"/>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C92" i="84"/>
  <c r="C94" i="84"/>
  <c r="K120" i="84"/>
  <c r="D121" i="84"/>
  <c r="H109" i="84"/>
  <c r="H112" i="84"/>
  <c r="P61" i="83"/>
  <c r="C21" i="82"/>
  <c r="C40" i="82"/>
  <c r="G14" i="73"/>
  <c r="F14" i="73"/>
  <c r="E14" i="73"/>
  <c r="I202" i="86" l="1"/>
  <c r="H203" i="86"/>
  <c r="I203" i="86" s="1"/>
  <c r="K13" i="88"/>
  <c r="H54" i="85"/>
  <c r="G54" i="85" s="1"/>
  <c r="H53" i="85"/>
  <c r="G53" i="85" s="1"/>
  <c r="H58" i="85"/>
  <c r="G58" i="85" s="1"/>
  <c r="H57" i="85"/>
  <c r="G57" i="85" s="1"/>
  <c r="H56" i="85"/>
  <c r="G56" i="85" s="1"/>
  <c r="H55" i="85"/>
  <c r="G55" i="85" s="1"/>
  <c r="H52" i="85"/>
  <c r="G52" i="85" s="1"/>
  <c r="H51" i="85"/>
  <c r="G51" i="85" s="1"/>
  <c r="H50" i="85"/>
  <c r="G50" i="85" s="1"/>
  <c r="G21" i="85"/>
  <c r="C20" i="85" s="1"/>
  <c r="D5" i="85" s="1"/>
  <c r="D26" i="85"/>
  <c r="D124" i="84"/>
  <c r="D125" i="84" s="1"/>
  <c r="H110" i="84"/>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5" l="1"/>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D55" i="71"/>
  <c r="P67" i="71"/>
  <c r="E66" i="71"/>
  <c r="P65" i="71" s="1"/>
  <c r="C40" i="71"/>
  <c r="D39" i="71"/>
  <c r="C36" i="71"/>
  <c r="D35" i="71"/>
  <c r="C32" i="71"/>
  <c r="D31" i="71"/>
  <c r="C26" i="71"/>
  <c r="D26" i="71"/>
  <c r="D27" i="71"/>
  <c r="V28" i="71"/>
  <c r="P66" i="71"/>
  <c r="O66" i="71"/>
  <c r="D66" i="71"/>
  <c r="O65" i="71"/>
  <c r="T32" i="71"/>
  <c r="D32" i="71"/>
  <c r="T36" i="71"/>
  <c r="D36" i="71"/>
  <c r="T40"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B88" i="43"/>
  <c r="C22" i="20"/>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M18" i="91" s="1"/>
  <c r="B118" i="9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H38" i="37" s="1"/>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AC26" i="37" s="1"/>
  <c r="D79" i="37"/>
  <c r="E79" i="37"/>
  <c r="D75" i="37"/>
  <c r="E75" i="37"/>
  <c r="D73" i="37"/>
  <c r="E73" i="37"/>
  <c r="F73" i="37" s="1"/>
  <c r="D71" i="37"/>
  <c r="H15" i="37"/>
  <c r="AB15" i="37"/>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85" s="1"/>
  <c r="B90" i="43"/>
  <c r="G19" i="20"/>
  <c r="B87" i="85" s="1"/>
  <c r="B87" i="43"/>
  <c r="G16" i="20"/>
  <c r="B84" i="85" s="1"/>
  <c r="B84" i="43"/>
  <c r="G15" i="20"/>
  <c r="B83" i="85" s="1"/>
  <c r="B83" i="43"/>
  <c r="C24" i="20"/>
  <c r="B75" i="43"/>
  <c r="C21" i="20"/>
  <c r="B76" i="43"/>
  <c r="C20" i="20"/>
  <c r="B79" i="43"/>
  <c r="C18" i="20"/>
  <c r="B73" i="43"/>
  <c r="C17" i="20"/>
  <c r="B61" i="85" s="1"/>
  <c r="B61" i="43"/>
  <c r="C16" i="20"/>
  <c r="C17" i="39"/>
  <c r="C15" i="20"/>
  <c r="B72" i="85"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AB31"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30" i="33"/>
  <c r="AB30" i="33" s="1"/>
  <c r="F30" i="33"/>
  <c r="H44" i="33"/>
  <c r="J29" i="34"/>
  <c r="J25" i="36"/>
  <c r="W25" i="36"/>
  <c r="F25" i="36"/>
  <c r="S25" i="36"/>
  <c r="H25" i="36"/>
  <c r="AB25" i="36"/>
  <c r="F13" i="37"/>
  <c r="S13" i="37" s="1"/>
  <c r="J13" i="37"/>
  <c r="W13" i="37" s="1"/>
  <c r="AA28" i="37"/>
  <c r="AB38" i="37"/>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4" i="40"/>
  <c r="J14" i="37"/>
  <c r="AC14" i="37"/>
  <c r="J27" i="37"/>
  <c r="AC27" i="37"/>
  <c r="J36" i="37"/>
  <c r="AC36" i="37" s="1"/>
  <c r="G105" i="37"/>
  <c r="J10" i="36"/>
  <c r="AC10" i="36" s="1"/>
  <c r="AB26" i="33"/>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G125" i="33"/>
  <c r="J43" i="33"/>
  <c r="AC43" i="33" s="1"/>
  <c r="U43" i="33"/>
  <c r="S28" i="31"/>
  <c r="S27" i="31"/>
  <c r="S26" i="31"/>
  <c r="U14" i="40"/>
  <c r="AA12" i="35"/>
  <c r="W14" i="37"/>
  <c r="U33" i="37"/>
  <c r="U39" i="37"/>
  <c r="W26" i="37"/>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F83" i="43"/>
  <c r="H85" i="43" s="1"/>
  <c r="F50" i="43"/>
  <c r="H54" i="43" s="1"/>
  <c r="G54" i="43" s="1"/>
  <c r="F72" i="43"/>
  <c r="H75" i="43" s="1"/>
  <c r="U17" i="39"/>
  <c r="S14" i="35"/>
  <c r="U43" i="21"/>
  <c r="U35" i="21"/>
  <c r="AC35"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F28" i="6"/>
  <c r="BL14" i="3"/>
  <c r="AZ266" i="3"/>
  <c r="U30" i="33"/>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77" i="91" s="1"/>
  <c r="C74" i="91"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c r="F77" i="21"/>
  <c r="G77" i="21"/>
  <c r="F23" i="21"/>
  <c r="S23" i="21"/>
  <c r="E85" i="21"/>
  <c r="D120" i="9"/>
  <c r="D121" i="9" s="1"/>
  <c r="D7" i="52" s="1"/>
  <c r="C18" i="9"/>
  <c r="D18" i="9"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S40"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H9" i="2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S23" i="33"/>
  <c r="AB19" i="33"/>
  <c r="U19" i="33"/>
  <c r="AA17" i="33"/>
  <c r="S17" i="33"/>
  <c r="AB17" i="33"/>
  <c r="AB23" i="21"/>
  <c r="AC23" i="21"/>
  <c r="W23" i="21"/>
  <c r="H109" i="9"/>
  <c r="D16" i="53"/>
  <c r="B34" i="72" s="1"/>
  <c r="AD3" i="71"/>
  <c r="J1" i="73"/>
  <c r="H69" i="4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M6" i="67"/>
  <c r="B12" i="76"/>
  <c r="F7" i="15"/>
  <c r="F38" i="67"/>
  <c r="M6" i="15"/>
  <c r="F43" i="15"/>
  <c r="C76" i="15"/>
  <c r="M22" i="15"/>
  <c r="L48" i="67"/>
  <c r="F8" i="67"/>
  <c r="F38" i="15"/>
  <c r="B13" i="76"/>
  <c r="F13" i="67"/>
  <c r="E13" i="76"/>
  <c r="AO13" i="1"/>
  <c r="F42" i="15"/>
  <c r="L48" i="15"/>
  <c r="F40" i="15"/>
  <c r="F6" i="67"/>
  <c r="F16" i="67"/>
  <c r="D5" i="73"/>
  <c r="F3" i="73"/>
  <c r="L47" i="15"/>
  <c r="E12" i="76"/>
  <c r="E2" i="68"/>
  <c r="M22" i="67"/>
  <c r="F5" i="73"/>
  <c r="B11" i="76"/>
  <c r="M9" i="67"/>
  <c r="J15" i="67"/>
  <c r="M26" i="67"/>
  <c r="E8" i="76"/>
  <c r="F36" i="67"/>
  <c r="D7" i="73"/>
  <c r="C76" i="67"/>
  <c r="M26" i="15"/>
  <c r="M28" i="15"/>
  <c r="M29" i="15"/>
  <c r="D4" i="73"/>
  <c r="F40" i="67"/>
  <c r="D6" i="73"/>
  <c r="F6" i="15"/>
  <c r="M28" i="67"/>
  <c r="F37" i="15"/>
  <c r="B9" i="76"/>
  <c r="B8" i="76"/>
  <c r="B10" i="76"/>
  <c r="F26" i="15"/>
  <c r="M23" i="67"/>
  <c r="F4" i="73"/>
  <c r="F16" i="15"/>
  <c r="E7" i="76"/>
  <c r="F6" i="73"/>
  <c r="F36" i="15"/>
  <c r="F9" i="15"/>
  <c r="F8" i="15"/>
  <c r="F7" i="67"/>
  <c r="F7" i="73"/>
  <c r="M24" i="15"/>
  <c r="E11" i="76"/>
  <c r="F13" i="15"/>
  <c r="J15" i="15"/>
  <c r="E9" i="76"/>
  <c r="F43" i="67"/>
  <c r="M29" i="67"/>
  <c r="L47" i="67"/>
  <c r="M24" i="67"/>
  <c r="M8" i="15"/>
  <c r="E10" i="76"/>
  <c r="M8" i="67"/>
  <c r="M23" i="15"/>
  <c r="F20" i="31"/>
  <c r="F37" i="67"/>
  <c r="F26" i="67"/>
  <c r="E2" i="69"/>
  <c r="M9" i="15"/>
  <c r="F9" i="67"/>
  <c r="D3" i="73"/>
  <c r="B7" i="76"/>
  <c r="F42" i="67"/>
  <c r="V20" i="71" l="1"/>
  <c r="M50" i="43"/>
  <c r="N50" i="43" s="1"/>
  <c r="K50" i="43"/>
  <c r="E15" i="71"/>
  <c r="E14" i="71" s="1"/>
  <c r="E13" i="71" s="1"/>
  <c r="E12" i="71" s="1"/>
  <c r="V16" i="71"/>
  <c r="BL5" i="3"/>
  <c r="K54" i="43"/>
  <c r="J54" i="43" s="1"/>
  <c r="M54" i="43"/>
  <c r="N54" i="43" s="1"/>
  <c r="AZ521" i="3"/>
  <c r="AZ508" i="3"/>
  <c r="W11" i="35"/>
  <c r="AC11" i="35"/>
  <c r="AA21" i="40"/>
  <c r="S21" i="40"/>
  <c r="AA26" i="33"/>
  <c r="S26" i="33"/>
  <c r="BL585" i="3"/>
  <c r="AZ585" i="3" s="1"/>
  <c r="H28" i="21"/>
  <c r="F28" i="21"/>
  <c r="J28" i="21"/>
  <c r="H31" i="21"/>
  <c r="J31" i="21"/>
  <c r="F31" i="21"/>
  <c r="AB35" i="33"/>
  <c r="U35" i="33"/>
  <c r="J27" i="34"/>
  <c r="F27" i="34"/>
  <c r="AB34" i="35"/>
  <c r="U34" i="35"/>
  <c r="H23" i="35"/>
  <c r="J23" i="35"/>
  <c r="F23" i="35"/>
  <c r="AB9" i="36"/>
  <c r="U9" i="36"/>
  <c r="AC32" i="40"/>
  <c r="W32" i="40"/>
  <c r="D17" i="71"/>
  <c r="C16" i="71"/>
  <c r="F48" i="9"/>
  <c r="O52" i="9" s="1"/>
  <c r="D68" i="91"/>
  <c r="F54" i="91"/>
  <c r="F53" i="91"/>
  <c r="F32" i="90"/>
  <c r="F60" i="90" s="1"/>
  <c r="F28" i="90"/>
  <c r="C28" i="90" s="1"/>
  <c r="F30" i="89"/>
  <c r="F52" i="91"/>
  <c r="F48" i="91"/>
  <c r="O52" i="91" s="1"/>
  <c r="M18" i="90"/>
  <c r="D68" i="84"/>
  <c r="F54" i="84"/>
  <c r="F53" i="84"/>
  <c r="F30" i="82"/>
  <c r="F48" i="82" s="1"/>
  <c r="F48" i="84"/>
  <c r="O52" i="84" s="1"/>
  <c r="F32" i="83"/>
  <c r="F60" i="83" s="1"/>
  <c r="F28" i="83"/>
  <c r="C28" i="83" s="1"/>
  <c r="M18" i="83"/>
  <c r="F52" i="84"/>
  <c r="AA39" i="34"/>
  <c r="AC11" i="39"/>
  <c r="AC12" i="37"/>
  <c r="AZ511" i="3"/>
  <c r="AZ515" i="3"/>
  <c r="AZ519" i="3"/>
  <c r="AZ565" i="3"/>
  <c r="AZ569" i="3"/>
  <c r="AZ573" i="3"/>
  <c r="AZ577" i="3"/>
  <c r="AZ583" i="3"/>
  <c r="AZ558" i="3"/>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A38" i="40"/>
  <c r="S38" i="40"/>
  <c r="AZ399" i="3"/>
  <c r="AZ404" i="3"/>
  <c r="AZ411" i="3"/>
  <c r="AZ414" i="3"/>
  <c r="F14" i="40"/>
  <c r="J14" i="40"/>
  <c r="F38" i="37"/>
  <c r="J38" i="37"/>
  <c r="H28" i="37"/>
  <c r="J28" i="37"/>
  <c r="U34" i="37"/>
  <c r="F24" i="36"/>
  <c r="AB8" i="39"/>
  <c r="J31" i="39"/>
  <c r="F31" i="39"/>
  <c r="W31" i="40"/>
  <c r="U31" i="35"/>
  <c r="U31" i="36"/>
  <c r="U14" i="37"/>
  <c r="W31" i="37"/>
  <c r="J36" i="39"/>
  <c r="H36" i="39"/>
  <c r="J44" i="39"/>
  <c r="B94" i="85"/>
  <c r="B73" i="85"/>
  <c r="B62" i="85"/>
  <c r="B51" i="85"/>
  <c r="B94" i="43"/>
  <c r="B58" i="85"/>
  <c r="B101" i="85"/>
  <c r="B79" i="85"/>
  <c r="B69" i="85"/>
  <c r="B101" i="43"/>
  <c r="B76" i="85"/>
  <c r="B56" i="85"/>
  <c r="B99" i="85"/>
  <c r="B67" i="85"/>
  <c r="B99" i="43"/>
  <c r="B97" i="85"/>
  <c r="B65" i="85"/>
  <c r="B54" i="85"/>
  <c r="B75" i="85"/>
  <c r="B97" i="43"/>
  <c r="F25" i="37"/>
  <c r="J25" i="37"/>
  <c r="F26" i="37"/>
  <c r="H26" i="37"/>
  <c r="F44" i="39"/>
  <c r="H38" i="40"/>
  <c r="J38" i="40"/>
  <c r="H39" i="40"/>
  <c r="E19" i="89"/>
  <c r="E19" i="82"/>
  <c r="D78" i="9"/>
  <c r="D78" i="91"/>
  <c r="D93" i="91"/>
  <c r="D78" i="84"/>
  <c r="D93" i="84"/>
  <c r="AZ422" i="3"/>
  <c r="AZ427" i="3"/>
  <c r="AZ430" i="3"/>
  <c r="AZ440" i="3"/>
  <c r="AZ449" i="3"/>
  <c r="AZ453" i="3"/>
  <c r="AZ455" i="3"/>
  <c r="AZ460" i="3"/>
  <c r="AZ471" i="3"/>
  <c r="AZ476" i="3"/>
  <c r="AZ478" i="3"/>
  <c r="AZ484" i="3"/>
  <c r="AZ492" i="3"/>
  <c r="M20" i="15"/>
  <c r="F34" i="90"/>
  <c r="F62" i="90" s="1"/>
  <c r="M20" i="90"/>
  <c r="M20" i="83"/>
  <c r="F34" i="83"/>
  <c r="F62" i="83" s="1"/>
  <c r="F34" i="68"/>
  <c r="F34" i="89"/>
  <c r="F34" i="82"/>
  <c r="G41" i="69"/>
  <c r="G41" i="89"/>
  <c r="G22" i="89"/>
  <c r="G41" i="82"/>
  <c r="G22" i="82"/>
  <c r="A15" i="62"/>
  <c r="B61" i="72" s="1"/>
  <c r="AZ421" i="3"/>
  <c r="AZ239" i="3"/>
  <c r="AZ255" i="3"/>
  <c r="AZ270" i="3"/>
  <c r="AZ274" i="3"/>
  <c r="AZ277" i="3"/>
  <c r="AZ298" i="3"/>
  <c r="AZ301" i="3"/>
  <c r="AZ122" i="3"/>
  <c r="AZ125" i="3"/>
  <c r="AZ22" i="3"/>
  <c r="AZ385" i="3"/>
  <c r="AZ397" i="3"/>
  <c r="AZ210" i="3"/>
  <c r="AZ212" i="3"/>
  <c r="AZ220" i="3"/>
  <c r="AZ38" i="3"/>
  <c r="AZ48" i="3"/>
  <c r="AZ52" i="3"/>
  <c r="AZ64" i="3"/>
  <c r="AZ68" i="3"/>
  <c r="AZ92" i="3"/>
  <c r="AZ103" i="3"/>
  <c r="M47" i="91"/>
  <c r="J51" i="90"/>
  <c r="A2" i="91"/>
  <c r="A118" i="91"/>
  <c r="G1" i="90"/>
  <c r="G1" i="89"/>
  <c r="U18" i="36"/>
  <c r="B100" i="85"/>
  <c r="B77" i="85"/>
  <c r="B68" i="85"/>
  <c r="B57" i="85"/>
  <c r="B100" i="43"/>
  <c r="D42" i="71"/>
  <c r="C43" i="71"/>
  <c r="C47" i="71"/>
  <c r="D47" i="71" s="1"/>
  <c r="D46" i="71"/>
  <c r="C51" i="71"/>
  <c r="D50" i="71"/>
  <c r="X9" i="71"/>
  <c r="X10" i="71"/>
  <c r="AB10" i="71"/>
  <c r="AB9" i="71"/>
  <c r="AB24" i="71"/>
  <c r="AA22" i="71"/>
  <c r="X21" i="71"/>
  <c r="Y18" i="71"/>
  <c r="Z18" i="71" s="1"/>
  <c r="X17" i="71"/>
  <c r="Y17" i="71"/>
  <c r="Z17" i="71" s="1"/>
  <c r="AB18" i="71"/>
  <c r="Y14" i="71"/>
  <c r="Z14" i="71" s="1"/>
  <c r="AA17" i="71"/>
  <c r="Y9" i="71"/>
  <c r="Z9" i="71" s="1"/>
  <c r="Y10" i="71"/>
  <c r="Z10" i="71" s="1"/>
  <c r="AA9" i="71"/>
  <c r="AA10" i="71"/>
  <c r="X22" i="71"/>
  <c r="AA24" i="71"/>
  <c r="Y21" i="71"/>
  <c r="Z21" i="71" s="1"/>
  <c r="AB23" i="71"/>
  <c r="AB21" i="71"/>
  <c r="AA21" i="71"/>
  <c r="X18" i="71"/>
  <c r="AA18" i="71"/>
  <c r="X13" i="71"/>
  <c r="AA14" i="71"/>
  <c r="AB17" i="71"/>
  <c r="X24" i="71"/>
  <c r="Y24" i="71"/>
  <c r="Z24" i="71" s="1"/>
  <c r="AB15" i="71"/>
  <c r="AB12" i="71"/>
  <c r="AB14" i="71"/>
  <c r="Y12" i="71"/>
  <c r="Z12" i="71" s="1"/>
  <c r="Y13" i="71"/>
  <c r="Z13" i="71" s="1"/>
  <c r="AA11" i="71"/>
  <c r="AA13" i="71"/>
  <c r="X12" i="71"/>
  <c r="B67" i="71"/>
  <c r="M56" i="9"/>
  <c r="M56" i="91"/>
  <c r="J56" i="91"/>
  <c r="J57" i="91" s="1"/>
  <c r="J59" i="91" s="1"/>
  <c r="J61" i="91" s="1"/>
  <c r="N56" i="91"/>
  <c r="K56" i="91"/>
  <c r="M56" i="84"/>
  <c r="J56" i="84"/>
  <c r="J57" i="84" s="1"/>
  <c r="J59" i="84" s="1"/>
  <c r="J61" i="84" s="1"/>
  <c r="N56" i="84"/>
  <c r="K56" i="84"/>
  <c r="Y23" i="71"/>
  <c r="Z23" i="71" s="1"/>
  <c r="Y22" i="71"/>
  <c r="Z22" i="71" s="1"/>
  <c r="AA23" i="71"/>
  <c r="X15" i="71"/>
  <c r="AA15" i="71"/>
  <c r="AB11" i="71"/>
  <c r="AB13" i="71"/>
  <c r="Y11" i="71"/>
  <c r="Z11" i="71" s="1"/>
  <c r="AA12" i="71"/>
  <c r="X11" i="71"/>
  <c r="X14" i="71"/>
  <c r="G1" i="82"/>
  <c r="G1" i="83"/>
  <c r="C30" i="82"/>
  <c r="C77" i="84"/>
  <c r="C74" i="84" s="1"/>
  <c r="C48" i="82"/>
  <c r="C24" i="12"/>
  <c r="G6" i="1"/>
  <c r="F11" i="1"/>
  <c r="G11" i="1" s="1"/>
  <c r="G44" i="85"/>
  <c r="C44" i="85" s="1"/>
  <c r="J51" i="15"/>
  <c r="F7" i="1"/>
  <c r="G23" i="85"/>
  <c r="M47" i="84"/>
  <c r="J51" i="83"/>
  <c r="G5" i="3"/>
  <c r="B3" i="3" s="1"/>
  <c r="E13" i="3" s="1"/>
  <c r="M7" i="1"/>
  <c r="M18" i="84"/>
  <c r="B118" i="84" s="1"/>
  <c r="C51" i="10"/>
  <c r="A13" i="51" s="1"/>
  <c r="B11" i="72" s="1"/>
  <c r="A118" i="84"/>
  <c r="A2" i="84"/>
  <c r="G28" i="6"/>
  <c r="G30" i="6" s="1"/>
  <c r="G31" i="6" s="1"/>
  <c r="H111" i="9"/>
  <c r="H112"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33" i="3"/>
  <c r="Z6" i="3"/>
  <c r="E404" i="3"/>
  <c r="E295" i="3"/>
  <c r="E480" i="3"/>
  <c r="E14" i="6"/>
  <c r="E63" i="39" s="1"/>
  <c r="I4" i="6"/>
  <c r="G3" i="43" s="1"/>
  <c r="H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F26" i="43"/>
  <c r="G26" i="43"/>
  <c r="A1" i="79"/>
  <c r="H55" i="43"/>
  <c r="G55" i="43" s="1"/>
  <c r="H86" i="43"/>
  <c r="H87" i="43"/>
  <c r="N370" i="46"/>
  <c r="H89" i="43"/>
  <c r="H88" i="43"/>
  <c r="H84" i="43"/>
  <c r="C69" i="39"/>
  <c r="D67" i="39"/>
  <c r="D69" i="39" s="1"/>
  <c r="T35" i="4"/>
  <c r="A19" i="51" s="1"/>
  <c r="B14" i="72" s="1"/>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M26" i="83"/>
  <c r="D9" i="68"/>
  <c r="C76" i="83"/>
  <c r="F26" i="83"/>
  <c r="F9" i="83"/>
  <c r="F16" i="83"/>
  <c r="F38" i="83"/>
  <c r="G1" i="73"/>
  <c r="M23" i="83"/>
  <c r="F42" i="83"/>
  <c r="M8" i="83"/>
  <c r="M29" i="83"/>
  <c r="L48" i="90"/>
  <c r="F36" i="83"/>
  <c r="F37" i="83"/>
  <c r="D9" i="82"/>
  <c r="F6" i="83"/>
  <c r="C36" i="82"/>
  <c r="F13" i="83"/>
  <c r="F40" i="83"/>
  <c r="M22" i="83"/>
  <c r="C16" i="15"/>
  <c r="L48" i="83"/>
  <c r="M6" i="83"/>
  <c r="L47" i="83"/>
  <c r="C36" i="68"/>
  <c r="F7" i="83"/>
  <c r="M24" i="83"/>
  <c r="F8" i="83"/>
  <c r="M9" i="83"/>
  <c r="C16" i="67"/>
  <c r="M28" i="83"/>
  <c r="J15" i="83"/>
  <c r="F43" i="83"/>
  <c r="F27" i="82"/>
  <c r="M53" i="43" l="1"/>
  <c r="N53" i="43" s="1"/>
  <c r="K53" i="43"/>
  <c r="B15" i="71"/>
  <c r="B14" i="71" s="1"/>
  <c r="B13" i="71" s="1"/>
  <c r="B12" i="71" s="1"/>
  <c r="S16" i="71"/>
  <c r="K57" i="43"/>
  <c r="J57" i="43" s="1"/>
  <c r="D57" i="43" s="1"/>
  <c r="M57" i="43"/>
  <c r="N57" i="43" s="1"/>
  <c r="M52" i="43"/>
  <c r="N52" i="43" s="1"/>
  <c r="K52" i="43"/>
  <c r="N94" i="46"/>
  <c r="M55" i="43"/>
  <c r="N55" i="43" s="1"/>
  <c r="K55" i="43"/>
  <c r="E26" i="43"/>
  <c r="J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K56" i="43"/>
  <c r="M56" i="43"/>
  <c r="N56" i="43" s="1"/>
  <c r="M58" i="43"/>
  <c r="N58" i="43" s="1"/>
  <c r="K58" i="43"/>
  <c r="E334" i="3"/>
  <c r="E121" i="3"/>
  <c r="E345" i="3"/>
  <c r="E567" i="3"/>
  <c r="E519" i="3"/>
  <c r="D43" i="71"/>
  <c r="C44" i="71"/>
  <c r="AC38" i="40"/>
  <c r="W38" i="40"/>
  <c r="AA44" i="39"/>
  <c r="S44" i="39"/>
  <c r="AA26" i="37"/>
  <c r="S26" i="37"/>
  <c r="AA25" i="37"/>
  <c r="S25" i="37"/>
  <c r="U36" i="39"/>
  <c r="AB36" i="39"/>
  <c r="AC31" i="39"/>
  <c r="W31" i="39"/>
  <c r="AA24" i="36"/>
  <c r="S24" i="36"/>
  <c r="AC28" i="37"/>
  <c r="W28" i="37"/>
  <c r="W38" i="37"/>
  <c r="AC38" i="37"/>
  <c r="W14" i="40"/>
  <c r="AC14" i="40"/>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W12" i="33"/>
  <c r="AC12" i="33"/>
  <c r="AC45" i="21"/>
  <c r="W45" i="21"/>
  <c r="S30" i="21"/>
  <c r="AA30" i="21"/>
  <c r="U14" i="21"/>
  <c r="AB14" i="21"/>
  <c r="W14" i="21"/>
  <c r="AC14" i="21"/>
  <c r="BA5" i="3"/>
  <c r="AC23" i="35"/>
  <c r="W23" i="35"/>
  <c r="AA27" i="34"/>
  <c r="S27" i="34"/>
  <c r="S31" i="21"/>
  <c r="AA31" i="21"/>
  <c r="U31" i="21"/>
  <c r="AB31" i="21"/>
  <c r="AA28" i="21"/>
  <c r="S28" i="21"/>
  <c r="AZ5" i="3"/>
  <c r="K51" i="43"/>
  <c r="M51" i="43"/>
  <c r="N51" i="43" s="1"/>
  <c r="N67" i="71"/>
  <c r="B66" i="71"/>
  <c r="D51" i="71"/>
  <c r="C52" i="71"/>
  <c r="U39" i="40"/>
  <c r="AB39" i="40"/>
  <c r="AB38" i="40"/>
  <c r="U38" i="40"/>
  <c r="AB26" i="37"/>
  <c r="U26" i="37"/>
  <c r="AC25" i="37"/>
  <c r="W25" i="37"/>
  <c r="W44" i="39"/>
  <c r="AC44" i="39"/>
  <c r="AC36" i="39"/>
  <c r="W36" i="39"/>
  <c r="AA31" i="39"/>
  <c r="S31" i="39"/>
  <c r="AB28" i="37"/>
  <c r="U28" i="37"/>
  <c r="S38" i="37"/>
  <c r="AA38" i="37"/>
  <c r="S14" i="40"/>
  <c r="AA14" i="40"/>
  <c r="S35" i="35"/>
  <c r="AA35" i="35"/>
  <c r="AB25" i="35"/>
  <c r="U25" i="35"/>
  <c r="AC25" i="35"/>
  <c r="W25" i="35"/>
  <c r="AC13" i="35"/>
  <c r="W13" i="35"/>
  <c r="AC47" i="34"/>
  <c r="W47" i="34"/>
  <c r="U47" i="34"/>
  <c r="AB47" i="34"/>
  <c r="W45" i="34"/>
  <c r="AC45" i="34"/>
  <c r="AA31" i="34"/>
  <c r="S31" i="34"/>
  <c r="W31" i="34"/>
  <c r="AC31" i="34"/>
  <c r="S29" i="34"/>
  <c r="AA29" i="34"/>
  <c r="W13" i="34"/>
  <c r="AC13" i="34"/>
  <c r="AB46" i="33"/>
  <c r="U46" i="33"/>
  <c r="AC46" i="33"/>
  <c r="W46" i="33"/>
  <c r="AC44" i="33"/>
  <c r="W44" i="33"/>
  <c r="AA14" i="33"/>
  <c r="S14" i="33"/>
  <c r="U12" i="33"/>
  <c r="AB12" i="33"/>
  <c r="AA45" i="21"/>
  <c r="S45" i="21"/>
  <c r="AC30" i="21"/>
  <c r="W30" i="21"/>
  <c r="AB30" i="21"/>
  <c r="U30" i="21"/>
  <c r="S14" i="21"/>
  <c r="AA14" i="21"/>
  <c r="F48" i="89"/>
  <c r="C30" i="89"/>
  <c r="C48" i="89"/>
  <c r="C15" i="71"/>
  <c r="M23" i="85"/>
  <c r="M23" i="43"/>
  <c r="T16" i="71"/>
  <c r="AA23" i="35"/>
  <c r="S23" i="35"/>
  <c r="U23" i="35"/>
  <c r="AB23" i="35"/>
  <c r="AC27" i="34"/>
  <c r="W27" i="34"/>
  <c r="AC31" i="21"/>
  <c r="W31" i="21"/>
  <c r="AC28" i="21"/>
  <c r="W28" i="21"/>
  <c r="AB28" i="21"/>
  <c r="U28" i="21"/>
  <c r="E11" i="71"/>
  <c r="E10" i="71" s="1"/>
  <c r="E9" i="71" s="1"/>
  <c r="E8" i="71" s="1"/>
  <c r="E7" i="71" s="1"/>
  <c r="E6" i="71" s="1"/>
  <c r="E5" i="71" s="1"/>
  <c r="V12" i="71"/>
  <c r="J50" i="43"/>
  <c r="D50" i="43"/>
  <c r="E30" i="3"/>
  <c r="E316" i="3"/>
  <c r="E166" i="3"/>
  <c r="E88" i="3"/>
  <c r="E531" i="3"/>
  <c r="E485" i="3"/>
  <c r="E204" i="3"/>
  <c r="E279" i="3"/>
  <c r="E457" i="3"/>
  <c r="E511" i="3"/>
  <c r="L57" i="90"/>
  <c r="J53" i="90"/>
  <c r="I54" i="90"/>
  <c r="L56" i="90"/>
  <c r="J57" i="90"/>
  <c r="J55" i="90" s="1"/>
  <c r="J58" i="90" s="1"/>
  <c r="Q50" i="90" s="1"/>
  <c r="L60" i="90"/>
  <c r="I24" i="85"/>
  <c r="C24" i="85" s="1"/>
  <c r="F11" i="90"/>
  <c r="M11" i="90"/>
  <c r="J10" i="90" s="1"/>
  <c r="I24" i="43"/>
  <c r="C24" i="43"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C8" i="74"/>
  <c r="D21" i="53"/>
  <c r="B39" i="72" s="1"/>
  <c r="D18" i="53"/>
  <c r="B35" i="72" s="1"/>
  <c r="D126" i="9"/>
  <c r="D19" i="53"/>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39"/>
  <c r="W10" i="39" s="1"/>
  <c r="D26" i="43"/>
  <c r="C25" i="43" s="1"/>
  <c r="C7" i="43"/>
  <c r="C5" i="43" s="1"/>
  <c r="D10" i="52"/>
  <c r="D125" i="9"/>
  <c r="D11" i="52" s="1"/>
  <c r="B7" i="74"/>
  <c r="C7" i="74" s="1"/>
  <c r="E69"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D9" i="89"/>
  <c r="F9" i="90"/>
  <c r="F8" i="90"/>
  <c r="M28" i="90"/>
  <c r="F36" i="90"/>
  <c r="F38" i="90"/>
  <c r="F6" i="90"/>
  <c r="F26" i="90"/>
  <c r="F40" i="90"/>
  <c r="M6" i="90"/>
  <c r="F42" i="90"/>
  <c r="M23" i="90"/>
  <c r="L47" i="90"/>
  <c r="F43" i="90"/>
  <c r="AE6" i="1"/>
  <c r="C36" i="89"/>
  <c r="F27" i="89"/>
  <c r="C76" i="90"/>
  <c r="F16" i="90"/>
  <c r="F37" i="90"/>
  <c r="J15" i="90"/>
  <c r="M24" i="90"/>
  <c r="M9" i="90"/>
  <c r="F13" i="90"/>
  <c r="M8" i="90"/>
  <c r="M22" i="90"/>
  <c r="M26" i="90"/>
  <c r="M29" i="90"/>
  <c r="F7" i="90"/>
  <c r="C16" i="83"/>
  <c r="F27" i="68"/>
  <c r="M7" i="90" l="1"/>
  <c r="J6" i="90" s="1"/>
  <c r="F50" i="90"/>
  <c r="F65" i="90"/>
  <c r="Q71" i="90"/>
  <c r="F45" i="89"/>
  <c r="C47" i="89"/>
  <c r="D45" i="89" s="1"/>
  <c r="C29" i="89"/>
  <c r="D27" i="89" s="1"/>
  <c r="F71" i="90"/>
  <c r="L59" i="90"/>
  <c r="N59" i="90"/>
  <c r="M59" i="90"/>
  <c r="L58" i="90"/>
  <c r="Q60" i="90" s="1"/>
  <c r="F68" i="90"/>
  <c r="C27" i="90"/>
  <c r="C6" i="90"/>
  <c r="C10" i="90" s="1"/>
  <c r="C5" i="90" s="1"/>
  <c r="F66" i="90"/>
  <c r="F64" i="90"/>
  <c r="F51" i="90"/>
  <c r="C9" i="89"/>
  <c r="H10" i="39"/>
  <c r="U10" i="39" s="1"/>
  <c r="C14" i="71"/>
  <c r="D15" i="71"/>
  <c r="T52" i="71"/>
  <c r="D52" i="71"/>
  <c r="N65" i="71"/>
  <c r="N66" i="71"/>
  <c r="J58" i="43"/>
  <c r="D58" i="43"/>
  <c r="J52" i="43"/>
  <c r="D52" i="43"/>
  <c r="J53" i="43"/>
  <c r="D53" i="43"/>
  <c r="J5" i="90"/>
  <c r="J24" i="90" s="1"/>
  <c r="J51" i="43"/>
  <c r="D51" i="43"/>
  <c r="E50" i="43" s="1"/>
  <c r="B48" i="43" s="1"/>
  <c r="C28" i="43" s="1"/>
  <c r="T44" i="71"/>
  <c r="D44" i="71"/>
  <c r="J56" i="43"/>
  <c r="D56" i="43"/>
  <c r="J55" i="43"/>
  <c r="D55" i="43"/>
  <c r="B11" i="71"/>
  <c r="B10" i="71" s="1"/>
  <c r="B9" i="71" s="1"/>
  <c r="B8" i="71" s="1"/>
  <c r="B7" i="71" s="1"/>
  <c r="B6" i="71" s="1"/>
  <c r="B5" i="71" s="1"/>
  <c r="S12" i="71"/>
  <c r="J5" i="83"/>
  <c r="J26" i="83" s="1"/>
  <c r="J18" i="83"/>
  <c r="C32" i="83"/>
  <c r="Q66" i="90"/>
  <c r="Q57" i="90"/>
  <c r="F1" i="90"/>
  <c r="Q52" i="90"/>
  <c r="F22" i="89"/>
  <c r="C24" i="89" s="1"/>
  <c r="F24" i="90"/>
  <c r="C53" i="90"/>
  <c r="H6" i="3"/>
  <c r="E6" i="3" s="1"/>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C53" i="83"/>
  <c r="C48" i="83" s="1"/>
  <c r="C10" i="83"/>
  <c r="C5" i="83" s="1"/>
  <c r="L36" i="43"/>
  <c r="P36" i="43" s="1"/>
  <c r="F22" i="82"/>
  <c r="B38" i="72"/>
  <c r="D20" i="53"/>
  <c r="B40" i="72" s="1"/>
  <c r="D127" i="9"/>
  <c r="D13" i="52" s="1"/>
  <c r="D12" i="52"/>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90"/>
  <c r="C16" i="90"/>
  <c r="F41" i="83"/>
  <c r="M27" i="67"/>
  <c r="M27" i="15"/>
  <c r="F41" i="15"/>
  <c r="AE7" i="1"/>
  <c r="M27" i="83"/>
  <c r="Q73" i="90" l="1"/>
  <c r="F41" i="89"/>
  <c r="J26" i="90"/>
  <c r="T13" i="43"/>
  <c r="V13" i="43" s="1"/>
  <c r="T9" i="43"/>
  <c r="V9" i="43" s="1"/>
  <c r="T16" i="43"/>
  <c r="V16" i="43" s="1"/>
  <c r="T12" i="43"/>
  <c r="V12" i="43" s="1"/>
  <c r="T8" i="43"/>
  <c r="V8" i="43" s="1"/>
  <c r="T3" i="43"/>
  <c r="V3" i="43" s="1"/>
  <c r="T6" i="43"/>
  <c r="V6" i="43" s="1"/>
  <c r="C33" i="43"/>
  <c r="C37" i="43"/>
  <c r="C42" i="43"/>
  <c r="E42" i="43" s="1"/>
  <c r="T15" i="43"/>
  <c r="V15" i="43" s="1"/>
  <c r="T11" i="43"/>
  <c r="V11" i="43" s="1"/>
  <c r="T7" i="43"/>
  <c r="V7" i="43" s="1"/>
  <c r="T14" i="43"/>
  <c r="V14" i="43" s="1"/>
  <c r="T10" i="43"/>
  <c r="V10" i="43" s="1"/>
  <c r="T4" i="43"/>
  <c r="V4" i="43" s="1"/>
  <c r="T2" i="43"/>
  <c r="V2" i="43" s="1"/>
  <c r="T5" i="43"/>
  <c r="V5" i="43" s="1"/>
  <c r="C40" i="43"/>
  <c r="C41" i="43"/>
  <c r="C39" i="43"/>
  <c r="C38" i="43"/>
  <c r="C13" i="71"/>
  <c r="D14" i="71"/>
  <c r="C32" i="90"/>
  <c r="C33" i="90"/>
  <c r="Q61" i="90"/>
  <c r="Q74" i="90"/>
  <c r="C49" i="90"/>
  <c r="C61" i="90" s="1"/>
  <c r="J18" i="90"/>
  <c r="J19" i="90"/>
  <c r="J24" i="83"/>
  <c r="C26" i="89"/>
  <c r="D22" i="89" s="1"/>
  <c r="C44" i="89"/>
  <c r="D41" i="89" s="1"/>
  <c r="C38" i="90"/>
  <c r="C24" i="90"/>
  <c r="G42" i="85"/>
  <c r="I42" i="85" s="1"/>
  <c r="E42" i="85"/>
  <c r="C6" i="82" s="1"/>
  <c r="G40" i="85"/>
  <c r="I40" i="85" s="1"/>
  <c r="E40" i="85"/>
  <c r="G39" i="85"/>
  <c r="I39" i="85" s="1"/>
  <c r="E39" i="85"/>
  <c r="G37" i="85"/>
  <c r="I37" i="85" s="1"/>
  <c r="E37" i="85"/>
  <c r="G41" i="85"/>
  <c r="I41" i="85" s="1"/>
  <c r="E41" i="85"/>
  <c r="E34" i="85"/>
  <c r="C34" i="85"/>
  <c r="E38" i="85"/>
  <c r="G38" i="85"/>
  <c r="I38" i="85" s="1"/>
  <c r="F69" i="83"/>
  <c r="J29" i="83"/>
  <c r="Q36" i="85"/>
  <c r="O36" i="85"/>
  <c r="M36" i="85"/>
  <c r="L37" i="85"/>
  <c r="P36" i="85"/>
  <c r="N36" i="85"/>
  <c r="O36" i="43"/>
  <c r="N36" i="43"/>
  <c r="M36" i="43"/>
  <c r="Q36" i="43"/>
  <c r="C38" i="83"/>
  <c r="C66" i="83"/>
  <c r="C60" i="83"/>
  <c r="F41" i="82"/>
  <c r="C24" i="82"/>
  <c r="C26" i="82"/>
  <c r="D22" i="82" s="1"/>
  <c r="C44" i="82"/>
  <c r="D41" i="82"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L18" i="91"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1" s="1"/>
  <c r="C118" i="91"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C6" i="89"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82"/>
  <c r="F41" i="67"/>
  <c r="C14" i="67"/>
  <c r="C17" i="83"/>
  <c r="D10" i="68"/>
  <c r="C17" i="67"/>
  <c r="C17" i="15"/>
  <c r="C17" i="90"/>
  <c r="F41" i="90"/>
  <c r="D10" i="89"/>
  <c r="C12" i="71" l="1"/>
  <c r="D13" i="71"/>
  <c r="C48" i="90"/>
  <c r="C30" i="85"/>
  <c r="B2" i="85" s="1"/>
  <c r="B3" i="85" s="1"/>
  <c r="D19" i="89"/>
  <c r="D37" i="89" s="1"/>
  <c r="C37" i="89" s="1"/>
  <c r="C10" i="89"/>
  <c r="C8" i="89" s="1"/>
  <c r="F50" i="82"/>
  <c r="F50" i="89"/>
  <c r="F69" i="67"/>
  <c r="F69" i="90"/>
  <c r="J29" i="90"/>
  <c r="C6" i="68"/>
  <c r="C31" i="85"/>
  <c r="C7" i="68"/>
  <c r="D19" i="82"/>
  <c r="D37" i="82" s="1"/>
  <c r="C37" i="82" s="1"/>
  <c r="C10" i="82"/>
  <c r="M19" i="9"/>
  <c r="C118" i="9" s="1"/>
  <c r="B2" i="74" s="1"/>
  <c r="E7" i="70"/>
  <c r="M19" i="84"/>
  <c r="C118" i="84" s="1"/>
  <c r="S20" i="6"/>
  <c r="L18" i="84"/>
  <c r="Q37" i="85"/>
  <c r="O37" i="85"/>
  <c r="M37" i="85"/>
  <c r="P37" i="85"/>
  <c r="N37" i="85"/>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90"/>
  <c r="B6" i="76"/>
  <c r="C34" i="89"/>
  <c r="C14" i="15"/>
  <c r="C14" i="83"/>
  <c r="E6" i="76"/>
  <c r="C34" i="68"/>
  <c r="C34" i="82"/>
  <c r="B29" i="1" l="1"/>
  <c r="C18" i="12" s="1"/>
  <c r="C66" i="90"/>
  <c r="C60" i="90"/>
  <c r="C11" i="71"/>
  <c r="T12" i="71"/>
  <c r="D12" i="71"/>
  <c r="U12" i="71" s="1"/>
  <c r="C35" i="89"/>
  <c r="C38" i="89"/>
  <c r="C15" i="90"/>
  <c r="C18" i="90"/>
  <c r="R20" i="6"/>
  <c r="R7" i="1" s="1"/>
  <c r="L19" i="91"/>
  <c r="C7" i="89"/>
  <c r="C5" i="89" s="1"/>
  <c r="C18" i="83"/>
  <c r="C15" i="83"/>
  <c r="C35" i="82"/>
  <c r="C38" i="82"/>
  <c r="L19" i="84"/>
  <c r="C8" i="68"/>
  <c r="C5" i="68" s="1"/>
  <c r="C23" i="68" s="1"/>
  <c r="C8" i="82"/>
  <c r="C7" i="8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33" i="89"/>
  <c r="C42" i="89" s="1"/>
  <c r="C19" i="90"/>
  <c r="C20" i="90" s="1"/>
  <c r="C39" i="89"/>
  <c r="C43" i="89" s="1"/>
  <c r="C23" i="89"/>
  <c r="C20" i="89"/>
  <c r="C25" i="89" s="1"/>
  <c r="C19" i="83"/>
  <c r="C33" i="82"/>
  <c r="C39" i="82" s="1"/>
  <c r="C43" i="82" s="1"/>
  <c r="C20" i="83"/>
  <c r="C26" i="83" s="1"/>
  <c r="C21" i="12"/>
  <c r="C22" i="12" s="1"/>
  <c r="C5" i="82"/>
  <c r="C23" i="82"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D10" i="71" l="1"/>
  <c r="C9" i="71"/>
  <c r="C26" i="90"/>
  <c r="C23" i="90"/>
  <c r="C41" i="89"/>
  <c r="C46" i="89"/>
  <c r="C45" i="89" s="1"/>
  <c r="C28" i="89"/>
  <c r="C27" i="89" s="1"/>
  <c r="C22" i="89"/>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90"/>
  <c r="M21" i="15"/>
  <c r="F35" i="90"/>
  <c r="F35" i="67"/>
  <c r="F35" i="15"/>
  <c r="M21" i="83"/>
  <c r="F35" i="83"/>
  <c r="M21" i="67"/>
  <c r="C8" i="71" l="1"/>
  <c r="D9" i="71"/>
  <c r="C29" i="90"/>
  <c r="C57" i="90" s="1"/>
  <c r="C64" i="90" s="1"/>
  <c r="C49" i="89"/>
  <c r="C51" i="89" s="1"/>
  <c r="C31" i="89"/>
  <c r="J20" i="90"/>
  <c r="J17" i="90" s="1"/>
  <c r="F63" i="90"/>
  <c r="C62" i="90" s="1"/>
  <c r="C59" i="90" s="1"/>
  <c r="C34" i="90"/>
  <c r="C31" i="90" s="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 i="71" l="1"/>
  <c r="D8" i="71"/>
  <c r="C52" i="89"/>
  <c r="C57" i="89" s="1"/>
  <c r="C56" i="89" s="1"/>
  <c r="C36" i="90"/>
  <c r="C13" i="90"/>
  <c r="Q70" i="90" s="1"/>
  <c r="J59" i="90"/>
  <c r="J60" i="90" s="1"/>
  <c r="L46" i="90" s="1"/>
  <c r="J14" i="90"/>
  <c r="Q49" i="90"/>
  <c r="C52" i="82"/>
  <c r="B2" i="82" s="1"/>
  <c r="J13" i="83"/>
  <c r="J23" i="83" s="1"/>
  <c r="Q48" i="83"/>
  <c r="J16" i="83"/>
  <c r="J25" i="83" s="1"/>
  <c r="C56" i="83"/>
  <c r="C65" i="83" s="1"/>
  <c r="C58" i="83" s="1"/>
  <c r="C67" i="83" s="1"/>
  <c r="C68" i="83" s="1"/>
  <c r="C71" i="83" s="1"/>
  <c r="Q70" i="83"/>
  <c r="C37" i="83"/>
  <c r="C30" i="83" s="1"/>
  <c r="C39" i="83"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82"/>
  <c r="L51" i="83"/>
  <c r="C19" i="84"/>
  <c r="B3" i="68"/>
  <c r="D2" i="21"/>
  <c r="C6" i="71" l="1"/>
  <c r="D7" i="71"/>
  <c r="B2" i="89"/>
  <c r="C75" i="90"/>
  <c r="C37" i="90"/>
  <c r="C30" i="90" s="1"/>
  <c r="C39" i="90" s="1"/>
  <c r="C40" i="90" s="1"/>
  <c r="Q47" i="90" s="1"/>
  <c r="C56" i="90"/>
  <c r="C65" i="90" s="1"/>
  <c r="C58" i="90" s="1"/>
  <c r="C67" i="90" s="1"/>
  <c r="C68" i="90" s="1"/>
  <c r="C71" i="90" s="1"/>
  <c r="Q48" i="90"/>
  <c r="J13" i="90"/>
  <c r="J23" i="90" s="1"/>
  <c r="J22" i="90"/>
  <c r="C57" i="82"/>
  <c r="C21" i="84"/>
  <c r="C102" i="84"/>
  <c r="Q69" i="83"/>
  <c r="Q68" i="83" s="1"/>
  <c r="C80" i="83"/>
  <c r="C79" i="83" s="1"/>
  <c r="C40" i="83"/>
  <c r="C46" i="83" s="1"/>
  <c r="Q67" i="8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35" i="84"/>
  <c r="C19" i="91"/>
  <c r="L51" i="67"/>
  <c r="B3" i="89"/>
  <c r="C20" i="9"/>
  <c r="L51" i="90"/>
  <c r="C20" i="84"/>
  <c r="C5" i="71" l="1"/>
  <c r="D6" i="71"/>
  <c r="C21" i="91"/>
  <c r="C102" i="91"/>
  <c r="C80" i="90"/>
  <c r="C79" i="90" s="1"/>
  <c r="Q67" i="90"/>
  <c r="Q69" i="90"/>
  <c r="Q68" i="90" s="1"/>
  <c r="Q53" i="90"/>
  <c r="Q56" i="90"/>
  <c r="Q62" i="90" s="1"/>
  <c r="C83" i="90"/>
  <c r="C82" i="90" s="1"/>
  <c r="B2" i="90"/>
  <c r="B3" i="90" s="1"/>
  <c r="J16" i="90"/>
  <c r="J25" i="90" s="1"/>
  <c r="C46" i="90"/>
  <c r="C43" i="90"/>
  <c r="Q65" i="90"/>
  <c r="Q75" i="90" s="1"/>
  <c r="C103" i="9"/>
  <c r="C103" i="84"/>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1"/>
  <c r="D2" i="35"/>
  <c r="D2" i="36"/>
  <c r="D2" i="34"/>
  <c r="D2" i="37"/>
  <c r="D34" i="84"/>
  <c r="L51" i="15"/>
  <c r="M24" i="85" l="1"/>
  <c r="D5" i="71"/>
  <c r="M24" i="43" s="1"/>
  <c r="C103" i="9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2" i="1"/>
  <c r="AO7"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4"/>
  <c r="D19" i="9"/>
  <c r="D19" i="91"/>
  <c r="AO6" i="1"/>
  <c r="D21" i="91" l="1"/>
  <c r="D102" i="91"/>
  <c r="D22" i="91"/>
  <c r="G19" i="91"/>
  <c r="D21" i="84"/>
  <c r="D102" i="84"/>
  <c r="D22" i="84"/>
  <c r="G19" i="84"/>
  <c r="B3" i="15"/>
  <c r="D102" i="9"/>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35" i="91"/>
  <c r="D34" i="91"/>
  <c r="D20" i="91"/>
  <c r="D34" i="9"/>
  <c r="D20" i="9"/>
  <c r="D35" i="9"/>
  <c r="D103" i="91" l="1"/>
  <c r="G20" i="91"/>
  <c r="C32" i="91"/>
  <c r="G21" i="91"/>
  <c r="D103" i="84"/>
  <c r="G20" i="84"/>
  <c r="G20" i="9"/>
  <c r="D103" i="9"/>
  <c r="C32" i="84"/>
  <c r="G21" i="84"/>
  <c r="C32" i="9"/>
  <c r="C35" i="9" s="1"/>
  <c r="C34" i="9" s="1"/>
  <c r="C42" i="40"/>
  <c r="C43" i="40"/>
  <c r="E47" i="40"/>
  <c r="F47" i="40" s="1"/>
  <c r="E46" i="40"/>
  <c r="F46" i="40" s="1"/>
  <c r="I47" i="40"/>
  <c r="J47" i="40" s="1"/>
  <c r="C35" i="91" l="1"/>
  <c r="F118" i="91" s="1"/>
  <c r="H118" i="91"/>
  <c r="C35" i="84"/>
  <c r="F118" i="84" s="1"/>
  <c r="H118" i="84"/>
  <c r="B58" i="40"/>
  <c r="F58" i="40" s="1"/>
  <c r="B54" i="40"/>
  <c r="F54" i="40" s="1"/>
  <c r="B53" i="40"/>
  <c r="F53" i="40" s="1"/>
  <c r="B59" i="40"/>
  <c r="F59" i="40" s="1"/>
  <c r="B52" i="40"/>
  <c r="F52" i="40" s="1"/>
  <c r="B56" i="40"/>
  <c r="F56" i="40" s="1"/>
  <c r="B60" i="40"/>
  <c r="F60" i="40" s="1"/>
  <c r="B57" i="40"/>
  <c r="F57" i="40" s="1"/>
  <c r="B51" i="40"/>
  <c r="F51" i="40" s="1"/>
  <c r="F61" i="40"/>
  <c r="B2" i="40" s="1"/>
  <c r="B3" i="40" s="1"/>
  <c r="C34" i="91" l="1"/>
  <c r="D118" i="91" s="1"/>
  <c r="D119" i="91" s="1"/>
  <c r="I118" i="91"/>
  <c r="C104" i="91"/>
  <c r="H119" i="91"/>
  <c r="H101" i="91"/>
  <c r="D15" i="74" s="1"/>
  <c r="F119" i="91"/>
  <c r="G118" i="91"/>
  <c r="C34" i="84"/>
  <c r="D118" i="84" s="1"/>
  <c r="D119" i="84" s="1"/>
  <c r="I118" i="84"/>
  <c r="C104" i="84"/>
  <c r="H119" i="84"/>
  <c r="H101" i="84"/>
  <c r="F119" i="84"/>
  <c r="G118" i="84"/>
  <c r="H107" i="91" l="1"/>
  <c r="G15" i="74" s="1"/>
  <c r="D45" i="91"/>
  <c r="M48" i="91"/>
  <c r="E118" i="91"/>
  <c r="C105" i="91"/>
  <c r="H102" i="91"/>
  <c r="F15" i="74"/>
  <c r="E15" i="74"/>
  <c r="H107" i="84"/>
  <c r="D45" i="84"/>
  <c r="M48" i="84"/>
  <c r="E118" i="84"/>
  <c r="C105" i="84"/>
  <c r="H102" i="84"/>
  <c r="C78" i="91" l="1"/>
  <c r="C73" i="91" s="1"/>
  <c r="D52" i="91"/>
  <c r="C93" i="91"/>
  <c r="C86" i="91" s="1"/>
  <c r="C85" i="91"/>
  <c r="C72" i="91"/>
  <c r="C79" i="91" s="1"/>
  <c r="C64" i="91"/>
  <c r="C63" i="91" s="1"/>
  <c r="C67" i="91" s="1"/>
  <c r="D55" i="91"/>
  <c r="M53" i="91" s="1"/>
  <c r="D53" i="91"/>
  <c r="D122" i="91"/>
  <c r="D123" i="91" s="1"/>
  <c r="H108" i="91"/>
  <c r="M49" i="91"/>
  <c r="C78" i="84"/>
  <c r="C73" i="84" s="1"/>
  <c r="D52" i="84"/>
  <c r="C93" i="84"/>
  <c r="C86" i="84" s="1"/>
  <c r="C85" i="84"/>
  <c r="C72" i="84"/>
  <c r="C64" i="84"/>
  <c r="C63" i="84" s="1"/>
  <c r="C67" i="84" s="1"/>
  <c r="D55" i="84"/>
  <c r="M53" i="84" s="1"/>
  <c r="D53" i="84"/>
  <c r="D122" i="84"/>
  <c r="D123" i="84" s="1"/>
  <c r="H108" i="84"/>
  <c r="M49" i="84"/>
  <c r="D59" i="91" l="1"/>
  <c r="M55" i="91" s="1"/>
  <c r="C68" i="91"/>
  <c r="D54" i="91" s="1"/>
  <c r="C95" i="91"/>
  <c r="L66" i="91"/>
  <c r="M66" i="91" s="1"/>
  <c r="L65" i="91"/>
  <c r="M65" i="91" s="1"/>
  <c r="L64" i="91"/>
  <c r="M64" i="91" s="1"/>
  <c r="L68" i="91"/>
  <c r="M68" i="91" s="1"/>
  <c r="L67" i="91"/>
  <c r="M67" i="91" s="1"/>
  <c r="L63" i="91"/>
  <c r="M63" i="91" s="1"/>
  <c r="C80" i="91"/>
  <c r="E80" i="91" s="1"/>
  <c r="E81" i="91" s="1"/>
  <c r="C79" i="84"/>
  <c r="C80" i="84" s="1"/>
  <c r="E80" i="84" s="1"/>
  <c r="E81" i="84" s="1"/>
  <c r="D59" i="84"/>
  <c r="M55" i="84" s="1"/>
  <c r="C68" i="84"/>
  <c r="D54" i="84" s="1"/>
  <c r="C95" i="84"/>
  <c r="L66" i="84"/>
  <c r="M66" i="84" s="1"/>
  <c r="L65" i="84"/>
  <c r="M65" i="84" s="1"/>
  <c r="L64" i="84"/>
  <c r="M64" i="84" s="1"/>
  <c r="L68" i="84"/>
  <c r="M68" i="84" s="1"/>
  <c r="L67" i="84"/>
  <c r="M67" i="84" s="1"/>
  <c r="L63" i="84"/>
  <c r="M63" i="84" s="1"/>
  <c r="M69" i="91" l="1"/>
  <c r="N69" i="91" s="1"/>
  <c r="C81" i="91"/>
  <c r="C96" i="91"/>
  <c r="E96" i="91" s="1"/>
  <c r="E97" i="91" s="1"/>
  <c r="M69" i="84"/>
  <c r="N69" i="84" s="1"/>
  <c r="C81" i="84"/>
  <c r="C96" i="84"/>
  <c r="E96" i="84" s="1"/>
  <c r="E97" i="84" s="1"/>
  <c r="C97" i="91" l="1"/>
  <c r="D58" i="91" s="1"/>
  <c r="D56" i="91" s="1"/>
  <c r="M54" i="91" s="1"/>
  <c r="N57" i="91" s="1"/>
  <c r="C97" i="84"/>
  <c r="D58" i="84" s="1"/>
  <c r="D56" i="84" s="1"/>
  <c r="M54" i="84" s="1"/>
  <c r="N57" i="84" s="1"/>
  <c r="N58" i="91" l="1"/>
  <c r="P57" i="91"/>
  <c r="N59" i="91"/>
  <c r="N58" i="84"/>
  <c r="P57" i="84"/>
  <c r="N59" i="84"/>
  <c r="N61" i="91" l="1"/>
  <c r="N60" i="91"/>
  <c r="N61" i="84"/>
  <c r="N60" i="84"/>
  <c r="F118" i="9" l="1"/>
  <c r="F4" i="52" s="1"/>
  <c r="B51" i="72" s="1"/>
  <c r="D118" i="9"/>
  <c r="D4" i="52" s="1"/>
  <c r="B47" i="72" s="1"/>
  <c r="H118" i="9"/>
  <c r="C104" i="9" s="1"/>
  <c r="H101" i="9" l="1"/>
  <c r="D14" i="74" s="1"/>
  <c r="D12"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D45" i="9"/>
  <c r="H107" i="9"/>
  <c r="M48" i="9"/>
  <c r="D5" i="53"/>
  <c r="G14" i="74" l="1"/>
  <c r="B20" i="72"/>
  <c r="D6" i="53"/>
  <c r="B22" i="72" s="1"/>
  <c r="D13" i="53"/>
  <c r="D122" i="9"/>
  <c r="M49" i="9"/>
  <c r="H108" i="9"/>
  <c r="D53" i="9"/>
  <c r="C85" i="9"/>
  <c r="C78" i="9"/>
  <c r="C73" i="9" s="1"/>
  <c r="D52" i="9"/>
  <c r="C93" i="9"/>
  <c r="C86" i="9" s="1"/>
  <c r="C72" i="9"/>
  <c r="D55" i="9"/>
  <c r="M53" i="9" s="1"/>
  <c r="C64" i="9"/>
  <c r="C63" i="9" s="1"/>
  <c r="C67" i="9" s="1"/>
  <c r="D7" i="53"/>
  <c r="B21" i="72" s="1"/>
  <c r="C5" i="74"/>
  <c r="B6" i="74" l="1"/>
  <c r="D6" i="74" s="1"/>
  <c r="G12" i="74"/>
  <c r="C79" i="9"/>
  <c r="C95" i="9"/>
  <c r="D59" i="9"/>
  <c r="M55" i="9" s="1"/>
  <c r="C68" i="9"/>
  <c r="D54" i="9" s="1"/>
  <c r="C6" i="74"/>
  <c r="D15" i="53"/>
  <c r="B31" i="72" s="1"/>
  <c r="D8" i="52"/>
  <c r="D123" i="9"/>
  <c r="D9" i="52" s="1"/>
  <c r="C80" i="9"/>
  <c r="E80" i="9" s="1"/>
  <c r="E81" i="9" s="1"/>
  <c r="C96" i="9"/>
  <c r="E96" i="9" s="1"/>
  <c r="E97" i="9" s="1"/>
  <c r="L67" i="9"/>
  <c r="M67" i="9" s="1"/>
  <c r="L66" i="9"/>
  <c r="M66" i="9" s="1"/>
  <c r="L68" i="9"/>
  <c r="M68" i="9" s="1"/>
  <c r="L65" i="9"/>
  <c r="M65" i="9" s="1"/>
  <c r="L63" i="9"/>
  <c r="M63" i="9" s="1"/>
  <c r="L64" i="9"/>
  <c r="M64" i="9" s="1"/>
  <c r="B30" i="72"/>
  <c r="D14" i="53"/>
  <c r="B32" i="72"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作者</author>
    <author>PC</author>
  </authors>
  <commentList>
    <comment ref="B10" authorId="0">
      <text>
        <r>
          <rPr>
            <b/>
            <sz val="9"/>
            <color indexed="81"/>
            <rFont val="宋体"/>
            <family val="3"/>
            <charset val="134"/>
          </rPr>
          <t>作者:</t>
        </r>
        <r>
          <rPr>
            <sz val="9"/>
            <color indexed="81"/>
            <rFont val="宋体"/>
            <family val="3"/>
            <charset val="134"/>
          </rPr>
          <t xml:space="preserve">
原孙漺</t>
        </r>
      </text>
    </comment>
    <comment ref="B11" authorId="0">
      <text>
        <r>
          <rPr>
            <b/>
            <sz val="9"/>
            <color indexed="81"/>
            <rFont val="宋体"/>
            <family val="3"/>
            <charset val="134"/>
          </rPr>
          <t>作者:</t>
        </r>
        <r>
          <rPr>
            <sz val="9"/>
            <color indexed="81"/>
            <rFont val="宋体"/>
            <family val="3"/>
            <charset val="134"/>
          </rPr>
          <t xml:space="preserve">
原朴圣默</t>
        </r>
      </text>
    </comment>
    <comment ref="B12" authorId="0">
      <text>
        <r>
          <rPr>
            <b/>
            <sz val="9"/>
            <color indexed="81"/>
            <rFont val="宋体"/>
            <family val="3"/>
            <charset val="134"/>
          </rPr>
          <t>作者:</t>
        </r>
        <r>
          <rPr>
            <sz val="9"/>
            <color indexed="81"/>
            <rFont val="宋体"/>
            <family val="3"/>
            <charset val="134"/>
          </rPr>
          <t xml:space="preserve">
原曹震</t>
        </r>
      </text>
    </comment>
    <comment ref="B13" authorId="0">
      <text>
        <r>
          <rPr>
            <b/>
            <sz val="9"/>
            <color indexed="81"/>
            <rFont val="宋体"/>
            <family val="3"/>
            <charset val="134"/>
          </rPr>
          <t>作者:</t>
        </r>
        <r>
          <rPr>
            <sz val="9"/>
            <color indexed="81"/>
            <rFont val="宋体"/>
            <family val="3"/>
            <charset val="134"/>
          </rPr>
          <t xml:space="preserve">
原刘海宁</t>
        </r>
      </text>
    </comment>
    <comment ref="B14" authorId="0">
      <text>
        <r>
          <rPr>
            <b/>
            <sz val="9"/>
            <color indexed="81"/>
            <rFont val="宋体"/>
            <family val="3"/>
            <charset val="134"/>
          </rPr>
          <t>作者:</t>
        </r>
        <r>
          <rPr>
            <sz val="9"/>
            <color indexed="81"/>
            <rFont val="宋体"/>
            <family val="3"/>
            <charset val="134"/>
          </rPr>
          <t xml:space="preserve">
原李若男</t>
        </r>
      </text>
    </comment>
    <comment ref="B15" authorId="0">
      <text>
        <r>
          <rPr>
            <b/>
            <sz val="9"/>
            <color indexed="81"/>
            <rFont val="宋体"/>
            <family val="3"/>
            <charset val="134"/>
          </rPr>
          <t>作者:</t>
        </r>
        <r>
          <rPr>
            <sz val="9"/>
            <color indexed="81"/>
            <rFont val="宋体"/>
            <family val="3"/>
            <charset val="134"/>
          </rPr>
          <t xml:space="preserve">
原北京弓矢道体育文化发展有限公司</t>
        </r>
      </text>
    </comment>
    <comment ref="B17" authorId="0">
      <text>
        <r>
          <rPr>
            <b/>
            <sz val="9"/>
            <color indexed="81"/>
            <rFont val="宋体"/>
            <family val="3"/>
            <charset val="134"/>
          </rPr>
          <t>作者:</t>
        </r>
        <r>
          <rPr>
            <sz val="9"/>
            <color indexed="81"/>
            <rFont val="宋体"/>
            <family val="3"/>
            <charset val="134"/>
          </rPr>
          <t xml:space="preserve">
原李迪平</t>
        </r>
      </text>
    </comment>
    <comment ref="B20" authorId="0">
      <text>
        <r>
          <rPr>
            <b/>
            <sz val="9"/>
            <color indexed="81"/>
            <rFont val="宋体"/>
            <family val="3"/>
            <charset val="134"/>
          </rPr>
          <t>作者:</t>
        </r>
        <r>
          <rPr>
            <sz val="9"/>
            <color indexed="81"/>
            <rFont val="宋体"/>
            <family val="3"/>
            <charset val="134"/>
          </rPr>
          <t xml:space="preserve">
原奥迈嘉海文化产业（北京）有限公司</t>
        </r>
      </text>
    </comment>
    <comment ref="B23" authorId="0">
      <text>
        <r>
          <rPr>
            <b/>
            <sz val="9"/>
            <color indexed="81"/>
            <rFont val="宋体"/>
            <family val="3"/>
            <charset val="134"/>
          </rPr>
          <t>作者:</t>
        </r>
        <r>
          <rPr>
            <sz val="9"/>
            <color indexed="81"/>
            <rFont val="宋体"/>
            <family val="3"/>
            <charset val="134"/>
          </rPr>
          <t xml:space="preserve">
原池程明</t>
        </r>
      </text>
    </comment>
    <comment ref="B27" authorId="0">
      <text>
        <r>
          <rPr>
            <b/>
            <sz val="9"/>
            <color indexed="81"/>
            <rFont val="宋体"/>
            <family val="3"/>
            <charset val="134"/>
          </rPr>
          <t>作者:</t>
        </r>
        <r>
          <rPr>
            <sz val="9"/>
            <color indexed="81"/>
            <rFont val="宋体"/>
            <family val="3"/>
            <charset val="134"/>
          </rPr>
          <t xml:space="preserve">
原北京新淳室内设计咨询有限公司</t>
        </r>
      </text>
    </comment>
    <comment ref="B32" authorId="0">
      <text>
        <r>
          <rPr>
            <b/>
            <sz val="9"/>
            <color indexed="81"/>
            <rFont val="宋体"/>
            <family val="3"/>
            <charset val="134"/>
          </rPr>
          <t>作者:</t>
        </r>
        <r>
          <rPr>
            <sz val="9"/>
            <color indexed="81"/>
            <rFont val="宋体"/>
            <family val="3"/>
            <charset val="134"/>
          </rPr>
          <t xml:space="preserve">
原郑振华</t>
        </r>
      </text>
    </comment>
    <comment ref="B33" authorId="0">
      <text>
        <r>
          <rPr>
            <b/>
            <sz val="9"/>
            <color indexed="81"/>
            <rFont val="宋体"/>
            <family val="3"/>
            <charset val="134"/>
          </rPr>
          <t>作者:</t>
        </r>
        <r>
          <rPr>
            <sz val="9"/>
            <color indexed="81"/>
            <rFont val="宋体"/>
            <family val="3"/>
            <charset val="134"/>
          </rPr>
          <t xml:space="preserve">
原郑振华</t>
        </r>
      </text>
    </comment>
    <comment ref="B34" authorId="0">
      <text>
        <r>
          <rPr>
            <b/>
            <sz val="9"/>
            <color indexed="81"/>
            <rFont val="宋体"/>
            <family val="3"/>
            <charset val="134"/>
          </rPr>
          <t>作者:</t>
        </r>
        <r>
          <rPr>
            <sz val="9"/>
            <color indexed="81"/>
            <rFont val="宋体"/>
            <family val="3"/>
            <charset val="134"/>
          </rPr>
          <t xml:space="preserve">
原王璇</t>
        </r>
      </text>
    </comment>
    <comment ref="B35" authorId="0">
      <text>
        <r>
          <rPr>
            <b/>
            <sz val="9"/>
            <color indexed="81"/>
            <rFont val="宋体"/>
            <family val="3"/>
            <charset val="134"/>
          </rPr>
          <t>作者:</t>
        </r>
        <r>
          <rPr>
            <sz val="9"/>
            <color indexed="81"/>
            <rFont val="宋体"/>
            <family val="3"/>
            <charset val="134"/>
          </rPr>
          <t xml:space="preserve">
原王璇</t>
        </r>
      </text>
    </comment>
    <comment ref="B36" authorId="0">
      <text>
        <r>
          <rPr>
            <b/>
            <sz val="9"/>
            <color indexed="81"/>
            <rFont val="宋体"/>
            <family val="3"/>
            <charset val="134"/>
          </rPr>
          <t>作者:</t>
        </r>
        <r>
          <rPr>
            <sz val="9"/>
            <color indexed="81"/>
            <rFont val="宋体"/>
            <family val="3"/>
            <charset val="134"/>
          </rPr>
          <t xml:space="preserve">
原冉素霞</t>
        </r>
      </text>
    </comment>
    <comment ref="B38" authorId="0">
      <text>
        <r>
          <rPr>
            <b/>
            <sz val="9"/>
            <color indexed="81"/>
            <rFont val="宋体"/>
            <family val="3"/>
            <charset val="134"/>
          </rPr>
          <t>作者:</t>
        </r>
        <r>
          <rPr>
            <sz val="9"/>
            <color indexed="81"/>
            <rFont val="宋体"/>
            <family val="3"/>
            <charset val="134"/>
          </rPr>
          <t xml:space="preserve">
原郭子峰</t>
        </r>
      </text>
    </comment>
    <comment ref="B39" authorId="0">
      <text>
        <r>
          <rPr>
            <b/>
            <sz val="9"/>
            <color indexed="81"/>
            <rFont val="宋体"/>
            <family val="3"/>
            <charset val="134"/>
          </rPr>
          <t>作者:</t>
        </r>
        <r>
          <rPr>
            <sz val="9"/>
            <color indexed="81"/>
            <rFont val="宋体"/>
            <family val="3"/>
            <charset val="134"/>
          </rPr>
          <t xml:space="preserve">
原张增辉</t>
        </r>
      </text>
    </comment>
    <comment ref="B40" authorId="0">
      <text>
        <r>
          <rPr>
            <b/>
            <sz val="9"/>
            <color indexed="81"/>
            <rFont val="宋体"/>
            <family val="3"/>
            <charset val="134"/>
          </rPr>
          <t>作者:</t>
        </r>
        <r>
          <rPr>
            <sz val="9"/>
            <color indexed="81"/>
            <rFont val="宋体"/>
            <family val="3"/>
            <charset val="134"/>
          </rPr>
          <t xml:space="preserve">
原李子康</t>
        </r>
      </text>
    </comment>
    <comment ref="B41" authorId="0">
      <text>
        <r>
          <rPr>
            <b/>
            <sz val="9"/>
            <color indexed="81"/>
            <rFont val="宋体"/>
            <family val="3"/>
            <charset val="134"/>
          </rPr>
          <t>作者:</t>
        </r>
        <r>
          <rPr>
            <sz val="9"/>
            <color indexed="81"/>
            <rFont val="宋体"/>
            <family val="3"/>
            <charset val="134"/>
          </rPr>
          <t xml:space="preserve">
原刘宇</t>
        </r>
      </text>
    </comment>
    <comment ref="B42" authorId="0">
      <text>
        <r>
          <rPr>
            <b/>
            <sz val="9"/>
            <color indexed="81"/>
            <rFont val="宋体"/>
            <family val="3"/>
            <charset val="134"/>
          </rPr>
          <t>作者:</t>
        </r>
        <r>
          <rPr>
            <sz val="9"/>
            <color indexed="81"/>
            <rFont val="宋体"/>
            <family val="3"/>
            <charset val="134"/>
          </rPr>
          <t xml:space="preserve">
原徐童垒</t>
        </r>
      </text>
    </comment>
    <comment ref="B43"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45" authorId="0">
      <text>
        <r>
          <rPr>
            <b/>
            <sz val="9"/>
            <color indexed="81"/>
            <rFont val="宋体"/>
            <family val="3"/>
            <charset val="134"/>
          </rPr>
          <t>作者:</t>
        </r>
        <r>
          <rPr>
            <sz val="9"/>
            <color indexed="81"/>
            <rFont val="宋体"/>
            <family val="3"/>
            <charset val="134"/>
          </rPr>
          <t xml:space="preserve">
原北京海簋餐饮管理有限公司</t>
        </r>
      </text>
    </comment>
    <comment ref="B46" authorId="0">
      <text>
        <r>
          <rPr>
            <b/>
            <sz val="9"/>
            <color indexed="81"/>
            <rFont val="宋体"/>
            <family val="3"/>
            <charset val="134"/>
          </rPr>
          <t>作者:</t>
        </r>
        <r>
          <rPr>
            <sz val="9"/>
            <color indexed="81"/>
            <rFont val="宋体"/>
            <family val="3"/>
            <charset val="134"/>
          </rPr>
          <t xml:space="preserve">
原顾春龙</t>
        </r>
      </text>
    </comment>
    <comment ref="B47" authorId="0">
      <text>
        <r>
          <rPr>
            <b/>
            <sz val="9"/>
            <color indexed="81"/>
            <rFont val="宋体"/>
            <family val="3"/>
            <charset val="134"/>
          </rPr>
          <t>作者:</t>
        </r>
        <r>
          <rPr>
            <sz val="9"/>
            <color indexed="81"/>
            <rFont val="宋体"/>
            <family val="3"/>
            <charset val="134"/>
          </rPr>
          <t xml:space="preserve">
原北京畅捷达通讯有限公司</t>
        </r>
      </text>
    </comment>
    <comment ref="B48" authorId="0">
      <text>
        <r>
          <rPr>
            <b/>
            <sz val="9"/>
            <color indexed="81"/>
            <rFont val="宋体"/>
            <family val="3"/>
            <charset val="134"/>
          </rPr>
          <t>作者:</t>
        </r>
        <r>
          <rPr>
            <sz val="9"/>
            <color indexed="81"/>
            <rFont val="宋体"/>
            <family val="3"/>
            <charset val="134"/>
          </rPr>
          <t xml:space="preserve">
原北京京华大鼎餐饮管理有限公司</t>
        </r>
      </text>
    </comment>
    <comment ref="B49" authorId="0">
      <text>
        <r>
          <rPr>
            <b/>
            <sz val="9"/>
            <color indexed="81"/>
            <rFont val="宋体"/>
            <family val="3"/>
            <charset val="134"/>
          </rPr>
          <t>作者:</t>
        </r>
        <r>
          <rPr>
            <sz val="9"/>
            <color indexed="81"/>
            <rFont val="宋体"/>
            <family val="3"/>
            <charset val="134"/>
          </rPr>
          <t xml:space="preserve">
原谢云</t>
        </r>
      </text>
    </comment>
    <comment ref="B50" authorId="1">
      <text>
        <r>
          <rPr>
            <b/>
            <sz val="9"/>
            <color indexed="81"/>
            <rFont val="宋体"/>
            <family val="3"/>
            <charset val="134"/>
          </rPr>
          <t>PC:</t>
        </r>
        <r>
          <rPr>
            <sz val="9"/>
            <color indexed="81"/>
            <rFont val="宋体"/>
            <family val="3"/>
            <charset val="134"/>
          </rPr>
          <t xml:space="preserve">
原任雪</t>
        </r>
      </text>
    </comment>
    <comment ref="B51" authorId="0">
      <text>
        <r>
          <rPr>
            <b/>
            <sz val="9"/>
            <color indexed="81"/>
            <rFont val="宋体"/>
            <family val="3"/>
            <charset val="134"/>
          </rPr>
          <t>作者:</t>
        </r>
        <r>
          <rPr>
            <sz val="9"/>
            <color indexed="81"/>
            <rFont val="宋体"/>
            <family val="3"/>
            <charset val="134"/>
          </rPr>
          <t xml:space="preserve">
原邵如春</t>
        </r>
      </text>
    </comment>
    <comment ref="B53" authorId="0">
      <text>
        <r>
          <rPr>
            <b/>
            <sz val="9"/>
            <color indexed="81"/>
            <rFont val="宋体"/>
            <family val="3"/>
            <charset val="134"/>
          </rPr>
          <t>作者:</t>
        </r>
        <r>
          <rPr>
            <sz val="9"/>
            <color indexed="81"/>
            <rFont val="宋体"/>
            <family val="3"/>
            <charset val="134"/>
          </rPr>
          <t xml:space="preserve">
原于汀</t>
        </r>
      </text>
    </comment>
    <comment ref="B54"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61" authorId="0">
      <text>
        <r>
          <rPr>
            <b/>
            <sz val="9"/>
            <color indexed="81"/>
            <rFont val="宋体"/>
            <family val="3"/>
            <charset val="134"/>
          </rPr>
          <t>作者:</t>
        </r>
        <r>
          <rPr>
            <sz val="9"/>
            <color indexed="81"/>
            <rFont val="宋体"/>
            <family val="3"/>
            <charset val="134"/>
          </rPr>
          <t xml:space="preserve">
原纯友丽（北京）商贸有限公司</t>
        </r>
      </text>
    </comment>
    <comment ref="B63" authorId="0">
      <text>
        <r>
          <rPr>
            <b/>
            <sz val="9"/>
            <color indexed="81"/>
            <rFont val="宋体"/>
            <family val="3"/>
            <charset val="134"/>
          </rPr>
          <t>作者:</t>
        </r>
        <r>
          <rPr>
            <sz val="9"/>
            <color indexed="81"/>
            <rFont val="宋体"/>
            <family val="3"/>
            <charset val="134"/>
          </rPr>
          <t xml:space="preserve">
原郝庆</t>
        </r>
      </text>
    </comment>
    <comment ref="B66" authorId="0">
      <text>
        <r>
          <rPr>
            <b/>
            <sz val="9"/>
            <color indexed="81"/>
            <rFont val="宋体"/>
            <family val="3"/>
            <charset val="134"/>
          </rPr>
          <t>作者:</t>
        </r>
        <r>
          <rPr>
            <sz val="9"/>
            <color indexed="81"/>
            <rFont val="宋体"/>
            <family val="3"/>
            <charset val="134"/>
          </rPr>
          <t xml:space="preserve">
原王小淳</t>
        </r>
      </text>
    </comment>
    <comment ref="B68" authorId="0">
      <text>
        <r>
          <rPr>
            <b/>
            <sz val="9"/>
            <color indexed="81"/>
            <rFont val="宋体"/>
            <family val="3"/>
            <charset val="134"/>
          </rPr>
          <t>作者:</t>
        </r>
        <r>
          <rPr>
            <sz val="9"/>
            <color indexed="81"/>
            <rFont val="宋体"/>
            <family val="3"/>
            <charset val="134"/>
          </rPr>
          <t xml:space="preserve">
原李圣楠</t>
        </r>
      </text>
    </comment>
    <comment ref="B69" authorId="0">
      <text>
        <r>
          <rPr>
            <b/>
            <sz val="9"/>
            <color indexed="81"/>
            <rFont val="宋体"/>
            <family val="3"/>
            <charset val="134"/>
          </rPr>
          <t>作者:</t>
        </r>
        <r>
          <rPr>
            <sz val="9"/>
            <color indexed="81"/>
            <rFont val="宋体"/>
            <family val="3"/>
            <charset val="134"/>
          </rPr>
          <t xml:space="preserve">
原张桐</t>
        </r>
      </text>
    </comment>
    <comment ref="B70"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71" authorId="0">
      <text>
        <r>
          <rPr>
            <b/>
            <sz val="9"/>
            <color indexed="81"/>
            <rFont val="宋体"/>
            <family val="3"/>
            <charset val="134"/>
          </rPr>
          <t>作者:</t>
        </r>
        <r>
          <rPr>
            <sz val="9"/>
            <color indexed="81"/>
            <rFont val="宋体"/>
            <family val="3"/>
            <charset val="134"/>
          </rPr>
          <t xml:space="preserve">
原李若男</t>
        </r>
      </text>
    </comment>
    <comment ref="B72" authorId="0">
      <text>
        <r>
          <rPr>
            <b/>
            <sz val="9"/>
            <color indexed="81"/>
            <rFont val="宋体"/>
            <family val="3"/>
            <charset val="134"/>
          </rPr>
          <t>作者:</t>
        </r>
        <r>
          <rPr>
            <sz val="9"/>
            <color indexed="81"/>
            <rFont val="宋体"/>
            <family val="3"/>
            <charset val="134"/>
          </rPr>
          <t xml:space="preserve">
原张涛</t>
        </r>
      </text>
    </comment>
    <comment ref="B73" authorId="0">
      <text>
        <r>
          <rPr>
            <b/>
            <sz val="9"/>
            <color indexed="81"/>
            <rFont val="宋体"/>
            <family val="3"/>
            <charset val="134"/>
          </rPr>
          <t>作者:</t>
        </r>
        <r>
          <rPr>
            <sz val="9"/>
            <color indexed="81"/>
            <rFont val="宋体"/>
            <family val="3"/>
            <charset val="134"/>
          </rPr>
          <t xml:space="preserve">
原歌尔丝德（北京）形象设计有限公司</t>
        </r>
      </text>
    </comment>
    <comment ref="B75" authorId="0">
      <text>
        <r>
          <rPr>
            <b/>
            <sz val="9"/>
            <color indexed="81"/>
            <rFont val="宋体"/>
            <family val="3"/>
            <charset val="134"/>
          </rPr>
          <t>作者:</t>
        </r>
        <r>
          <rPr>
            <sz val="9"/>
            <color indexed="81"/>
            <rFont val="宋体"/>
            <family val="3"/>
            <charset val="134"/>
          </rPr>
          <t xml:space="preserve">
原牛颍</t>
        </r>
      </text>
    </comment>
    <comment ref="B76" authorId="0">
      <text>
        <r>
          <rPr>
            <b/>
            <sz val="9"/>
            <color indexed="81"/>
            <rFont val="宋体"/>
            <family val="3"/>
            <charset val="134"/>
          </rPr>
          <t>作者:</t>
        </r>
        <r>
          <rPr>
            <sz val="9"/>
            <color indexed="81"/>
            <rFont val="宋体"/>
            <family val="3"/>
            <charset val="134"/>
          </rPr>
          <t xml:space="preserve">
原周冬升</t>
        </r>
      </text>
    </comment>
    <comment ref="B78" authorId="0">
      <text>
        <r>
          <rPr>
            <b/>
            <sz val="9"/>
            <color indexed="81"/>
            <rFont val="宋体"/>
            <family val="3"/>
            <charset val="134"/>
          </rPr>
          <t>作者:</t>
        </r>
        <r>
          <rPr>
            <sz val="9"/>
            <color indexed="81"/>
            <rFont val="宋体"/>
            <family val="3"/>
            <charset val="134"/>
          </rPr>
          <t xml:space="preserve">
原北京裕学教育科技有限公司</t>
        </r>
      </text>
    </comment>
    <comment ref="B79" authorId="0">
      <text>
        <r>
          <rPr>
            <b/>
            <sz val="9"/>
            <color indexed="81"/>
            <rFont val="宋体"/>
            <family val="3"/>
            <charset val="134"/>
          </rPr>
          <t>作者:</t>
        </r>
        <r>
          <rPr>
            <sz val="9"/>
            <color indexed="81"/>
            <rFont val="宋体"/>
            <family val="3"/>
            <charset val="134"/>
          </rPr>
          <t xml:space="preserve">
原肖银伟</t>
        </r>
      </text>
    </comment>
    <comment ref="B80" authorId="0">
      <text>
        <r>
          <rPr>
            <b/>
            <sz val="9"/>
            <color indexed="81"/>
            <rFont val="宋体"/>
            <family val="3"/>
            <charset val="134"/>
          </rPr>
          <t>作者:</t>
        </r>
        <r>
          <rPr>
            <sz val="9"/>
            <color indexed="81"/>
            <rFont val="宋体"/>
            <family val="3"/>
            <charset val="134"/>
          </rPr>
          <t xml:space="preserve">
原马兴振</t>
        </r>
      </text>
    </comment>
    <comment ref="B81" authorId="0">
      <text>
        <r>
          <rPr>
            <b/>
            <sz val="9"/>
            <color indexed="81"/>
            <rFont val="宋体"/>
            <family val="3"/>
            <charset val="134"/>
          </rPr>
          <t>作者:</t>
        </r>
        <r>
          <rPr>
            <sz val="9"/>
            <color indexed="81"/>
            <rFont val="宋体"/>
            <family val="3"/>
            <charset val="134"/>
          </rPr>
          <t xml:space="preserve">
原铂林眼科医院集团有限公司
</t>
        </r>
      </text>
    </comment>
    <comment ref="B82" authorId="0">
      <text>
        <r>
          <rPr>
            <b/>
            <sz val="9"/>
            <color indexed="81"/>
            <rFont val="宋体"/>
            <family val="3"/>
            <charset val="134"/>
          </rPr>
          <t>作者:</t>
        </r>
        <r>
          <rPr>
            <sz val="9"/>
            <color indexed="81"/>
            <rFont val="宋体"/>
            <family val="3"/>
            <charset val="134"/>
          </rPr>
          <t xml:space="preserve">
原于淼</t>
        </r>
      </text>
    </comment>
    <comment ref="B83" authorId="0">
      <text>
        <r>
          <rPr>
            <b/>
            <sz val="9"/>
            <color indexed="81"/>
            <rFont val="宋体"/>
            <family val="3"/>
            <charset val="134"/>
          </rPr>
          <t>作者:</t>
        </r>
        <r>
          <rPr>
            <sz val="9"/>
            <color indexed="81"/>
            <rFont val="宋体"/>
            <family val="3"/>
            <charset val="134"/>
          </rPr>
          <t xml:space="preserve">
北京自如生活企业管理有限公司</t>
        </r>
      </text>
    </comment>
    <comment ref="B87" authorId="0">
      <text>
        <r>
          <rPr>
            <b/>
            <sz val="9"/>
            <color indexed="81"/>
            <rFont val="宋体"/>
            <family val="3"/>
            <charset val="134"/>
          </rPr>
          <t>作者:</t>
        </r>
        <r>
          <rPr>
            <sz val="9"/>
            <color indexed="81"/>
            <rFont val="宋体"/>
            <family val="3"/>
            <charset val="134"/>
          </rPr>
          <t xml:space="preserve">
原谢宏儒</t>
        </r>
      </text>
    </comment>
    <comment ref="B88" authorId="1">
      <text>
        <r>
          <rPr>
            <b/>
            <sz val="9"/>
            <color indexed="81"/>
            <rFont val="宋体"/>
            <family val="3"/>
            <charset val="134"/>
          </rPr>
          <t>PC:</t>
        </r>
        <r>
          <rPr>
            <sz val="9"/>
            <color indexed="81"/>
            <rFont val="宋体"/>
            <family val="3"/>
            <charset val="134"/>
          </rPr>
          <t xml:space="preserve">
原安飞飞</t>
        </r>
      </text>
    </comment>
    <comment ref="B91" authorId="0">
      <text>
        <r>
          <rPr>
            <b/>
            <sz val="9"/>
            <color indexed="81"/>
            <rFont val="宋体"/>
            <family val="3"/>
            <charset val="134"/>
          </rPr>
          <t>作者:</t>
        </r>
        <r>
          <rPr>
            <sz val="9"/>
            <color indexed="81"/>
            <rFont val="宋体"/>
            <family val="3"/>
            <charset val="134"/>
          </rPr>
          <t xml:space="preserve">
歌斯蒂（北京）形象设计有限公司</t>
        </r>
      </text>
    </comment>
    <comment ref="B92" authorId="0">
      <text>
        <r>
          <rPr>
            <b/>
            <sz val="9"/>
            <color indexed="81"/>
            <rFont val="宋体"/>
            <family val="3"/>
            <charset val="134"/>
          </rPr>
          <t>作者:</t>
        </r>
        <r>
          <rPr>
            <sz val="9"/>
            <color indexed="81"/>
            <rFont val="宋体"/>
            <family val="3"/>
            <charset val="134"/>
          </rPr>
          <t xml:space="preserve">
原饶昂</t>
        </r>
      </text>
    </comment>
    <comment ref="B94" authorId="0">
      <text>
        <r>
          <rPr>
            <b/>
            <sz val="9"/>
            <color indexed="81"/>
            <rFont val="宋体"/>
            <family val="3"/>
            <charset val="134"/>
          </rPr>
          <t>作者:</t>
        </r>
        <r>
          <rPr>
            <sz val="9"/>
            <color indexed="81"/>
            <rFont val="宋体"/>
            <family val="3"/>
            <charset val="134"/>
          </rPr>
          <t xml:space="preserve">
原贺连浩</t>
        </r>
      </text>
    </comment>
    <comment ref="B99" authorId="1">
      <text>
        <r>
          <rPr>
            <b/>
            <sz val="9"/>
            <color indexed="81"/>
            <rFont val="宋体"/>
            <family val="3"/>
            <charset val="134"/>
          </rPr>
          <t>PC:</t>
        </r>
        <r>
          <rPr>
            <sz val="9"/>
            <color indexed="81"/>
            <rFont val="宋体"/>
            <family val="3"/>
            <charset val="134"/>
          </rPr>
          <t xml:space="preserve">
原孟婧</t>
        </r>
      </text>
    </comment>
    <comment ref="D109" authorId="1">
      <text>
        <r>
          <rPr>
            <b/>
            <sz val="9"/>
            <color indexed="81"/>
            <rFont val="宋体"/>
            <family val="3"/>
            <charset val="134"/>
          </rPr>
          <t>PC:</t>
        </r>
        <r>
          <rPr>
            <sz val="9"/>
            <color indexed="81"/>
            <rFont val="宋体"/>
            <family val="3"/>
            <charset val="134"/>
          </rPr>
          <t xml:space="preserve">
原201，实测214，已签补充协议</t>
        </r>
      </text>
    </comment>
    <comment ref="D133" authorId="0">
      <text>
        <r>
          <rPr>
            <b/>
            <sz val="9"/>
            <rFont val="宋体"/>
            <family val="3"/>
            <charset val="134"/>
          </rPr>
          <t>作者:</t>
        </r>
        <r>
          <rPr>
            <sz val="9"/>
            <rFont val="宋体"/>
            <family val="3"/>
            <charset val="134"/>
          </rPr>
          <t xml:space="preserve">
219#249平，220#440平</t>
        </r>
      </text>
    </comment>
    <comment ref="D148" authorId="1">
      <text>
        <r>
          <rPr>
            <b/>
            <sz val="9"/>
            <color indexed="81"/>
            <rFont val="宋体"/>
            <family val="3"/>
            <charset val="134"/>
          </rPr>
          <t>PC:</t>
        </r>
        <r>
          <rPr>
            <sz val="9"/>
            <color indexed="81"/>
            <rFont val="宋体"/>
            <family val="3"/>
            <charset val="134"/>
          </rPr>
          <t xml:space="preserve">
算上墙体应为53平米，下个商户按此执行</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<sst xmlns="http://schemas.openxmlformats.org/spreadsheetml/2006/main" count="12315" uniqueCount="4256">
  <si>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</si>
  <si>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</si>
  <si>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</si>
  <si>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</si>
  <si>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</si>
  <si>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</si>
  <si>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</si>
  <si>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</si>
  <si>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</si>
  <si>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</si>
  <si>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</si>
  <si>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</si>
  <si>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</si>
  <si>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</si>
  <si>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</si>
  <si>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</si>
  <si>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</si>
  <si>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</si>
  <si>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</si>
  <si>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</si>
  <si>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</si>
  <si>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</si>
  <si>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</si>
  <si>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</si>
  <si>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</si>
  <si>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</si>
  <si>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</si>
  <si>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</si>
  <si>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</si>
  <si>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</si>
  <si>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</si>
  <si>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</si>
  <si>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</si>
  <si>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</si>
  <si>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</si>
  <si>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</si>
  <si>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</si>
  <si>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</si>
  <si>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</si>
  <si>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</si>
  <si>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</si>
  <si>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</si>
  <si>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</si>
  <si>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</si>
  <si>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</si>
  <si>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</si>
  <si>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</si>
  <si>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</si>
  <si>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</si>
  <si>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</si>
  <si>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</si>
  <si>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</si>
  <si>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</si>
  <si>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</si>
  <si>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</si>
  <si>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</si>
  <si>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</si>
  <si>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</si>
  <si>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</si>
  <si>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</si>
  <si>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</si>
  <si>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</si>
  <si>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</si>
  <si>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</si>
  <si>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</si>
  <si>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</si>
  <si>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</si>
  <si>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</si>
  <si>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</si>
  <si>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</si>
  <si>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</si>
  <si>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</si>
  <si>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</si>
  <si>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</si>
  <si>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</si>
  <si>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</si>
  <si>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</si>
  <si>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</si>
  <si>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</si>
  <si>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</si>
  <si>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</si>
  <si>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</si>
  <si>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</si>
  <si>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</si>
  <si>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</si>
  <si>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</si>
  <si>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</si>
  <si>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</si>
  <si>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</si>
  <si>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</si>
  <si>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</si>
  <si>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</si>
  <si>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</si>
  <si>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</si>
  <si>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</si>
  <si>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</si>
  <si>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</si>
  <si>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</si>
  <si>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</si>
  <si>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</si>
  <si>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</si>
  <si>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</si>
  <si>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</si>
  <si>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</si>
  <si>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</si>
  <si>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</si>
  <si>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</si>
  <si>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</si>
  <si>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</si>
  <si>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</si>
  <si>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</si>
  <si>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</si>
  <si>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</si>
  <si>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</si>
  <si>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</si>
  <si>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</si>
  <si>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</si>
  <si>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</si>
  <si>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</si>
  <si>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</si>
  <si>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</si>
  <si>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</si>
  <si>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</si>
  <si>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</si>
  <si>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</si>
  <si>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</si>
  <si>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</si>
  <si>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</si>
  <si>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</si>
  <si>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</si>
  <si>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</si>
  <si>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</si>
  <si>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</si>
  <si>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</si>
  <si>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</si>
  <si>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</si>
  <si>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</si>
  <si>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</si>
  <si>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</si>
  <si>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</si>
  <si>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</si>
  <si>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</si>
  <si>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</si>
  <si>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</si>
  <si>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</si>
  <si>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</si>
  <si>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</si>
  <si>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</si>
  <si>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</si>
  <si>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</si>
  <si>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</si>
  <si>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</si>
  <si>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</si>
  <si>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</si>
  <si>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</si>
  <si>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</si>
  <si>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</si>
  <si>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</si>
  <si>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</si>
  <si>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</si>
  <si>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</si>
  <si>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</si>
  <si>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</si>
  <si>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</si>
  <si>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</si>
  <si>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</si>
  <si>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</si>
  <si>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</si>
  <si>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</si>
  <si>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</si>
  <si>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</si>
  <si>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</si>
  <si>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</si>
  <si>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</si>
  <si>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</si>
  <si>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</si>
  <si>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</si>
  <si>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</si>
  <si>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</si>
  <si>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</si>
  <si>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</si>
  <si>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</si>
  <si>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</si>
  <si>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</si>
  <si>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</si>
  <si>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</si>
  <si>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</si>
  <si>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</si>
  <si>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</si>
  <si>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</si>
  <si>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</si>
  <si>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</si>
  <si>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</si>
  <si>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</si>
  <si>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</si>
  <si>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</si>
  <si>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</si>
  <si>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</si>
  <si>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</si>
  <si>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</si>
  <si>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</si>
  <si>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</si>
  <si>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</si>
  <si>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</si>
  <si>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</si>
  <si>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</si>
  <si>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</si>
  <si>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</si>
  <si>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</si>
  <si>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</si>
  <si>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</si>
  <si>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</si>
  <si>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</si>
  <si>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</si>
  <si>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</si>
  <si>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</si>
  <si>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</si>
  <si>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</si>
  <si>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</si>
  <si>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</si>
  <si>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</si>
  <si>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</si>
  <si>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</si>
  <si>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</si>
  <si>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</si>
  <si>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</si>
  <si>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</si>
  <si>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</si>
  <si>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</si>
  <si>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</si>
  <si>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</si>
  <si>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</si>
  <si>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</si>
  <si>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</si>
  <si>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</si>
  <si>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</si>
  <si>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</si>
  <si>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</si>
  <si>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</si>
  <si>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</si>
  <si>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</si>
  <si>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</si>
  <si>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</si>
  <si>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</si>
  <si>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</si>
  <si>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</si>
  <si>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</si>
  <si>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</si>
  <si>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</si>
  <si>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</si>
  <si>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</si>
  <si>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</si>
  <si>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</si>
  <si>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</si>
  <si>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</si>
  <si>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</si>
  <si>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</si>
  <si>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</si>
  <si>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</si>
  <si>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</si>
  <si>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</si>
  <si>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</si>
  <si>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</si>
  <si>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</si>
  <si>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</si>
  <si>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</si>
  <si>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</si>
  <si>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</si>
  <si>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</si>
  <si>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</si>
  <si>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</si>
  <si>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</si>
  <si>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</si>
  <si>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</si>
  <si>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</si>
  <si>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</si>
  <si>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</si>
  <si>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</si>
  <si>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</si>
  <si>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</si>
  <si>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</si>
  <si>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</si>
  <si>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</si>
  <si>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</si>
  <si>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</si>
  <si>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</si>
  <si>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</si>
  <si>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</si>
  <si>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</si>
  <si>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</si>
  <si>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</si>
  <si>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</si>
  <si>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</si>
  <si>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</si>
  <si>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</si>
  <si>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</si>
  <si>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</si>
  <si>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</si>
  <si>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</si>
  <si>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</si>
  <si>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</si>
  <si>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</si>
  <si>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</si>
  <si>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</si>
  <si>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</si>
  <si>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</si>
  <si>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</si>
  <si>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</si>
  <si>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</si>
  <si>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</si>
  <si>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</si>
  <si>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</si>
  <si>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</si>
  <si>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</si>
  <si>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</si>
  <si>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</si>
  <si>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</si>
  <si>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</si>
  <si>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</si>
  <si>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</si>
  <si>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</si>
  <si>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</si>
  <si>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</si>
  <si>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</si>
  <si>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</si>
  <si>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</si>
  <si>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</si>
  <si>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</si>
  <si>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</si>
  <si>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</si>
  <si>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</si>
  <si>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</si>
  <si>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</si>
  <si>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</si>
  <si>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</si>
  <si>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</si>
  <si>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</si>
  <si>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</si>
  <si>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</si>
  <si>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</si>
  <si>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</si>
  <si>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</si>
  <si>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</si>
  <si>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</si>
  <si>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</si>
  <si>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</si>
  <si>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</si>
  <si>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</si>
  <si>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</si>
  <si>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</si>
  <si>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</si>
  <si>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</si>
  <si>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</si>
  <si>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</si>
  <si>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</si>
  <si>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</si>
  <si>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</si>
  <si>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</si>
  <si>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</si>
  <si>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</si>
  <si>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</si>
  <si>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</si>
  <si>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</si>
  <si>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</si>
  <si>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</si>
  <si>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</si>
  <si>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</si>
  <si>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</si>
  <si>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</si>
  <si>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</si>
  <si>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</si>
  <si>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</si>
  <si>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</si>
  <si>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</si>
  <si>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</si>
  <si>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</si>
  <si>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</si>
  <si>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</si>
  <si>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</si>
  <si>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</si>
  <si>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</si>
  <si>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</si>
  <si>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</si>
  <si>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</si>
  <si>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</si>
  <si>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</si>
  <si>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</si>
  <si>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</si>
  <si>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</si>
  <si>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</si>
  <si>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</si>
  <si>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</si>
  <si>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</si>
  <si>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</si>
  <si>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</si>
  <si>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</si>
  <si>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</si>
  <si>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</si>
  <si>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</si>
  <si>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</si>
  <si>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</si>
  <si>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</si>
  <si>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</si>
  <si>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</si>
  <si>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</si>
  <si>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</si>
  <si>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</si>
  <si>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</si>
  <si>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</si>
  <si>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</si>
  <si>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</si>
  <si>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</si>
  <si>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</si>
  <si>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</si>
  <si>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</si>
  <si>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</si>
  <si>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</si>
  <si>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</si>
  <si>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</si>
  <si>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</si>
  <si>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</si>
  <si>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</si>
  <si>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</si>
  <si>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</si>
  <si>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</si>
  <si>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</si>
  <si>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</si>
  <si>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</si>
  <si>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</si>
  <si>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</si>
  <si>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</si>
  <si>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</si>
  <si>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</si>
  <si>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</si>
  <si>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</si>
  <si>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</si>
  <si>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</si>
  <si>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</si>
  <si>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</si>
  <si>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</si>
  <si>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</si>
  <si>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</si>
  <si>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</si>
  <si>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</si>
  <si>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</si>
  <si>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</si>
  <si>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</si>
  <si>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</si>
  <si>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</si>
  <si>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</si>
  <si>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</si>
  <si>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</si>
  <si>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</si>
  <si>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</si>
  <si>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</si>
  <si>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</si>
  <si>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</si>
  <si>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</si>
  <si>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</si>
  <si>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</si>
  <si>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</si>
  <si>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</si>
  <si>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</si>
  <si>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</si>
  <si>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</si>
  <si>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</si>
  <si>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</si>
  <si>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</si>
  <si>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</si>
  <si>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</si>
  <si>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</si>
  <si>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</si>
  <si>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</si>
  <si>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</si>
  <si>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</si>
  <si>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</si>
  <si>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</si>
  <si>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</si>
  <si>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</si>
  <si>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</si>
  <si>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</si>
  <si>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</si>
  <si>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</si>
  <si>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</si>
  <si>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</si>
  <si>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</si>
  <si>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</si>
  <si>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</si>
  <si>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</si>
  <si>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</si>
  <si>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</si>
  <si>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</si>
  <si>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</si>
  <si>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</si>
  <si>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</si>
  <si>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</si>
  <si>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</si>
  <si>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</si>
  <si>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</si>
  <si>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</si>
  <si>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</si>
  <si>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</si>
  <si>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</si>
  <si>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</si>
  <si>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</si>
  <si>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</si>
  <si>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</si>
  <si>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</si>
  <si>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</si>
  <si>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</si>
  <si>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</si>
  <si>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</si>
  <si>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</si>
  <si>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</si>
  <si>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</si>
  <si>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</si>
  <si>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</si>
  <si>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</si>
  <si>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</si>
  <si>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</si>
  <si>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</si>
  <si>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</si>
  <si>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</si>
  <si>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</si>
  <si>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</si>
  <si>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</si>
  <si>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</si>
  <si>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</si>
  <si>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</si>
  <si>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</si>
  <si>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</si>
  <si>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</si>
  <si>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</si>
  <si>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</si>
  <si>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</si>
  <si>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</si>
  <si>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</si>
  <si>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</si>
  <si>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</si>
  <si>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</si>
  <si>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</si>
  <si>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</si>
  <si>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</si>
  <si>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</si>
  <si>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</si>
  <si>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</si>
  <si>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</si>
  <si>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</si>
  <si>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</si>
  <si>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</si>
  <si>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</si>
  <si>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</si>
  <si>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</si>
  <si>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</si>
  <si>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</si>
  <si>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</si>
  <si>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</si>
  <si>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</si>
  <si>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</si>
  <si>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</si>
  <si>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</si>
  <si>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</si>
  <si>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</si>
  <si>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</si>
  <si>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</si>
  <si>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</si>
  <si>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</si>
  <si>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</si>
  <si>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</si>
  <si>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</si>
  <si>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</si>
  <si>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</si>
  <si>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</si>
  <si>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</si>
  <si>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</si>
  <si>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</si>
  <si>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</si>
  <si>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</si>
  <si>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</si>
  <si>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</si>
  <si>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</si>
  <si>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</si>
  <si>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</si>
  <si>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</si>
  <si>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</si>
  <si>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</si>
  <si>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</si>
  <si>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</si>
  <si>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</si>
  <si>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</si>
  <si>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</si>
  <si>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</si>
  <si>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</si>
  <si>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</si>
  <si>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</si>
  <si>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</si>
  <si>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</si>
  <si>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</si>
  <si>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</si>
  <si>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</si>
  <si>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</si>
  <si>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</si>
  <si>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</si>
  <si>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</si>
  <si>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</si>
  <si>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</si>
  <si>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</si>
  <si>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</si>
  <si>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</si>
  <si>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</si>
  <si>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</si>
  <si>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</si>
  <si>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</si>
  <si>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</si>
  <si>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</si>
  <si>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</si>
  <si>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</si>
  <si>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</si>
  <si>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</si>
  <si>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</si>
  <si>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</si>
  <si>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</si>
  <si>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</si>
  <si>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</si>
  <si>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</si>
  <si>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</si>
  <si>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</si>
  <si>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</si>
  <si>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</si>
  <si>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</si>
  <si>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</si>
  <si>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</si>
  <si>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</si>
  <si>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</si>
  <si>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</si>
  <si>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</si>
  <si>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</si>
  <si>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</si>
  <si>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</si>
  <si>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</si>
  <si>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</si>
  <si>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</si>
  <si>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</si>
  <si>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</si>
  <si>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</si>
  <si>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</si>
  <si>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</si>
  <si>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</si>
  <si>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</si>
  <si>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</si>
  <si>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</si>
  <si>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</si>
  <si>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</si>
  <si>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</si>
  <si>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</si>
  <si>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</si>
  <si>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</si>
  <si>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</si>
  <si>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</si>
  <si>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</si>
  <si>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</si>
  <si>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</si>
  <si>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</si>
  <si>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</si>
  <si>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</si>
  <si>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</si>
  <si>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</si>
  <si>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</si>
  <si>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</si>
  <si>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</si>
  <si>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</si>
  <si>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</si>
  <si>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</si>
  <si>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</si>
  <si>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</si>
  <si>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</si>
  <si>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</si>
  <si>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</si>
  <si>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</si>
  <si>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</si>
  <si>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</si>
  <si>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</si>
  <si>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</si>
  <si>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</si>
  <si>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</si>
  <si>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</si>
  <si>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</si>
  <si>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</si>
  <si>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</si>
  <si>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</si>
  <si>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</si>
  <si>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</si>
  <si>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</si>
  <si>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</si>
  <si>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</si>
  <si>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</si>
  <si>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</si>
  <si>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</si>
  <si>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</si>
  <si>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</si>
  <si>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</si>
  <si>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</si>
  <si>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</si>
  <si>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</si>
  <si>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</si>
  <si>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</si>
  <si>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</si>
  <si>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</si>
  <si>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</si>
  <si>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</si>
  <si>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</si>
  <si>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</si>
  <si>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</si>
  <si>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</si>
  <si>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</si>
  <si>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</si>
  <si>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</si>
  <si>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</si>
  <si>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</si>
  <si>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</si>
  <si>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</si>
  <si>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</si>
  <si>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</si>
  <si>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</si>
  <si>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</si>
  <si>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</si>
  <si>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</si>
  <si>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</si>
  <si>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</si>
  <si>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</si>
  <si>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</si>
  <si>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</si>
  <si>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</si>
  <si>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</si>
  <si>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</si>
  <si>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</si>
  <si>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</si>
  <si>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</si>
  <si>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</si>
  <si>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</si>
  <si>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</si>
  <si>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</si>
  <si>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</si>
  <si>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</si>
  <si>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</si>
  <si>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</si>
  <si>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</si>
  <si>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</si>
  <si>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</si>
  <si>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</si>
  <si>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</si>
  <si>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</si>
  <si>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</si>
  <si>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</si>
  <si>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</si>
  <si>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</si>
  <si>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</si>
  <si>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</si>
  <si>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</si>
  <si>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</si>
  <si>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</si>
  <si>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</si>
  <si>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</si>
  <si>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</si>
  <si>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</si>
  <si>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</si>
  <si>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</si>
  <si>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</si>
  <si>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</si>
  <si>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</si>
  <si>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</si>
  <si>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</si>
  <si>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</si>
  <si>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</si>
  <si>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</si>
  <si>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</si>
  <si>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</si>
  <si>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</si>
  <si>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</si>
  <si>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</si>
  <si>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</si>
  <si>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</si>
  <si>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</si>
  <si>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</si>
  <si>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</si>
  <si>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</si>
  <si>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</si>
  <si>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</si>
  <si>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</si>
  <si>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</si>
  <si>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</si>
  <si>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</si>
  <si>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</si>
  <si>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</si>
  <si>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</si>
  <si>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</si>
  <si>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</si>
  <si>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</si>
  <si>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</si>
  <si>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</si>
  <si>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</si>
  <si>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</si>
  <si>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</si>
  <si>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</si>
  <si>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</si>
  <si>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</si>
  <si>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</si>
  <si>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</si>
  <si>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</si>
  <si>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</si>
  <si>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</si>
  <si>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</si>
  <si>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</si>
  <si>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</si>
  <si>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</si>
  <si>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</si>
  <si>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</si>
  <si>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</si>
  <si>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</si>
  <si>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</si>
  <si>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</si>
  <si>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</si>
  <si>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</si>
  <si>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</si>
  <si>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</si>
  <si>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</si>
  <si>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</si>
  <si>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</si>
  <si>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</si>
  <si>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</si>
  <si>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</si>
  <si>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</si>
  <si>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</si>
  <si>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</si>
  <si>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</si>
  <si>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</si>
  <si>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</si>
  <si>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</si>
  <si>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</si>
  <si>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</si>
  <si>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</si>
  <si>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</si>
  <si>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</si>
  <si>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</si>
  <si>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</si>
  <si>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</si>
  <si>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</si>
  <si>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</si>
  <si>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</si>
  <si>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</si>
  <si>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</si>
  <si>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</si>
  <si>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</si>
  <si>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</si>
  <si>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</si>
  <si>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</si>
  <si>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</si>
  <si>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</si>
  <si>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</si>
  <si>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</si>
  <si>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</si>
  <si>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</si>
  <si>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</si>
  <si>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</si>
  <si>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</si>
  <si>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</si>
  <si>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</si>
  <si>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</si>
  <si>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</si>
  <si>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</si>
  <si>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</si>
  <si>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</si>
  <si>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</si>
  <si>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</si>
  <si>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</si>
  <si>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</si>
  <si>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</si>
  <si>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</si>
  <si>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</si>
  <si>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</si>
  <si>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</si>
  <si>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</si>
  <si>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</si>
  <si>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</si>
  <si>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</si>
  <si>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</si>
  <si>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</si>
  <si>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</si>
  <si>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</si>
  <si>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</si>
  <si>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</si>
  <si>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</si>
  <si>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</si>
  <si>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</si>
  <si>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</si>
  <si>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</si>
  <si>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</si>
  <si>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</si>
  <si>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</si>
  <si>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</si>
  <si>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</si>
  <si>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</si>
  <si>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</si>
  <si>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</si>
  <si>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</si>
  <si>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</si>
  <si>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</si>
  <si>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</si>
  <si>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</si>
  <si>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</si>
  <si>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</si>
  <si>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</si>
  <si>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</si>
  <si>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</si>
  <si>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</si>
  <si>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</si>
  <si>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</si>
  <si>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</si>
  <si>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</si>
  <si>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</si>
  <si>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</si>
  <si>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</si>
  <si>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</si>
  <si>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</si>
  <si>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</si>
  <si>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</si>
  <si>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</si>
  <si>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</si>
  <si>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</si>
  <si>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</si>
  <si>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</si>
  <si>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</si>
  <si>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</si>
  <si>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</si>
  <si>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</si>
  <si>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</si>
  <si>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</si>
  <si>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</si>
  <si>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</si>
  <si>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</si>
  <si>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</si>
  <si>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</si>
  <si>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</si>
  <si>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</si>
  <si>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</si>
  <si>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</si>
  <si>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</si>
  <si>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</si>
  <si>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</si>
  <si>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</si>
  <si>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</si>
  <si>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</si>
  <si>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</si>
  <si>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</si>
  <si>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</si>
  <si>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</si>
  <si>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</si>
  <si>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</si>
  <si>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</si>
  <si>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</si>
  <si>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</si>
  <si>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</si>
  <si>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</si>
  <si>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</si>
  <si>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</si>
  <si>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</si>
  <si>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</si>
  <si>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</si>
  <si>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</si>
  <si>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</si>
  <si>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</si>
  <si>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</si>
  <si>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</si>
  <si>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</si>
  <si>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</si>
  <si>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</si>
  <si>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</si>
  <si>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</si>
  <si>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</si>
  <si>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</si>
  <si>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</si>
  <si>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</si>
  <si>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</si>
  <si>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</si>
  <si>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</si>
  <si>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</si>
  <si>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</si>
  <si>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</si>
  <si>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</si>
  <si>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</si>
  <si>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</si>
  <si>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</si>
  <si>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</si>
  <si>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</si>
  <si>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</si>
  <si>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</si>
  <si>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</si>
  <si>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</si>
  <si>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</si>
  <si>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</si>
  <si>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</si>
  <si>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</si>
  <si>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</si>
  <si>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</si>
  <si>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</si>
  <si>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</si>
  <si>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</si>
  <si>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</si>
  <si>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</si>
  <si>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</si>
  <si>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</si>
  <si>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</si>
  <si>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</si>
  <si>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</si>
  <si>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</si>
  <si>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</si>
  <si>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</si>
  <si>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</si>
  <si>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</si>
  <si>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</si>
  <si>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</si>
  <si>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</si>
  <si>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</si>
  <si>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</si>
  <si>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</si>
  <si>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</si>
  <si>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</si>
  <si>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</si>
  <si>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</si>
  <si>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</si>
  <si>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</si>
  <si>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</si>
  <si>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</si>
  <si>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</si>
  <si>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</si>
  <si>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</si>
  <si>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</si>
  <si>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</si>
  <si>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</si>
  <si>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</si>
  <si>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</si>
  <si>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</si>
  <si>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</si>
  <si>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</si>
  <si>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</si>
  <si>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</si>
  <si>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</si>
  <si>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</si>
  <si>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</si>
  <si>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</si>
  <si>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</si>
  <si>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</si>
  <si>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</si>
  <si>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</si>
  <si>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</si>
  <si>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</si>
  <si>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</si>
  <si>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</si>
  <si>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</si>
  <si>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</si>
  <si>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</si>
  <si>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</si>
  <si>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</si>
  <si>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</si>
  <si>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</si>
  <si>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</si>
  <si>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</si>
  <si>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</si>
  <si>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</si>
  <si>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</si>
  <si>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</si>
  <si>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</si>
  <si>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</si>
  <si>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</si>
  <si>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</si>
  <si>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</si>
  <si>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</si>
  <si>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</si>
  <si>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</si>
  <si>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</si>
  <si>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</si>
  <si>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</si>
  <si>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</si>
  <si>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</si>
  <si>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</si>
  <si>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</si>
  <si>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</si>
  <si>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</si>
  <si>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</si>
  <si>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</si>
  <si>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</si>
  <si>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</si>
  <si>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</si>
  <si>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</si>
  <si>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</si>
  <si>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</si>
  <si>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</si>
  <si>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</si>
  <si>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</si>
  <si>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</si>
  <si>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</si>
  <si>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</si>
  <si>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</si>
  <si>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</si>
  <si>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</si>
  <si>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</si>
  <si>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</si>
  <si>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</si>
  <si>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</si>
  <si>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</si>
  <si>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</si>
  <si>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</si>
  <si>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</si>
  <si>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</si>
  <si>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</si>
  <si>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</si>
  <si>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</si>
  <si>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</si>
  <si>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</si>
  <si>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</si>
  <si>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</si>
  <si>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</si>
  <si>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</si>
  <si>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</si>
  <si>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</si>
  <si>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</si>
  <si>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</si>
  <si>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</si>
  <si>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</si>
  <si>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</si>
  <si>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</si>
  <si>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</si>
  <si>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</si>
  <si>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</si>
  <si>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</si>
  <si>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</si>
  <si>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</si>
  <si>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</si>
  <si>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</si>
  <si>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</si>
  <si>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</si>
  <si>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</si>
  <si>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</si>
  <si>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</si>
  <si>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</si>
  <si>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</si>
  <si>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</si>
  <si>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</si>
  <si>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</si>
  <si>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</si>
  <si>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</si>
  <si>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</si>
  <si>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</si>
  <si>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</si>
  <si>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</si>
  <si>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</si>
  <si>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</si>
  <si>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</si>
  <si>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</si>
  <si>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</si>
  <si>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</si>
  <si>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</si>
  <si>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</si>
  <si>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</si>
  <si>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</si>
  <si>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</si>
  <si>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</si>
  <si>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</si>
  <si>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</si>
  <si>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</si>
  <si>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</si>
  <si>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</si>
  <si>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</si>
  <si>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</si>
  <si>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</si>
  <si>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</si>
  <si>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</si>
  <si>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</si>
  <si>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</si>
  <si>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</si>
  <si>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</si>
  <si>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</si>
  <si>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</si>
  <si>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</si>
  <si>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</si>
  <si>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</si>
  <si>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</si>
  <si>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</si>
  <si>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</si>
  <si>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</si>
  <si>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</si>
  <si>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</si>
  <si>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</si>
  <si>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</si>
  <si>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</si>
  <si>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</si>
  <si>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</si>
  <si>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</si>
  <si>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</si>
  <si>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</si>
  <si>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</si>
  <si>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</si>
  <si>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</si>
  <si>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</si>
  <si>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</si>
  <si>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</si>
  <si>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</si>
  <si>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</si>
  <si>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</si>
  <si>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</si>
  <si>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</si>
  <si>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</si>
  <si>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</si>
  <si>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</si>
  <si>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</si>
  <si>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</si>
  <si>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</si>
  <si>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</si>
  <si>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</si>
  <si>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</si>
  <si>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</si>
  <si>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</si>
  <si>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</si>
  <si>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</si>
  <si>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</si>
  <si>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</si>
  <si>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</si>
  <si>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</si>
  <si>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</si>
  <si>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</si>
  <si>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</si>
  <si>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</si>
  <si>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</si>
  <si>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</si>
  <si>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</si>
  <si>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</si>
  <si>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</si>
  <si>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</si>
  <si>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</si>
  <si>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</si>
  <si>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</si>
  <si>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</si>
  <si>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</si>
  <si>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</si>
  <si>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</si>
  <si>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</si>
  <si>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</si>
  <si>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</si>
  <si>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</si>
  <si>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</si>
  <si>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</si>
  <si>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</si>
  <si>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</si>
  <si>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</si>
  <si>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</si>
  <si>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</si>
  <si>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</si>
  <si>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</si>
  <si>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</si>
  <si>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</si>
  <si>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</si>
  <si>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</si>
  <si>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</si>
  <si>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</si>
  <si>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</si>
  <si>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</si>
  <si>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</si>
  <si>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</si>
  <si>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</si>
  <si>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</si>
  <si>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</si>
  <si>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</si>
  <si>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</si>
  <si>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</si>
  <si>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</si>
  <si>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</si>
  <si>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</si>
  <si>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</si>
  <si>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</si>
  <si>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</si>
  <si>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</si>
  <si>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</si>
  <si>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</si>
  <si>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</si>
  <si>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</si>
  <si>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</si>
  <si>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</si>
  <si>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</si>
  <si>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</si>
  <si>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</si>
  <si>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</si>
  <si>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</si>
  <si>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</si>
  <si>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</si>
  <si>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</si>
  <si>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</si>
  <si>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</si>
  <si>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</si>
  <si>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</si>
  <si>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</si>
  <si>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</si>
  <si>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</si>
  <si>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</si>
  <si>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</si>
  <si>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</si>
  <si>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</si>
  <si>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</si>
  <si>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</si>
  <si>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</si>
  <si>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</si>
  <si>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</si>
  <si>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</si>
  <si>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</si>
  <si>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</si>
  <si>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</si>
  <si>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</si>
  <si>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</si>
  <si>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</si>
  <si>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</si>
  <si>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</si>
  <si>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</si>
  <si>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</si>
  <si>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</si>
  <si>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</si>
  <si>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</si>
  <si>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</si>
  <si>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</si>
  <si>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</si>
  <si>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</si>
  <si>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</si>
  <si>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</si>
  <si>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</si>
  <si>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</si>
  <si>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</si>
  <si>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</si>
  <si>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</si>
  <si>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</si>
  <si>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</si>
  <si>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</si>
  <si>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</si>
  <si>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</si>
  <si>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</si>
  <si>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</si>
  <si>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</si>
  <si>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</si>
  <si>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</si>
  <si>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</si>
  <si>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</si>
  <si>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</si>
  <si>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</si>
  <si>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</si>
  <si>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</si>
  <si>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</si>
  <si>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</si>
  <si>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</si>
  <si>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</si>
  <si>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</si>
  <si>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</si>
  <si>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</si>
  <si>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</si>
  <si>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</si>
  <si>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</si>
  <si>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</si>
  <si>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</si>
  <si>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</si>
  <si>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</si>
  <si>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</si>
  <si>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</si>
  <si>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</si>
  <si>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</si>
  <si>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</si>
  <si>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</si>
  <si>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</si>
  <si>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</si>
  <si>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</si>
  <si>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</si>
  <si>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</si>
  <si>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</si>
  <si>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</si>
  <si>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</si>
  <si>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</si>
  <si>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</si>
  <si>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</si>
  <si>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</si>
  <si>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</si>
  <si>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</si>
  <si>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</si>
  <si>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</si>
  <si>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</si>
  <si>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</si>
  <si>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</si>
  <si>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</si>
  <si>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</si>
  <si>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</si>
  <si>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</si>
  <si>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</si>
  <si>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</si>
  <si>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</si>
  <si>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</si>
  <si>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</si>
  <si>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</si>
  <si>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</si>
  <si>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</si>
  <si>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</si>
  <si>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</si>
  <si>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</si>
  <si>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</si>
  <si>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</si>
  <si>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</si>
  <si>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</si>
  <si>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</si>
  <si>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</si>
  <si>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</si>
  <si>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</si>
  <si>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</si>
  <si>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</si>
  <si>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</si>
  <si>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</si>
  <si>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</si>
  <si>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</si>
  <si>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</si>
  <si>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</si>
  <si>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</si>
  <si>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</si>
  <si>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</si>
  <si>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</si>
  <si>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</si>
  <si>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</si>
  <si>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</si>
  <si>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</si>
  <si>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</si>
  <si>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</si>
  <si>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</si>
  <si>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</si>
  <si>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</si>
  <si>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</si>
  <si>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</si>
  <si>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</si>
  <si>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</si>
  <si>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</si>
  <si>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</si>
  <si>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</si>
  <si>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</si>
  <si>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</si>
  <si>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</si>
  <si>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</si>
  <si>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</si>
  <si>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</si>
  <si>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</si>
  <si>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</si>
  <si>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</si>
  <si>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</si>
  <si>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</si>
  <si>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</si>
  <si>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</si>
  <si>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</si>
  <si>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</si>
  <si>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</si>
  <si>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</si>
  <si>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</si>
  <si>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</si>
  <si>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</si>
  <si>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</si>
  <si>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</si>
  <si>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</si>
  <si>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</si>
  <si>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</si>
  <si>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</si>
  <si>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</si>
  <si>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</si>
  <si>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</si>
  <si>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</si>
  <si>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</si>
  <si>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</si>
  <si>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</si>
  <si>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</si>
  <si>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</si>
  <si>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</si>
  <si>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</si>
  <si>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</si>
  <si>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</si>
  <si>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</si>
  <si>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</si>
  <si>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</si>
  <si>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</si>
  <si>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</si>
  <si>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</si>
  <si>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</si>
  <si>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</si>
  <si>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</si>
  <si>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</si>
  <si>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</si>
  <si>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</si>
  <si>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</si>
  <si>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</si>
  <si>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</si>
  <si>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</si>
  <si>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</si>
  <si>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</si>
  <si>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</si>
  <si>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</si>
  <si>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</si>
  <si>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</si>
  <si>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</si>
  <si>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</si>
  <si>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</si>
  <si>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</si>
  <si>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</si>
  <si>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</si>
  <si>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</si>
  <si>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</si>
  <si>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</si>
  <si>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</si>
  <si>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</si>
  <si>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</si>
  <si>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</si>
  <si>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</si>
  <si>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</si>
  <si>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</si>
  <si>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</si>
  <si>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</si>
  <si>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</si>
  <si>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</si>
  <si>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</si>
  <si>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</si>
  <si>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</si>
  <si>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</si>
  <si>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</si>
  <si>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</si>
  <si>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</si>
  <si>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</si>
  <si>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</si>
  <si>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</si>
  <si>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</si>
  <si>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</si>
  <si>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</si>
  <si>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</si>
  <si>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</si>
  <si>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</si>
  <si>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</si>
  <si>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</si>
  <si>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</si>
  <si>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</si>
  <si>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</si>
  <si>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</si>
  <si>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</si>
  <si>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</si>
  <si>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</si>
  <si>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</si>
  <si>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</si>
  <si>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</si>
  <si>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</si>
  <si>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</si>
  <si>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</si>
  <si>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</si>
  <si>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</si>
  <si>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</si>
  <si>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</si>
  <si>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</si>
  <si>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</si>
  <si>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</si>
  <si>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</si>
  <si>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</si>
  <si>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</si>
  <si>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</si>
  <si>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</si>
  <si>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</si>
  <si>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</si>
  <si>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</si>
  <si>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</si>
  <si>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</si>
  <si>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</si>
  <si>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</si>
  <si>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</si>
  <si>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</si>
  <si>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</si>
  <si>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</si>
  <si>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</si>
  <si>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</si>
  <si>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</si>
  <si>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</si>
  <si>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</si>
  <si>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</si>
  <si>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</si>
  <si>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</si>
  <si>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</si>
  <si>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</si>
  <si>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</si>
  <si>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</si>
  <si>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</si>
  <si>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</si>
  <si>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</si>
  <si>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</si>
  <si>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</si>
  <si>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</si>
  <si>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</si>
  <si>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</si>
  <si>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</si>
  <si>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</si>
  <si>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</si>
  <si>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</si>
  <si>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</si>
  <si>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</si>
  <si>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</si>
  <si>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</si>
  <si>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</si>
  <si>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</si>
  <si>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</si>
  <si>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</si>
  <si>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</si>
  <si>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</si>
  <si>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</si>
  <si>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</si>
  <si>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</si>
  <si>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</si>
  <si>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</si>
  <si>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</si>
  <si>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</si>
  <si>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</si>
  <si>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</si>
  <si>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</si>
  <si>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</si>
  <si>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</si>
  <si>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</si>
  <si>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</si>
  <si>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</si>
  <si>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</si>
  <si>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</si>
  <si>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</si>
  <si>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</si>
  <si>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</si>
  <si>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</si>
  <si>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</si>
  <si>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</si>
  <si>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</si>
  <si>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</si>
  <si>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</si>
  <si>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</si>
  <si>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</si>
  <si>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</si>
  <si>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</si>
  <si>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</si>
  <si>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</si>
  <si>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</si>
  <si>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</si>
  <si>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</si>
  <si>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</si>
  <si>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</si>
  <si>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</si>
  <si>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</si>
  <si>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</si>
  <si>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</si>
  <si>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</si>
  <si>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</si>
  <si>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</si>
  <si>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</si>
  <si>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</si>
  <si>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</si>
  <si>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</si>
  <si>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</si>
  <si>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</si>
  <si>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</si>
  <si>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</si>
  <si>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</si>
  <si>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</si>
  <si>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</si>
  <si>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</si>
  <si>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</si>
  <si>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</si>
  <si>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</si>
  <si>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</si>
  <si>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</si>
  <si>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</si>
  <si>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</si>
  <si>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</si>
  <si>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</si>
  <si>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</si>
  <si>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</si>
  <si>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</si>
  <si>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</si>
  <si>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</si>
  <si>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</si>
  <si>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</si>
  <si>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</si>
  <si>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</si>
  <si>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</si>
  <si>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</si>
  <si>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</si>
  <si>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</si>
  <si>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</si>
  <si>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</si>
  <si>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</si>
  <si>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</si>
  <si>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</si>
  <si>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</si>
  <si>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</si>
  <si>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</si>
  <si>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</si>
  <si>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</si>
  <si>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</si>
  <si>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</si>
  <si>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</si>
  <si>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</si>
  <si>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</si>
  <si>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</si>
  <si>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</si>
  <si>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</si>
  <si>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</si>
  <si>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</si>
  <si>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</si>
  <si>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</si>
  <si>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</si>
  <si>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</si>
  <si>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</si>
  <si>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</si>
  <si>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</si>
  <si>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</si>
  <si>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</si>
  <si>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</si>
  <si>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</si>
  <si>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</si>
  <si>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</si>
  <si>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</si>
  <si>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</si>
  <si>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</si>
  <si>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</si>
  <si>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</si>
  <si>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</si>
  <si>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</si>
  <si>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</si>
  <si>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</si>
  <si>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</si>
  <si>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</si>
  <si>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</si>
  <si>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</si>
  <si>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</si>
  <si>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</si>
  <si>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</si>
  <si>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</si>
  <si>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</si>
  <si>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</si>
  <si>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</si>
  <si>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</si>
  <si>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</si>
  <si>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</si>
  <si>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</si>
  <si>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</si>
  <si>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</si>
  <si>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</si>
  <si>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</si>
  <si>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</si>
  <si>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</si>
  <si>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</si>
  <si>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</si>
  <si>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</si>
  <si>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</si>
  <si>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</si>
  <si>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</si>
  <si>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</si>
  <si>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</si>
  <si>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</si>
  <si>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</si>
  <si>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</si>
  <si>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</si>
  <si>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</si>
  <si>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</si>
  <si>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</si>
  <si>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</si>
  <si>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</si>
  <si>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</si>
  <si>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</si>
  <si>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</si>
  <si>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</si>
  <si>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</si>
  <si>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</si>
  <si>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</si>
  <si>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</si>
  <si>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</si>
  <si>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</si>
  <si>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</si>
  <si>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</si>
  <si>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</si>
  <si>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</si>
  <si>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</si>
  <si>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</si>
  <si>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</si>
  <si>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</si>
  <si>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</si>
  <si>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</si>
  <si>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</si>
  <si>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</si>
  <si>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</si>
  <si>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</si>
  <si>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</si>
  <si>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</si>
  <si>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</si>
  <si>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</si>
  <si>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</si>
  <si>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</si>
  <si>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</si>
  <si>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</si>
  <si>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</si>
  <si>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</si>
  <si>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</si>
  <si>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</si>
  <si>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</si>
  <si>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</si>
  <si>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</si>
  <si>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</si>
  <si>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</si>
  <si>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</si>
  <si>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</si>
  <si>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</si>
  <si>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</si>
  <si>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</si>
  <si>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</si>
  <si>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</si>
  <si>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</si>
  <si>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</si>
  <si>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</si>
  <si>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</si>
  <si>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</si>
  <si>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</si>
  <si>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</si>
  <si>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</si>
  <si>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</si>
  <si>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</si>
  <si>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</si>
  <si>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</si>
  <si>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</si>
  <si>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</si>
  <si>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</si>
  <si>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</si>
  <si>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</si>
  <si>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</si>
  <si>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</si>
  <si>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</si>
  <si>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</si>
  <si>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</si>
  <si>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</si>
  <si>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</si>
  <si>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</si>
  <si>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</si>
  <si>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</si>
  <si>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</si>
  <si>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</si>
  <si>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</si>
  <si>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</si>
  <si>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</si>
  <si>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</si>
  <si>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</si>
  <si>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</si>
  <si>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</si>
  <si>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</si>
  <si>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</si>
  <si>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</si>
  <si>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</si>
  <si>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</si>
  <si>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</si>
  <si>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</si>
  <si>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</si>
  <si>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</si>
  <si>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</si>
  <si>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</si>
  <si>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</si>
  <si>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</si>
  <si>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</si>
  <si>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</si>
  <si>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</si>
  <si>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</si>
  <si>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</si>
  <si>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</si>
  <si>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</si>
  <si>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</si>
  <si>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</si>
  <si>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</si>
  <si>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</si>
  <si>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</si>
  <si>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</si>
  <si>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</si>
  <si>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</si>
  <si>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</si>
  <si>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</si>
  <si>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</si>
  <si>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</si>
  <si>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</si>
  <si>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</si>
  <si>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</si>
  <si>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</si>
  <si>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</si>
  <si>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</si>
  <si>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</si>
  <si>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</si>
  <si>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</si>
  <si>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</si>
  <si>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</si>
  <si>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</si>
  <si>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</si>
  <si>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</si>
  <si>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</si>
  <si>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</si>
  <si>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</si>
  <si>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</si>
  <si>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</si>
  <si>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</si>
  <si>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</si>
  <si>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</si>
  <si>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</si>
  <si>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</si>
  <si>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</si>
  <si>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</si>
  <si>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</si>
  <si>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</si>
  <si>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</si>
  <si>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</si>
  <si>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</si>
  <si>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</si>
  <si>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</si>
  <si>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</si>
  <si>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</si>
  <si>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</si>
  <si>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</si>
  <si>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</si>
  <si>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</si>
  <si>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</si>
  <si>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</si>
  <si>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</si>
  <si>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</si>
  <si>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</si>
  <si>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</si>
  <si>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</si>
  <si>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</si>
  <si>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</si>
  <si>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</si>
  <si>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</si>
  <si>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</si>
  <si>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</si>
  <si>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</si>
  <si>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</si>
  <si>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</si>
  <si>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</si>
  <si>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</si>
  <si>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</si>
  <si>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</si>
  <si>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</si>
  <si>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</si>
  <si>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</si>
  <si>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</si>
  <si>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</si>
  <si>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</si>
  <si>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</si>
  <si>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</si>
  <si>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</si>
  <si>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</si>
  <si>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</si>
  <si>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</si>
  <si>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</si>
  <si>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</si>
  <si>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</si>
  <si>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</si>
  <si>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</si>
  <si>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</si>
  <si>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</si>
  <si>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</si>
  <si>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</si>
  <si>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</si>
  <si>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</si>
  <si>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</si>
  <si>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</si>
  <si>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</si>
  <si>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</si>
  <si>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</si>
  <si>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</si>
  <si>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</si>
  <si>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</si>
  <si>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</si>
  <si>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</si>
  <si>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</si>
  <si>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</si>
  <si>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</si>
  <si>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</si>
  <si>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</si>
  <si>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</si>
  <si>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</si>
  <si>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</si>
  <si>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</si>
  <si>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</si>
  <si>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</si>
  <si>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</si>
  <si>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</si>
  <si>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</si>
  <si>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</si>
  <si>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</si>
  <si>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</si>
  <si>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</si>
  <si>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</si>
  <si>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</si>
  <si>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</si>
  <si>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</si>
  <si>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</si>
  <si>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</si>
  <si>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</si>
  <si>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</si>
  <si>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</si>
  <si>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</si>
  <si>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</si>
  <si>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</si>
  <si>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</si>
  <si>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</si>
  <si>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</si>
  <si>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</si>
  <si>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</si>
  <si>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</si>
  <si>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</si>
  <si>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</si>
  <si>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</si>
  <si>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</si>
  <si>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</si>
  <si>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</si>
  <si>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</si>
  <si>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</si>
  <si>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</si>
  <si>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</si>
  <si>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</si>
  <si>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</si>
  <si>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</si>
  <si>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</si>
  <si>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</si>
  <si>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</si>
  <si>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</si>
  <si>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</si>
  <si>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</si>
  <si>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</si>
  <si>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</si>
  <si>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</si>
  <si>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</si>
  <si>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</si>
  <si>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</si>
  <si>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</si>
  <si>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</si>
  <si>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</si>
  <si>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</si>
  <si>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</si>
  <si>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</si>
  <si>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</si>
  <si>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</si>
  <si>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</si>
  <si>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</si>
  <si>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</si>
  <si>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</si>
  <si>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</si>
  <si>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</si>
  <si>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</si>
  <si>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</si>
  <si>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</si>
  <si>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</si>
  <si>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</si>
  <si>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</si>
  <si>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</si>
  <si>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</si>
  <si>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</si>
  <si>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</si>
  <si>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</si>
  <si>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</si>
  <si>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</si>
  <si>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</si>
  <si>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</si>
  <si>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</si>
  <si>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</si>
  <si>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</si>
  <si>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</si>
  <si>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</si>
  <si>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</si>
  <si>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</si>
  <si>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</si>
  <si>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</si>
  <si>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</si>
  <si>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</si>
  <si>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</si>
  <si>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</si>
  <si>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</si>
  <si>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</si>
  <si>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</si>
  <si>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</si>
  <si>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</si>
  <si>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</si>
  <si>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</si>
  <si>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</si>
  <si>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</si>
  <si>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</si>
  <si>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</si>
  <si>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</si>
  <si>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</si>
  <si>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</si>
  <si>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</si>
  <si>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</si>
  <si>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</si>
  <si>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</si>
  <si>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</si>
  <si>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</si>
  <si>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</si>
  <si>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</si>
  <si>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</si>
  <si>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</si>
  <si>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</si>
  <si>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</si>
  <si>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</si>
  <si>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</si>
  <si>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</si>
  <si>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</si>
  <si>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</si>
  <si>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</si>
  <si>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</si>
  <si>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</si>
  <si>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</si>
  <si>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</si>
  <si>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</si>
  <si>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</si>
  <si>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</si>
  <si>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</si>
  <si>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</si>
  <si>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</si>
  <si>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</si>
  <si>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</si>
  <si>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</si>
  <si>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</si>
  <si>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</si>
  <si>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</si>
  <si>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</si>
  <si>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</si>
  <si>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</si>
  <si>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</si>
  <si>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</si>
  <si>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</si>
  <si>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</si>
  <si>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</si>
  <si>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</si>
  <si>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</si>
  <si>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</si>
  <si>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</si>
  <si>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</si>
  <si>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</si>
  <si>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</si>
  <si>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</si>
  <si>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</si>
  <si>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</si>
  <si>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</si>
  <si>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</si>
  <si>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</si>
  <si>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</si>
  <si>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</si>
  <si>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</si>
  <si>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</si>
  <si>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</si>
  <si>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</si>
  <si>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</si>
  <si>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</si>
  <si>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</si>
  <si>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</si>
  <si>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</si>
  <si>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</si>
  <si>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</si>
  <si>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</si>
  <si>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</si>
  <si>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</si>
  <si>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</si>
  <si>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</si>
  <si>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</si>
  <si>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</si>
  <si>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</si>
  <si>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</si>
  <si>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</si>
  <si>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</si>
  <si>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</si>
  <si>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</si>
  <si>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</si>
  <si>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</si>
  <si>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</si>
  <si>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</si>
  <si>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</si>
  <si>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</si>
  <si>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</si>
  <si>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</si>
  <si>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</si>
  <si>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</si>
  <si>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</si>
  <si>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</si>
  <si>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</si>
  <si>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</si>
  <si>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</si>
  <si>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</si>
  <si>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</si>
  <si>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</si>
  <si>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</si>
  <si>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</si>
  <si>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</si>
  <si>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</si>
  <si>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</si>
  <si>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</si>
  <si>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</si>
  <si>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</si>
  <si>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</si>
  <si>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</si>
  <si>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</si>
  <si>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</si>
  <si>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</si>
  <si>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</si>
  <si>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</si>
  <si>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</si>
  <si>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</si>
  <si>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</si>
  <si>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</si>
  <si>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</si>
  <si>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</si>
  <si>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</si>
  <si>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</si>
  <si>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</si>
  <si>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</si>
  <si>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</si>
  <si>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</si>
  <si>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</si>
  <si>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</si>
  <si>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</si>
  <si>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</si>
  <si>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</si>
  <si>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</si>
  <si>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</si>
  <si>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</si>
  <si>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</si>
  <si>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</si>
  <si>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</si>
  <si>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</si>
  <si>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</si>
  <si>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</si>
  <si>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</si>
  <si>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</si>
  <si>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</si>
  <si>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</si>
  <si>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</si>
  <si>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</si>
  <si>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</si>
  <si>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</si>
  <si>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</si>
  <si>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</si>
  <si>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</si>
  <si>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</si>
  <si>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</si>
  <si>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</si>
  <si>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</si>
  <si>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</si>
  <si>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</si>
  <si>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</si>
  <si>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</si>
  <si>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</si>
  <si>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</si>
  <si>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</si>
  <si>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</si>
  <si>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</si>
  <si>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</si>
  <si>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</si>
  <si>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</si>
  <si>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</si>
  <si>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</si>
  <si>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</si>
  <si>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</si>
  <si>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</si>
  <si>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</si>
  <si>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</si>
  <si>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</si>
  <si>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</si>
  <si>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</si>
  <si>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</si>
  <si>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</si>
  <si>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</si>
  <si>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</si>
  <si>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</si>
  <si>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</si>
  <si>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</si>
  <si>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</si>
  <si>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</si>
  <si>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</si>
  <si>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</si>
  <si>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</si>
  <si>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</si>
  <si>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</si>
  <si>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</si>
  <si>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</si>
  <si>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</si>
  <si>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</si>
  <si>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</si>
  <si>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</si>
  <si>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</si>
  <si>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</si>
  <si>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</si>
  <si>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</si>
  <si>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</si>
  <si>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</si>
  <si>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</si>
  <si>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</si>
  <si>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</si>
  <si>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</si>
  <si>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</si>
  <si>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</si>
  <si>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</si>
  <si>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</si>
  <si>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</si>
  <si>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</si>
  <si>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</si>
  <si>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</si>
  <si>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</si>
  <si>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</si>
  <si>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</si>
  <si>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</si>
  <si>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</si>
  <si>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</si>
  <si>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</si>
  <si>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</si>
  <si>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</si>
  <si>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</si>
  <si>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</si>
  <si>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</si>
  <si>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</si>
  <si>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</si>
  <si>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</si>
  <si>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</si>
  <si>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</si>
  <si>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</si>
  <si>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</si>
  <si>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</si>
  <si>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</si>
  <si>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</si>
  <si>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</si>
  <si>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</si>
  <si>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</si>
  <si>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</si>
  <si>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</si>
  <si>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</si>
  <si>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</si>
  <si>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</si>
  <si>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</si>
  <si>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</si>
  <si>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</si>
  <si>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</si>
  <si>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</si>
  <si>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</si>
  <si>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</si>
  <si>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</si>
  <si>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</si>
  <si>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</si>
  <si>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</si>
  <si>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</si>
  <si>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</si>
  <si>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</si>
  <si>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</si>
  <si>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</si>
  <si>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</si>
  <si>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</si>
  <si>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</si>
  <si>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</si>
  <si>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</si>
  <si>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</si>
  <si>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</si>
  <si>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</si>
  <si>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</si>
  <si>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</si>
  <si>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</si>
  <si>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</si>
  <si>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</si>
  <si>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</si>
  <si>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</si>
  <si>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</si>
  <si>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</si>
  <si>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</si>
  <si>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</si>
  <si>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</si>
  <si>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</si>
  <si>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</si>
  <si>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</si>
  <si>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</si>
  <si>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</si>
  <si>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</si>
  <si>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</si>
  <si>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</si>
  <si>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</si>
  <si>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</si>
  <si>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</si>
  <si>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</si>
  <si>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</si>
  <si>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</si>
  <si>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</si>
  <si>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</si>
  <si>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</si>
  <si>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</si>
  <si>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</si>
  <si>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</si>
  <si>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</si>
  <si>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</si>
  <si>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</si>
  <si>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</si>
  <si>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</si>
  <si>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</si>
  <si>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</si>
  <si>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</si>
  <si>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</si>
  <si>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</si>
  <si>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</si>
  <si>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</si>
  <si>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</si>
  <si>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</si>
  <si>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</si>
  <si>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</si>
  <si>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</si>
  <si>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</si>
  <si>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</si>
  <si>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</si>
  <si>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</si>
  <si>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</si>
  <si>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</si>
  <si>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</si>
  <si>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</si>
  <si>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</si>
  <si>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</si>
  <si>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</si>
  <si>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</si>
  <si>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</si>
  <si>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</si>
  <si>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</si>
  <si>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</si>
  <si>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</si>
  <si>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</si>
  <si>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</si>
  <si>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</si>
  <si>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</si>
  <si>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</si>
  <si>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</si>
  <si>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</si>
  <si>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</si>
  <si>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</si>
  <si>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</si>
  <si>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</si>
  <si>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</si>
  <si>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</si>
  <si>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</si>
  <si>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</si>
  <si>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</si>
  <si>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</si>
  <si>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</si>
  <si>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</si>
  <si>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</si>
  <si>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</si>
  <si>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</si>
  <si>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</si>
  <si>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</si>
  <si>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</si>
  <si>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</si>
  <si>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</si>
  <si>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</si>
  <si>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</si>
  <si>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</si>
  <si>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</si>
  <si>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</si>
  <si>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</si>
  <si>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</si>
  <si>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</si>
  <si>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</si>
  <si>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</si>
  <si>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</si>
  <si>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</si>
  <si>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</si>
  <si>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</si>
  <si>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</si>
  <si>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</si>
  <si>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</si>
  <si>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</si>
  <si>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</si>
  <si>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</si>
  <si>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</si>
  <si>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</si>
  <si>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</si>
  <si>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</si>
  <si>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</si>
  <si>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</si>
  <si>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</si>
  <si>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</si>
  <si>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</si>
  <si>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</si>
  <si>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</si>
  <si>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</si>
  <si>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</si>
  <si>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</si>
  <si>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</si>
  <si>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</si>
  <si>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</si>
  <si>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</si>
  <si>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</si>
  <si>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</si>
  <si>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</si>
  <si>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</si>
  <si>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</si>
  <si>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</si>
  <si>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</si>
  <si>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</si>
  <si>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</si>
  <si>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</si>
  <si>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</si>
  <si>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</si>
  <si>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</si>
  <si>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</si>
  <si>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</si>
  <si>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</si>
  <si>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</si>
  <si>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</si>
  <si>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</si>
  <si>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</si>
  <si>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</si>
  <si>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</si>
  <si>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</si>
  <si>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</si>
  <si>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</si>
  <si>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</si>
  <si>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</si>
  <si>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</si>
  <si>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</si>
  <si>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</si>
  <si>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</si>
  <si>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</si>
  <si>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</si>
  <si>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</si>
  <si>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</si>
  <si>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</si>
  <si>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</si>
  <si>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</si>
  <si>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</si>
  <si>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</si>
  <si>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</si>
  <si>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</si>
  <si>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</si>
  <si>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</si>
  <si>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</si>
  <si>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</si>
  <si>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</si>
  <si>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</si>
  <si>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</si>
  <si>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</si>
  <si>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</si>
  <si>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</si>
  <si>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</si>
  <si>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</si>
  <si>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</si>
  <si>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</si>
  <si>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</si>
  <si>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</si>
  <si>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</si>
  <si>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</si>
  <si>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</si>
  <si>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</si>
  <si>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</si>
  <si>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</si>
  <si>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</si>
  <si>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</si>
  <si>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</si>
  <si>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</si>
  <si>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</si>
  <si>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</si>
  <si>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</si>
  <si>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</si>
  <si>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</si>
  <si>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</si>
  <si>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</si>
  <si>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</si>
  <si>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</si>
  <si>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</si>
  <si>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</si>
  <si>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</si>
  <si>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</si>
  <si>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</si>
  <si>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</si>
  <si>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</si>
  <si>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</si>
  <si>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</si>
  <si>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</si>
  <si>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</si>
  <si>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</si>
  <si>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</si>
  <si>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</si>
  <si>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</si>
  <si>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</si>
  <si>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</si>
  <si>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</si>
  <si>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</si>
  <si>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</si>
  <si>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</si>
  <si>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</si>
  <si>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</si>
  <si>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</si>
  <si>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</si>
  <si>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</si>
  <si>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</si>
  <si>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</si>
  <si>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</si>
  <si>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</si>
  <si>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</si>
  <si>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</si>
  <si>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</si>
  <si>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</si>
  <si>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</si>
  <si>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</si>
  <si>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</si>
  <si>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</si>
  <si>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</si>
  <si>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</si>
  <si>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</si>
  <si>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</si>
  <si>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</si>
  <si>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</si>
  <si>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</si>
  <si>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</si>
  <si>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</si>
  <si>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</si>
  <si>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</si>
  <si>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</si>
  <si>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</si>
  <si>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</si>
  <si>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</si>
  <si>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</si>
  <si>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</si>
  <si>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</si>
  <si>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</si>
  <si>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</si>
  <si>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</si>
  <si>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</si>
  <si>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</si>
  <si>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</si>
  <si>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</si>
  <si>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</si>
  <si>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</si>
  <si>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</si>
  <si>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</si>
  <si>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</si>
  <si>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</si>
  <si>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</si>
  <si>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</si>
  <si>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</si>
  <si>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</si>
  <si>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</si>
  <si>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</si>
  <si>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</si>
  <si>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</si>
  <si>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</si>
  <si>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</si>
  <si>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</si>
  <si>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</si>
  <si>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</si>
  <si>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</si>
  <si>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</si>
  <si>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</si>
  <si>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</si>
  <si>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</si>
  <si>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</si>
  <si>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</si>
  <si>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</si>
  <si>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</si>
  <si>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</si>
  <si>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</si>
  <si>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</si>
  <si>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</si>
  <si>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</si>
  <si>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</si>
  <si>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</si>
  <si>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</si>
  <si>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</si>
  <si>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</si>
  <si>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</si>
  <si>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</si>
  <si>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</si>
  <si>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</si>
  <si>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</si>
  <si>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</si>
  <si>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</si>
  <si>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</si>
  <si>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</si>
  <si>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</si>
  <si>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</si>
  <si>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</si>
  <si>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</si>
  <si>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</si>
  <si>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</si>
  <si>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</si>
  <si>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</si>
  <si>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</si>
  <si>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</si>
  <si>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</si>
  <si>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</si>
  <si>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</si>
  <si>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</si>
  <si>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</si>
  <si>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</si>
  <si>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</si>
  <si>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</si>
  <si>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</si>
  <si>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</si>
  <si>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</si>
  <si>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</si>
  <si>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</si>
  <si>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</si>
  <si>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</si>
  <si>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</si>
  <si>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</si>
  <si>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</si>
  <si>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</si>
  <si>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</si>
  <si>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</si>
  <si>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</si>
  <si>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</si>
  <si>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</si>
  <si>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</si>
  <si>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</si>
  <si>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</si>
  <si>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</si>
  <si>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</si>
  <si>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</si>
  <si>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</si>
  <si>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</si>
  <si>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</si>
  <si>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</si>
  <si>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</si>
  <si>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</si>
  <si>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</si>
  <si>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</si>
  <si>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</si>
  <si>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</si>
  <si>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</si>
  <si>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</si>
  <si>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</si>
  <si>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</si>
  <si>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</si>
  <si>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</si>
  <si>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</si>
  <si>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</si>
  <si>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</si>
  <si>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</si>
  <si>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</si>
  <si>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</si>
  <si>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</si>
  <si>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</si>
  <si>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</si>
  <si>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</si>
  <si>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</si>
  <si>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</si>
  <si>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</si>
  <si>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</si>
  <si>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</si>
  <si>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</si>
  <si>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</si>
  <si>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</si>
  <si>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</si>
  <si>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</si>
  <si>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</si>
  <si>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</si>
  <si>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</si>
  <si>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</si>
  <si>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</si>
  <si>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</si>
  <si>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</si>
  <si>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</si>
  <si>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</si>
  <si>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</si>
  <si>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</si>
  <si>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</si>
  <si>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</si>
  <si>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</si>
  <si>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</si>
  <si>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</si>
  <si>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</si>
  <si>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</si>
  <si>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</si>
  <si>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</si>
  <si>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</si>
  <si>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</si>
  <si>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</si>
  <si>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</si>
  <si>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</si>
  <si>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</si>
  <si>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</si>
  <si>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</si>
  <si>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</si>
  <si>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</si>
  <si>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</si>
  <si>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</si>
  <si>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</si>
  <si>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</si>
  <si>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</si>
  <si>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</si>
  <si>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</si>
  <si>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</si>
  <si>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</si>
  <si>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</si>
  <si>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</si>
  <si>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</si>
  <si>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</si>
  <si>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</si>
  <si>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</si>
  <si>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</si>
  <si>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</si>
  <si>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</si>
  <si>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</si>
  <si>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</si>
  <si>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</si>
  <si>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</si>
  <si>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</si>
  <si>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</si>
  <si>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</si>
  <si>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</si>
  <si>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</si>
  <si>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</si>
  <si>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</si>
  <si>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</si>
  <si>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</si>
  <si>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</si>
  <si>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</si>
  <si>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</si>
  <si>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</si>
  <si>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</si>
  <si>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</si>
  <si>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</si>
  <si>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</si>
  <si>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</si>
  <si>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</si>
  <si>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</si>
  <si>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</si>
  <si>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</si>
  <si>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</si>
  <si>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</si>
  <si>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</si>
  <si>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</si>
  <si>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</si>
  <si>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</si>
  <si>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</si>
  <si>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</si>
  <si>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</si>
  <si>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</si>
  <si>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</si>
  <si>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</si>
  <si>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</si>
  <si>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</si>
  <si>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</si>
  <si>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</si>
  <si>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</si>
  <si>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</si>
  <si>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</si>
  <si>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</si>
  <si>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</si>
  <si>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</si>
  <si>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</si>
  <si>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</si>
  <si>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</si>
  <si>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</si>
  <si>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</si>
  <si>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</si>
  <si>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</si>
  <si>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</si>
  <si>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</si>
  <si>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</si>
  <si>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</si>
  <si>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</si>
  <si>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</si>
  <si>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</si>
  <si>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</si>
  <si>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</si>
  <si>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</si>
  <si>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</si>
  <si>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</si>
  <si>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</si>
  <si>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</si>
  <si>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</si>
  <si>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</si>
  <si>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</si>
  <si>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</si>
  <si>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</si>
  <si>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</si>
  <si>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</si>
  <si>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</si>
  <si>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</si>
  <si>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</si>
  <si>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</si>
  <si>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</si>
  <si>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</si>
  <si>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</si>
  <si>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</si>
  <si>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</si>
  <si>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</si>
  <si>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</si>
  <si>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</si>
  <si>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</si>
  <si>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</si>
  <si>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</si>
  <si>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</si>
  <si>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</si>
  <si>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</si>
  <si>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</si>
  <si>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</si>
  <si>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</si>
  <si>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</si>
  <si>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</si>
  <si>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</si>
  <si>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</si>
  <si>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</si>
  <si>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</si>
  <si>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</si>
  <si>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</si>
  <si>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</si>
  <si>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</si>
  <si>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</si>
  <si>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</si>
  <si>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</si>
  <si>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</si>
  <si>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</si>
  <si>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</si>
  <si>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</si>
  <si>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</si>
  <si>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</si>
  <si>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</si>
  <si>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</si>
  <si>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</si>
  <si>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</si>
  <si>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</si>
  <si>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</si>
  <si>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</si>
  <si>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</si>
  <si>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</si>
  <si>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</si>
  <si>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</si>
  <si>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</si>
  <si>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</si>
  <si>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</si>
  <si>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</si>
  <si>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</si>
  <si>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</si>
  <si>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</si>
  <si>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</si>
  <si>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</si>
  <si>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</si>
  <si>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</si>
  <si>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</si>
  <si>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</si>
  <si>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</si>
  <si>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</si>
  <si>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</si>
  <si>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</si>
  <si>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</si>
  <si>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</si>
  <si>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</si>
  <si>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</si>
  <si>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</si>
  <si>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</si>
  <si>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</si>
  <si>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</si>
  <si>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</si>
  <si>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</si>
  <si>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</si>
  <si>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</si>
  <si>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</si>
  <si>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</si>
  <si>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</si>
  <si>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</si>
  <si>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</si>
  <si>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</si>
  <si>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</si>
  <si>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</si>
  <si>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</si>
  <si>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</si>
  <si>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</si>
  <si>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</si>
  <si>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</si>
  <si>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</si>
  <si>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</si>
  <si>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</si>
  <si>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</si>
  <si>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</si>
  <si>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</si>
  <si>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</si>
  <si>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</si>
  <si>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</si>
  <si>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</si>
  <si>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</si>
  <si>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</si>
  <si>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</si>
  <si>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</si>
  <si>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</si>
  <si>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</si>
  <si>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</si>
  <si>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</si>
  <si>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</si>
  <si>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</si>
  <si>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</si>
  <si>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</si>
  <si>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</si>
  <si>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</si>
  <si>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</si>
  <si>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</si>
  <si>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</si>
  <si>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</si>
  <si>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</si>
  <si>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</si>
  <si>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</si>
  <si>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</si>
  <si>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</si>
  <si>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</si>
  <si>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</si>
  <si>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</si>
  <si>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</si>
  <si>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</si>
  <si>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</si>
  <si>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</si>
  <si>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</si>
  <si>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</si>
  <si>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</si>
  <si>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</si>
  <si>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</si>
  <si>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</si>
  <si>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</si>
  <si>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</si>
  <si>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</si>
  <si>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</si>
  <si>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</si>
  <si>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</si>
  <si>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</si>
  <si>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</si>
  <si>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</si>
  <si>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</si>
  <si>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</si>
  <si>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</si>
  <si>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</si>
  <si>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</si>
  <si>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</si>
  <si>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</si>
  <si>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</si>
  <si>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</si>
  <si>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</si>
  <si>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</si>
  <si>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</si>
  <si>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</si>
  <si>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</si>
  <si>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</si>
  <si>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</si>
  <si>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</si>
  <si>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</si>
  <si>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</si>
  <si>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</si>
  <si>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</si>
  <si>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</si>
  <si>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</si>
  <si>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</si>
  <si>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</si>
  <si>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</si>
  <si>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</si>
  <si>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</si>
  <si>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</si>
  <si>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</si>
  <si>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</si>
  <si>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</si>
  <si>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</si>
  <si>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</si>
  <si>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</si>
  <si>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</si>
  <si>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</si>
  <si>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</si>
  <si>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</si>
  <si>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</si>
  <si>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</si>
  <si>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</si>
  <si>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</si>
  <si>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</si>
  <si>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</si>
  <si>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</si>
  <si>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</si>
  <si>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</si>
  <si>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</si>
  <si>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</si>
  <si>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</si>
  <si>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</si>
  <si>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</si>
  <si>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</si>
  <si>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</si>
  <si>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</si>
  <si>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</si>
  <si>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</si>
  <si>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</si>
  <si>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</si>
  <si>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</si>
  <si>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</si>
  <si>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</si>
  <si>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</si>
  <si>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</si>
  <si>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</si>
  <si>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</si>
  <si>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</si>
  <si>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</si>
  <si>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</si>
  <si>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</si>
  <si>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</si>
  <si>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</si>
  <si>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</si>
  <si>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</si>
  <si>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</si>
  <si>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</si>
  <si>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</si>
  <si>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</si>
  <si>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</si>
  <si>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</si>
  <si>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</si>
  <si>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</si>
  <si>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</si>
  <si>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</si>
  <si>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</si>
  <si>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</si>
  <si>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</si>
  <si>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</si>
  <si>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</si>
  <si>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</si>
  <si>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</si>
  <si>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</si>
  <si>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</si>
  <si>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</si>
  <si>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</si>
  <si>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</si>
  <si>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</si>
  <si>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</si>
  <si>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</si>
  <si>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</si>
  <si>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</si>
  <si>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</si>
  <si>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</si>
  <si>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</si>
  <si>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</si>
  <si>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</si>
  <si>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</si>
  <si>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</si>
  <si>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</si>
  <si>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</si>
  <si>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</si>
  <si>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</si>
  <si>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</si>
  <si>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</si>
  <si>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</si>
  <si>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</si>
  <si>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</si>
  <si>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</si>
  <si>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</si>
  <si>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</si>
  <si>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</si>
  <si>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</si>
  <si>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</si>
  <si>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</si>
  <si>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</si>
  <si>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</si>
  <si>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</si>
  <si>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</si>
  <si>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</si>
  <si>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</si>
  <si>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</si>
  <si>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</si>
  <si>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</si>
  <si>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</si>
  <si>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</si>
  <si>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</si>
  <si>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</si>
  <si>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</si>
  <si>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</si>
  <si>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</si>
  <si>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</si>
  <si>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</si>
  <si>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</si>
  <si>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</si>
  <si>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</si>
  <si>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</si>
  <si>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</si>
  <si>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</si>
  <si>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</si>
  <si>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</si>
  <si>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</si>
  <si>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</si>
  <si>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</si>
  <si>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</si>
  <si>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</si>
  <si>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</si>
  <si>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</si>
  <si>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</si>
  <si>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</si>
  <si>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</si>
  <si>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</si>
  <si>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</si>
  <si>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</si>
  <si>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</si>
  <si>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</si>
  <si>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</si>
  <si>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</si>
  <si>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</si>
  <si>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</si>
  <si>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</si>
  <si>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</si>
  <si>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</si>
  <si>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</si>
  <si>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</si>
  <si>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</si>
  <si>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</si>
  <si>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</si>
  <si>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</si>
  <si>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</si>
  <si>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</si>
  <si>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</si>
  <si>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</si>
  <si>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</si>
  <si>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</si>
  <si>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</si>
  <si>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</si>
  <si>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</si>
  <si>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</si>
  <si>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</si>
  <si>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</si>
  <si>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</si>
  <si>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</si>
  <si>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</si>
  <si>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</si>
  <si>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</si>
  <si>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</si>
  <si>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</si>
  <si>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</si>
  <si>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</si>
  <si>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</si>
  <si>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</si>
  <si>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</si>
  <si>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</si>
  <si>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</si>
  <si>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</si>
  <si>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</si>
  <si>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</si>
  <si>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</si>
  <si>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</si>
  <si>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</si>
  <si>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</si>
  <si>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</si>
  <si>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</si>
  <si>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</si>
  <si>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</si>
  <si>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</si>
  <si>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</si>
  <si>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</si>
  <si>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</si>
  <si>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</si>
  <si>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</si>
  <si>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</si>
  <si>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</si>
  <si>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</si>
  <si>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</si>
  <si>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</si>
  <si>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</si>
  <si>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</si>
  <si>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</si>
  <si>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</si>
  <si>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</si>
  <si>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</si>
  <si>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</si>
  <si>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</si>
  <si>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</si>
  <si>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</si>
  <si>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</si>
  <si>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</si>
  <si>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</si>
  <si>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</si>
  <si>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</si>
  <si>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</si>
  <si>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</si>
  <si>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</si>
  <si>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</si>
  <si>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</si>
  <si>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</si>
  <si>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</si>
  <si>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</si>
  <si>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</si>
  <si>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</si>
  <si>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</si>
  <si>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</si>
  <si>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</si>
  <si>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</si>
  <si>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</si>
  <si>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</si>
  <si>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</si>
  <si>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</si>
  <si>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</si>
  <si>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</si>
  <si>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</si>
  <si>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</si>
  <si>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</si>
  <si>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</si>
  <si>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</si>
  <si>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</si>
  <si>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</si>
  <si>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</si>
  <si>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</si>
  <si>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</si>
  <si>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</si>
  <si>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</si>
  <si>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</si>
  <si>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</si>
  <si>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</si>
  <si>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</si>
  <si>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</si>
  <si>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</si>
  <si>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</si>
  <si>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</si>
  <si>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</si>
  <si>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</si>
  <si>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</si>
  <si>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</si>
  <si>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</si>
  <si>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</si>
  <si>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</si>
  <si>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</si>
  <si>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</si>
  <si>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</si>
  <si>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</si>
  <si>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</si>
  <si>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</si>
  <si>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</si>
  <si>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</si>
  <si>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</si>
  <si>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</si>
  <si>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</si>
  <si>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</si>
  <si>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</si>
  <si>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</si>
  <si>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</si>
  <si>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</si>
  <si>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</si>
  <si>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</si>
  <si>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</si>
  <si>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</si>
  <si>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</si>
  <si>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</si>
  <si>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</si>
  <si>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</si>
  <si>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</si>
  <si>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</si>
  <si>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</si>
  <si>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</si>
  <si>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</si>
  <si>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</si>
  <si>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</si>
  <si>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</si>
  <si>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</si>
  <si>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</si>
  <si>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</si>
  <si>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</si>
  <si>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</si>
  <si>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</si>
  <si>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</si>
  <si>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</si>
  <si>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</si>
  <si>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</si>
  <si>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</si>
  <si>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</si>
  <si>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</si>
  <si>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</si>
  <si>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</si>
  <si>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</si>
  <si>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</si>
  <si>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</si>
  <si>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</si>
  <si>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</si>
  <si>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</si>
  <si>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</si>
  <si>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</si>
  <si>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</si>
  <si>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按下沉式广场设定，若不是价值会低些</t>
    <phoneticPr fontId="134"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</si>
  <si>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</si>
  <si>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</si>
  <si>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</si>
  <si>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</si>
  <si>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</si>
  <si>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</si>
  <si>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</si>
  <si>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</si>
  <si>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</si>
  <si>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</si>
  <si>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</si>
  <si>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</si>
  <si>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</si>
  <si>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</si>
  <si>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</si>
  <si>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</si>
  <si>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</si>
  <si>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</si>
  <si>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</si>
  <si>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</si>
  <si>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</si>
  <si>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</si>
  <si>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</si>
  <si>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</si>
  <si>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</si>
  <si>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</si>
  <si>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</si>
  <si>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</si>
  <si>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</si>
  <si>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</si>
  <si>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</si>
  <si>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</si>
  <si>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</si>
  <si>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</si>
  <si>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</si>
  <si>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</si>
  <si>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</si>
  <si>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</si>
  <si>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</si>
  <si>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</si>
  <si>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</si>
  <si>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</si>
  <si>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</si>
  <si>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</si>
  <si>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</si>
  <si>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</si>
  <si>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</si>
  <si>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</si>
  <si>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</si>
  <si>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</si>
  <si>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</si>
  <si>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</si>
  <si>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</si>
  <si>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</si>
  <si>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</si>
  <si>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</si>
  <si>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</si>
  <si>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</si>
  <si>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</si>
  <si>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</si>
  <si>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</si>
  <si>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</si>
  <si>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</si>
  <si>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</si>
  <si>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</si>
  <si>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</si>
  <si>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</si>
  <si>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</si>
  <si>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</si>
  <si>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</si>
  <si>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</si>
  <si>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</si>
  <si>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</si>
  <si>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</si>
  <si>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</si>
  <si>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</si>
  <si>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</si>
  <si>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</si>
  <si>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</si>
  <si>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</si>
  <si>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</si>
  <si>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</si>
  <si>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</si>
  <si>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</si>
  <si>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</si>
  <si>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</si>
  <si>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</si>
  <si>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</si>
  <si>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</si>
  <si>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</si>
  <si>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</si>
  <si>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</si>
  <si>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</si>
  <si>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</si>
  <si>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</si>
  <si>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</si>
  <si>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</si>
  <si>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</si>
  <si>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</si>
  <si>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</si>
  <si>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</si>
  <si>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</si>
  <si>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</si>
  <si>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</si>
  <si>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</si>
  <si>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</si>
  <si>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</si>
  <si>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</si>
  <si>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</si>
  <si>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</si>
  <si>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</si>
  <si>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</si>
  <si>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</si>
  <si>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</si>
  <si>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</si>
  <si>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</si>
  <si>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</si>
  <si>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</si>
  <si>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</si>
  <si>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</si>
  <si>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</si>
  <si>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</si>
  <si>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</si>
  <si>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</si>
  <si>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</si>
  <si>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</si>
  <si>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</si>
  <si>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</si>
  <si>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</si>
  <si>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</si>
  <si>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</si>
  <si>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</si>
  <si>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</si>
  <si>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</si>
  <si>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</si>
  <si>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</si>
  <si>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</si>
  <si>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</si>
  <si>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</si>
  <si>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</si>
  <si>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</si>
  <si>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</si>
  <si>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</si>
  <si>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</si>
  <si>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</si>
  <si>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</si>
  <si>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</si>
  <si>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</si>
  <si>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</si>
  <si>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</si>
  <si>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</si>
  <si>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</si>
  <si>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</si>
  <si>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</si>
  <si>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</si>
  <si>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</si>
  <si>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</si>
  <si>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</si>
  <si>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</si>
  <si>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</si>
  <si>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</si>
  <si>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</si>
  <si>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</si>
  <si>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</si>
  <si>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</si>
  <si>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</si>
  <si>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</si>
  <si>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</si>
  <si>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</si>
  <si>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</si>
  <si>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</si>
  <si>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</si>
  <si>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</si>
  <si>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</si>
  <si>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</si>
  <si>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</si>
  <si>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</si>
  <si>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</si>
  <si>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</si>
  <si>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</si>
  <si>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</si>
  <si>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</si>
  <si>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</si>
  <si>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</si>
  <si>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</si>
  <si>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</si>
  <si>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</si>
  <si>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</si>
  <si>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</si>
  <si>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</si>
  <si>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</si>
  <si>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</si>
  <si>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</si>
  <si>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</si>
  <si>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</si>
  <si>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</si>
  <si>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</si>
  <si>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</si>
  <si>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</si>
  <si>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</si>
  <si>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</si>
  <si>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</si>
  <si>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</si>
  <si>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</si>
  <si>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</si>
  <si>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</si>
  <si>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</si>
  <si>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</si>
  <si>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</si>
  <si>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</si>
  <si>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</si>
  <si>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</si>
  <si>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</si>
  <si>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</si>
  <si>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</si>
  <si>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</si>
  <si>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</si>
  <si>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</si>
  <si>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</si>
  <si>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</si>
  <si>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</si>
  <si>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</si>
  <si>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</si>
  <si>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</si>
  <si>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</si>
  <si>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</si>
  <si>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</si>
  <si>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</si>
  <si>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</si>
  <si>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</si>
  <si>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</si>
  <si>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</si>
  <si>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</si>
  <si>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</si>
  <si>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</si>
  <si>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</si>
  <si>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</si>
  <si>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</si>
  <si>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</si>
  <si>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</si>
  <si>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</si>
  <si>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</si>
  <si>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</si>
  <si>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</si>
  <si>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</si>
  <si>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</si>
  <si>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</si>
  <si>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</si>
  <si>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</si>
  <si>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</si>
  <si>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</si>
  <si>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</si>
  <si>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</si>
  <si>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</si>
  <si>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</si>
  <si>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</si>
  <si>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</si>
  <si>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</si>
  <si>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</si>
  <si>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</si>
  <si>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</si>
  <si>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</si>
  <si>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</si>
  <si>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</si>
  <si>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</si>
  <si>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</si>
  <si>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</si>
  <si>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</si>
  <si>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</si>
  <si>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</si>
  <si>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</si>
  <si>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</si>
  <si>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</si>
  <si>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</si>
  <si>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</si>
  <si>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</si>
  <si>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</si>
  <si>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</si>
  <si>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</si>
  <si>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</si>
  <si>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</si>
  <si>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</si>
  <si>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</si>
  <si>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</si>
  <si>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</si>
  <si>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</si>
  <si>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</si>
  <si>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</si>
  <si>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</si>
  <si>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r>
      <t>1</t>
    </r>
    <r>
      <rPr>
        <sz val="10"/>
        <color indexed="8"/>
        <rFont val="宋体"/>
        <family val="3"/>
        <charset val="134"/>
      </rPr>
      <t>层</t>
    </r>
    <phoneticPr fontId="3" type="noConversion"/>
  </si>
  <si>
    <r>
      <t>2</t>
    </r>
    <r>
      <rPr>
        <sz val="10"/>
        <color indexed="8"/>
        <rFont val="宋体"/>
        <family val="3"/>
        <charset val="134"/>
      </rPr>
      <t>层</t>
    </r>
    <r>
      <rPr>
        <sz val="10"/>
        <color indexed="8"/>
        <rFont val="宋体"/>
        <family val="3"/>
        <charset val="134"/>
      </rPr>
      <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</si>
  <si>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</si>
  <si>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2层</t>
    </r>
    <r>
      <rPr>
        <sz val="10"/>
        <color indexed="8"/>
        <rFont val="宋体"/>
        <family val="3"/>
        <charset val="134"/>
      </rPr>
      <t/>
    </r>
  </si>
  <si>
    <r>
      <rPr>
        <sz val="10"/>
        <color indexed="8"/>
        <rFont val="宋体"/>
        <family val="3"/>
        <charset val="134"/>
      </rPr>
      <t>负</t>
    </r>
    <r>
      <rPr>
        <sz val="10"/>
        <color indexed="8"/>
        <rFont val="Arial"/>
        <family val="2"/>
      </rPr>
      <t>3层</t>
    </r>
    <r>
      <rPr>
        <sz val="10"/>
        <color indexed="8"/>
        <rFont val="宋体"/>
        <family val="3"/>
        <charset val="134"/>
      </rPr>
      <t/>
    </r>
  </si>
  <si>
    <t>系数</t>
    <phoneticPr fontId="3" type="noConversion"/>
  </si>
  <si>
    <t>租金</t>
    <phoneticPr fontId="3" type="noConversion"/>
  </si>
  <si>
    <t>面积</t>
    <phoneticPr fontId="3" type="noConversion"/>
  </si>
  <si>
    <t>自定义容积率</t>
  </si>
  <si>
    <t>不临65条商业街</t>
  </si>
  <si>
    <t>楼层修正</t>
  </si>
  <si>
    <t>平整</t>
  </si>
  <si>
    <t>较好</t>
  </si>
  <si>
    <t>一般</t>
  </si>
  <si>
    <t>好</t>
  </si>
  <si>
    <t>未包含在土地购买价格中</t>
  </si>
  <si>
    <t>全部缴纳</t>
  </si>
  <si>
    <t>已包含在土地取得成本中</t>
  </si>
  <si>
    <t>押一</t>
  </si>
  <si>
    <t>钢混</t>
  </si>
  <si>
    <t>非生产用房</t>
  </si>
  <si>
    <t>建筑面积</t>
  </si>
  <si>
    <t>分摊土地面积</t>
  </si>
  <si>
    <t>建筑物价值</t>
  </si>
  <si>
    <r>
      <rPr>
        <sz val="10"/>
        <color indexed="8"/>
        <rFont val="宋体"/>
        <family val="3"/>
        <charset val="134"/>
      </rPr>
      <t>地下</t>
    </r>
    <r>
      <rPr>
        <sz val="10"/>
        <color indexed="8"/>
        <rFont val="Arial"/>
        <family val="2"/>
      </rPr>
      <t>2</t>
    </r>
    <r>
      <rPr>
        <sz val="10"/>
        <color indexed="8"/>
        <rFont val="宋体"/>
        <family val="3"/>
        <charset val="134"/>
      </rPr>
      <t>层</t>
    </r>
    <phoneticPr fontId="8" type="noConversion"/>
  </si>
  <si>
    <t>成本比率</t>
  </si>
  <si>
    <t>总价</t>
  </si>
  <si>
    <t>收益法-地下车位</t>
  </si>
  <si>
    <t>收益法-地下车位</t>
    <phoneticPr fontId="16" type="noConversion"/>
  </si>
  <si>
    <t>成本法-车位</t>
  </si>
  <si>
    <t>成本法-车位</t>
    <phoneticPr fontId="16" type="noConversion"/>
  </si>
  <si>
    <t>自定义</t>
  </si>
  <si>
    <t>建筑面积</t>
    <phoneticPr fontId="134" type="noConversion"/>
  </si>
  <si>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</si>
  <si>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</si>
  <si>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</si>
  <si>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</si>
  <si>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</si>
  <si>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</si>
  <si>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</si>
  <si>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</si>
  <si>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</si>
  <si>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</si>
  <si>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</si>
  <si>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</si>
  <si>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</si>
  <si>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</si>
  <si>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</si>
  <si>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</si>
  <si>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</si>
  <si>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</si>
  <si>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</si>
  <si>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</si>
  <si>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</si>
  <si>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</si>
  <si>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</si>
  <si>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</si>
  <si>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</si>
  <si>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</si>
  <si>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</si>
  <si>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</si>
  <si>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</si>
  <si>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</si>
  <si>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</si>
  <si>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</si>
  <si>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</si>
  <si>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</si>
  <si>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</si>
  <si>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</si>
  <si>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</si>
  <si>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</si>
  <si>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</si>
  <si>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北京元樽商贸有限公司</t>
  </si>
  <si>
    <t>梦之蓝</t>
  </si>
  <si>
    <t xml:space="preserve">月付 </t>
  </si>
  <si>
    <t xml:space="preserve"> 3年 </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</si>
  <si>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</si>
  <si>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</si>
  <si>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</si>
  <si>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</si>
  <si>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</si>
  <si>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</si>
  <si>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</si>
  <si>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</si>
  <si>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</si>
  <si>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</si>
  <si>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</si>
  <si>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</si>
  <si>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</si>
  <si>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</si>
  <si>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</si>
  <si>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</si>
  <si>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</si>
  <si>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</si>
  <si>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</si>
  <si>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</si>
  <si>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</si>
  <si>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固定</t>
    <phoneticPr fontId="134" type="noConversion"/>
  </si>
  <si>
    <t>无增长</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</si>
  <si>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</si>
  <si>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</si>
  <si>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</si>
  <si>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</si>
  <si>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</si>
  <si>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</si>
  <si>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</si>
  <si>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</si>
  <si>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</si>
  <si>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</si>
  <si>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</si>
  <si>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</si>
  <si>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</si>
  <si>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</si>
  <si>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</si>
  <si>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</si>
  <si>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</si>
  <si>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</si>
  <si>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</si>
  <si>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</si>
  <si>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</si>
  <si>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</si>
  <si>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</si>
  <si>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</si>
  <si>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</si>
  <si>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</si>
  <si>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</si>
  <si>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</si>
  <si>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</si>
  <si>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</si>
  <si>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2月</t>
  </si>
  <si>
    <t>6年</t>
    <phoneticPr fontId="134" type="noConversion"/>
  </si>
  <si>
    <t>4月</t>
  </si>
  <si>
    <t>每三年按16%递增</t>
    <phoneticPr fontId="134" type="noConversion"/>
  </si>
  <si>
    <t>超凡聚力体育文化发展（北京）有限公司</t>
  </si>
  <si>
    <t>无增长</t>
    <phoneticPr fontId="134" type="noConversion"/>
  </si>
  <si>
    <t>美山林奥（北京）餐饮管理有限责任公司</t>
    <phoneticPr fontId="134" type="noConversion"/>
  </si>
  <si>
    <t>烤悦</t>
    <phoneticPr fontId="247" type="noConversion"/>
  </si>
  <si>
    <t>6月</t>
  </si>
  <si>
    <t>赵雪容</t>
    <phoneticPr fontId="247" type="noConversion"/>
  </si>
  <si>
    <t>大澳</t>
    <phoneticPr fontId="247" type="noConversion"/>
  </si>
  <si>
    <t>甘甜</t>
    <phoneticPr fontId="247" type="noConversion"/>
  </si>
  <si>
    <t>养生调理</t>
    <phoneticPr fontId="247" type="noConversion"/>
  </si>
  <si>
    <t>北京悦趣童童游乐设备有限公司</t>
    <phoneticPr fontId="134" type="noConversion"/>
  </si>
  <si>
    <t>儿童乐园</t>
    <phoneticPr fontId="247" type="noConversion"/>
  </si>
  <si>
    <t>5年</t>
  </si>
  <si>
    <t>年递增10%、9%，8%</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</si>
  <si>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</si>
  <si>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</si>
  <si>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</si>
  <si>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</si>
  <si>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</si>
  <si>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</si>
  <si>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</si>
  <si>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</si>
  <si>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</si>
  <si>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</si>
  <si>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2年</t>
    <phoneticPr fontId="134" type="noConversion"/>
  </si>
  <si>
    <t>1月</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</si>
  <si>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</si>
  <si>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</si>
  <si>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</si>
  <si>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</si>
  <si>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</si>
  <si>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北京玖零超海儿童游乐有限公司</t>
    <phoneticPr fontId="134" type="noConversion"/>
  </si>
  <si>
    <t>少儿岩洞，探矿</t>
    <phoneticPr fontId="247" type="noConversion"/>
  </si>
  <si>
    <t>6年</t>
  </si>
  <si>
    <t>小火车</t>
    <phoneticPr fontId="247" type="noConversion"/>
  </si>
  <si>
    <t>2月</t>
    <phoneticPr fontId="134" type="noConversion"/>
  </si>
  <si>
    <t>北京满好餐饮管理有限责任公司</t>
    <phoneticPr fontId="134" type="noConversion"/>
  </si>
  <si>
    <t>三元梅园</t>
    <phoneticPr fontId="247" type="noConversion"/>
  </si>
  <si>
    <t>三元梅园库房</t>
    <phoneticPr fontId="247" type="noConversion"/>
  </si>
  <si>
    <t>北京雾非雾餐饮有限公司</t>
    <phoneticPr fontId="134" type="noConversion"/>
  </si>
  <si>
    <t>本宫的茶</t>
    <phoneticPr fontId="247" type="noConversion"/>
  </si>
  <si>
    <t>3年</t>
  </si>
  <si>
    <t>每年按6%递增</t>
    <phoneticPr fontId="134" type="noConversion"/>
  </si>
  <si>
    <t>天好（北京）餐饮服务有限公司</t>
  </si>
  <si>
    <t>Tim Hortons</t>
    <phoneticPr fontId="247" type="noConversion"/>
  </si>
  <si>
    <t>每二年按8%递增</t>
    <phoneticPr fontId="134" type="noConversion"/>
  </si>
  <si>
    <t>北京优昂林奥体育发展有限公司</t>
    <phoneticPr fontId="134" type="noConversion"/>
  </si>
  <si>
    <t>优昂健身</t>
    <phoneticPr fontId="247"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</si>
  <si>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</si>
  <si>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</si>
  <si>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</si>
  <si>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</si>
  <si>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</si>
  <si>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</si>
  <si>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</si>
  <si>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</si>
  <si>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</si>
  <si>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</si>
  <si>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</si>
  <si>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</si>
  <si>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</si>
  <si>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</si>
  <si>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</si>
  <si>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</si>
  <si>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</si>
  <si>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</si>
  <si>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</si>
  <si>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</si>
  <si>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租金每2年递增8%，抽成每2年分别递增5%、6%、7%</t>
  </si>
  <si>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</si>
  <si>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</si>
  <si>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</si>
  <si>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</si>
  <si>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</si>
  <si>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</si>
  <si>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</si>
  <si>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</si>
  <si>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</si>
  <si>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</si>
  <si>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</si>
  <si>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</si>
  <si>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</si>
  <si>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</si>
  <si>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</si>
  <si>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北京香积四海餐饮有限公司</t>
    <phoneticPr fontId="134" type="noConversion"/>
  </si>
  <si>
    <t>麒麟阁涮肉</t>
  </si>
  <si>
    <t>8年</t>
    <phoneticPr fontId="134" type="noConversion"/>
  </si>
  <si>
    <t>每二年分别递增6%、6%、5%</t>
    <phoneticPr fontId="134" type="noConversion"/>
  </si>
  <si>
    <t>北京源聚盛餐饮中心</t>
    <phoneticPr fontId="134" type="noConversion"/>
  </si>
  <si>
    <t>牧场能量</t>
  </si>
  <si>
    <t>北京我爱我家房地产经纪有限公司</t>
    <phoneticPr fontId="134" type="noConversion"/>
  </si>
  <si>
    <t>我爱我家</t>
  </si>
  <si>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</si>
  <si>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</si>
  <si>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</si>
  <si>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</si>
  <si>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</si>
  <si>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8月</t>
    <phoneticPr fontId="134" type="noConversion"/>
  </si>
  <si>
    <t>租金每两年递增1元，分别递增20%、17%，第四年开始抽成7%8%9%</t>
    <phoneticPr fontId="134" type="noConversion"/>
  </si>
  <si>
    <t>库房</t>
    <phoneticPr fontId="247" type="noConversion"/>
  </si>
  <si>
    <t>朱方一</t>
    <phoneticPr fontId="134" type="noConversion"/>
  </si>
  <si>
    <t>库房</t>
    <phoneticPr fontId="247" type="noConversion"/>
  </si>
  <si>
    <t>4年</t>
    <phoneticPr fontId="134" type="noConversion"/>
  </si>
  <si>
    <t>固定</t>
    <phoneticPr fontId="134" type="noConversion"/>
  </si>
  <si>
    <t>无增长</t>
    <phoneticPr fontId="134" type="noConversion"/>
  </si>
  <si>
    <t>正式</t>
    <phoneticPr fontId="134" type="noConversion"/>
  </si>
  <si>
    <t>商业</t>
    <phoneticPr fontId="134"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</si>
  <si>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</si>
  <si>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</si>
  <si>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</si>
  <si>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</si>
  <si>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运达</t>
    <phoneticPr fontId="134" type="noConversion"/>
  </si>
  <si>
    <t>意百咖啡（上海）有限公司北京分公司</t>
    <phoneticPr fontId="247" type="noConversion"/>
  </si>
  <si>
    <t>LAVAZZA咖啡</t>
    <phoneticPr fontId="247" type="noConversion"/>
  </si>
  <si>
    <t>1.2年8%抽成/3.4年9%/5.6年10%/7.8年11%与固定 租金取高</t>
  </si>
  <si>
    <t>正式</t>
    <phoneticPr fontId="134" type="noConversion"/>
  </si>
  <si>
    <t>运达</t>
    <phoneticPr fontId="134" type="noConversion"/>
  </si>
  <si>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</si>
  <si>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</si>
  <si>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</si>
  <si>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</si>
  <si>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</si>
  <si>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</si>
  <si>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6月</t>
    <phoneticPr fontId="134"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</si>
  <si>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</si>
  <si>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</si>
  <si>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</si>
  <si>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</si>
  <si>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</si>
  <si>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</si>
  <si>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</si>
  <si>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</si>
  <si>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</si>
  <si>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</si>
  <si>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</si>
  <si>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</si>
  <si>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</si>
  <si>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</si>
  <si>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</si>
  <si>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</si>
  <si>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</si>
  <si>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</si>
  <si>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</si>
  <si>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</si>
  <si>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</si>
  <si>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</si>
  <si>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</si>
  <si>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</si>
  <si>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</si>
  <si>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</si>
  <si>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</si>
  <si>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</si>
  <si>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</si>
  <si>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金豆豆爱阅读，玩具屋</t>
    <phoneticPr fontId="247" type="noConversion"/>
  </si>
  <si>
    <t>北京天阳丽晟文化产业有限公司</t>
    <phoneticPr fontId="134" type="noConversion"/>
  </si>
  <si>
    <t>舞蹈培训</t>
    <phoneticPr fontId="247" type="noConversion"/>
  </si>
  <si>
    <t>第三年增长0.5元，分别增长10%</t>
    <phoneticPr fontId="134"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</si>
  <si>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</si>
  <si>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</si>
  <si>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</si>
  <si>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</si>
  <si>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</si>
  <si>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</si>
  <si>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</si>
  <si>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</si>
  <si>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</si>
  <si>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</si>
  <si>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</si>
  <si>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北京味道江湖餐饮有限公司</t>
    <phoneticPr fontId="134" type="noConversion"/>
  </si>
  <si>
    <t>包烧米线</t>
    <phoneticPr fontId="247" type="noConversion"/>
  </si>
  <si>
    <t>4月</t>
    <phoneticPr fontId="134" type="noConversion"/>
  </si>
  <si>
    <t>年递增1元，分别递增7.7%，7.1%</t>
    <phoneticPr fontId="134" type="noConversion"/>
  </si>
  <si>
    <t>北京明知商贸有限公司</t>
    <phoneticPr fontId="134" type="noConversion"/>
  </si>
  <si>
    <t>亿度烧坊</t>
    <phoneticPr fontId="247" type="noConversion"/>
  </si>
  <si>
    <t>5年</t>
    <phoneticPr fontId="134" type="noConversion"/>
  </si>
  <si>
    <t>5月</t>
    <phoneticPr fontId="134" type="noConversion"/>
  </si>
  <si>
    <t>每两年递增0.5元，分别递增12.5%、11%</t>
    <phoneticPr fontId="134" type="noConversion"/>
  </si>
  <si>
    <t>北京裕浓香叆食品有限公司</t>
    <phoneticPr fontId="134" type="noConversion"/>
  </si>
  <si>
    <t>面包、点心</t>
    <phoneticPr fontId="247" type="noConversion"/>
  </si>
  <si>
    <t>3月</t>
    <phoneticPr fontId="134" type="noConversion"/>
  </si>
  <si>
    <t>租金单价每年递增1元，年递增14%、12%，抽成比例10%</t>
    <phoneticPr fontId="134" type="noConversion"/>
  </si>
  <si>
    <t>保乐加（北京）商贸有限公司</t>
    <phoneticPr fontId="134" type="noConversion"/>
  </si>
  <si>
    <t>红酒，洋酒，雪茄</t>
    <phoneticPr fontId="247" type="noConversion"/>
  </si>
  <si>
    <t>北京味道沂蒙餐饮管理有限公司</t>
    <phoneticPr fontId="134" type="noConversion"/>
  </si>
  <si>
    <t>餐饮</t>
  </si>
  <si>
    <t>6月</t>
    <phoneticPr fontId="134" type="noConversion"/>
  </si>
  <si>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</si>
  <si>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</si>
  <si>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</si>
  <si>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</si>
  <si>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</si>
  <si>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</si>
  <si>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北京自如住房租赁有限公司</t>
    <phoneticPr fontId="134" type="noConversion"/>
  </si>
  <si>
    <t>房产经纪</t>
    <phoneticPr fontId="134" type="noConversion"/>
  </si>
  <si>
    <t>4年</t>
    <phoneticPr fontId="134" type="noConversion"/>
  </si>
  <si>
    <t>两年递增6%</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</si>
  <si>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</si>
  <si>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</si>
  <si>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</si>
  <si>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</si>
  <si>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</si>
  <si>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商业</t>
    <phoneticPr fontId="134" type="noConversion"/>
  </si>
  <si>
    <t>北京德华永胜商贸有限公司229</t>
    <phoneticPr fontId="134" type="noConversion"/>
  </si>
  <si>
    <t>范晶洁</t>
    <phoneticPr fontId="247" type="noConversion"/>
  </si>
  <si>
    <t>俄餐</t>
    <phoneticPr fontId="134" type="noConversion"/>
  </si>
  <si>
    <t>5年</t>
    <phoneticPr fontId="134" type="noConversion"/>
  </si>
  <si>
    <t>6月</t>
    <phoneticPr fontId="134" type="noConversion"/>
  </si>
  <si>
    <t>每两年分别递增7.6%、7.1%</t>
    <phoneticPr fontId="134" type="noConversion"/>
  </si>
  <si>
    <t>轮滑</t>
    <phoneticPr fontId="247" type="noConversion"/>
  </si>
  <si>
    <t>门票收入35%，二消收入10%</t>
    <phoneticPr fontId="134" type="noConversion"/>
  </si>
  <si>
    <t>周结</t>
    <phoneticPr fontId="247" type="noConversion"/>
  </si>
  <si>
    <t>6.5年</t>
    <phoneticPr fontId="134" type="noConversion"/>
  </si>
  <si>
    <t>北京硕佑美学商贸有限公司</t>
    <phoneticPr fontId="134" type="noConversion"/>
  </si>
  <si>
    <t>樊文花</t>
    <phoneticPr fontId="247" type="noConversion"/>
  </si>
  <si>
    <t>3年</t>
    <phoneticPr fontId="134" type="noConversion"/>
  </si>
  <si>
    <t>3.5月</t>
    <phoneticPr fontId="134" type="noConversion"/>
  </si>
  <si>
    <t>第三年开始递增10%</t>
    <phoneticPr fontId="134" type="noConversion"/>
  </si>
  <si>
    <t>云睿鼎祥（北京）商业有限责任公司</t>
    <phoneticPr fontId="134" type="noConversion"/>
  </si>
  <si>
    <t>琳达惠选</t>
    <phoneticPr fontId="247" type="noConversion"/>
  </si>
  <si>
    <t>4月</t>
    <phoneticPr fontId="134" type="noConversion"/>
  </si>
  <si>
    <t>每年分别递增15%、13%</t>
    <phoneticPr fontId="134" type="noConversion"/>
  </si>
  <si>
    <t>北京百济餐饮服务有限公司</t>
    <phoneticPr fontId="134" type="noConversion"/>
  </si>
  <si>
    <t>烤肉、烤鳗鱼</t>
    <phoneticPr fontId="247" type="noConversion"/>
  </si>
  <si>
    <t>固定</t>
    <phoneticPr fontId="134" type="noConversion"/>
  </si>
  <si>
    <t>无增长</t>
    <phoneticPr fontId="134" type="noConversion"/>
  </si>
  <si>
    <t>北京今天丽人长红美甲有限公司</t>
    <phoneticPr fontId="134" type="noConversion"/>
  </si>
  <si>
    <t>美甲美睫，手部护理</t>
    <phoneticPr fontId="247" type="noConversion"/>
  </si>
  <si>
    <t>5年6个月</t>
    <phoneticPr fontId="247" type="noConversion"/>
  </si>
  <si>
    <t>每两年递增6%</t>
    <phoneticPr fontId="134" type="noConversion"/>
  </si>
  <si>
    <t>北京泰雅春秋面包店</t>
    <phoneticPr fontId="247" type="noConversion"/>
  </si>
  <si>
    <t>春种秋藏手工烘焙</t>
    <phoneticPr fontId="247" type="noConversion"/>
  </si>
  <si>
    <t>3月</t>
    <phoneticPr fontId="134" type="noConversion"/>
  </si>
  <si>
    <t>年递增8%</t>
    <phoneticPr fontId="134" type="noConversion"/>
  </si>
  <si>
    <t>纯友丽（北京）餐饮管理有限公司</t>
    <phoneticPr fontId="134" type="noConversion"/>
  </si>
  <si>
    <t>库房</t>
    <phoneticPr fontId="247" type="noConversion"/>
  </si>
  <si>
    <t>4年</t>
  </si>
  <si>
    <t>2月</t>
    <phoneticPr fontId="134" type="noConversion"/>
  </si>
  <si>
    <t>北京雨麟鸿餐饮管理有限公司</t>
    <phoneticPr fontId="247" type="noConversion"/>
  </si>
  <si>
    <t>日本料理</t>
    <phoneticPr fontId="247" type="noConversion"/>
  </si>
  <si>
    <t>8月</t>
    <phoneticPr fontId="134" type="noConversion"/>
  </si>
  <si>
    <t>每年递增5%</t>
  </si>
  <si>
    <t>北京华文桐行艺术文化有限公司</t>
    <phoneticPr fontId="247" type="noConversion"/>
  </si>
  <si>
    <t>音乐培训</t>
    <phoneticPr fontId="247" type="noConversion"/>
  </si>
  <si>
    <t>2年</t>
  </si>
  <si>
    <t>5月</t>
    <phoneticPr fontId="134" type="noConversion"/>
  </si>
  <si>
    <t>张然</t>
    <phoneticPr fontId="247" type="noConversion"/>
  </si>
  <si>
    <t>铁板烧</t>
    <phoneticPr fontId="247" type="noConversion"/>
  </si>
  <si>
    <t>北京阔禹体育管理有限公司</t>
    <phoneticPr fontId="134" type="noConversion"/>
  </si>
  <si>
    <t>乒乓球培训</t>
    <phoneticPr fontId="247" type="noConversion"/>
  </si>
  <si>
    <t>逐年递增10%、9%</t>
    <phoneticPr fontId="134" type="noConversion"/>
  </si>
  <si>
    <t>北京葫芦娃奥森健康管理服务有限公司</t>
  </si>
  <si>
    <t>葫芦娃少儿推拿</t>
    <phoneticPr fontId="134" type="noConversion"/>
  </si>
  <si>
    <t>1月</t>
    <phoneticPr fontId="134" type="noConversion"/>
  </si>
  <si>
    <t>第二年递增0.5元/平米/天</t>
    <phoneticPr fontId="134" type="noConversion"/>
  </si>
  <si>
    <t>北京林奥佳儿萌豆餐饮管理有限公司</t>
    <phoneticPr fontId="134" type="noConversion"/>
  </si>
  <si>
    <t>佳儿萌豆</t>
    <phoneticPr fontId="134" type="noConversion"/>
  </si>
  <si>
    <t>北京丰盛盈众科技有限公司</t>
  </si>
  <si>
    <t>小米</t>
  </si>
  <si>
    <t>刘帅男</t>
    <phoneticPr fontId="134" type="noConversion"/>
  </si>
  <si>
    <t>花点时间</t>
    <phoneticPr fontId="134" type="noConversion"/>
  </si>
  <si>
    <t>1年</t>
    <phoneticPr fontId="134" type="noConversion"/>
  </si>
  <si>
    <t>北京嗨氪科技有限公司</t>
    <phoneticPr fontId="134" type="noConversion"/>
  </si>
  <si>
    <t>有家嗨店</t>
    <phoneticPr fontId="134" type="noConversion"/>
  </si>
  <si>
    <t>月付</t>
    <phoneticPr fontId="134" type="noConversion"/>
  </si>
  <si>
    <t>每年递增0.5元/天/平米</t>
    <phoneticPr fontId="134" type="noConversion"/>
  </si>
  <si>
    <t>王翔</t>
    <phoneticPr fontId="134" type="noConversion"/>
  </si>
  <si>
    <t>奥特曼无人机</t>
    <phoneticPr fontId="134" type="noConversion"/>
  </si>
  <si>
    <t>爱择优（北京）智能科技有限公司</t>
    <phoneticPr fontId="134" type="noConversion"/>
  </si>
  <si>
    <t>友摩吧</t>
    <phoneticPr fontId="134" type="noConversion"/>
  </si>
  <si>
    <t>云睿鼎祥（北京）商业有限责任公司</t>
  </si>
  <si>
    <t>库房</t>
    <phoneticPr fontId="134" type="noConversion"/>
  </si>
  <si>
    <t>北京葩趣科技有限公司</t>
    <phoneticPr fontId="134" type="noConversion"/>
  </si>
  <si>
    <t>POP MART</t>
    <phoneticPr fontId="134" type="noConversion"/>
  </si>
  <si>
    <t>季付</t>
    <phoneticPr fontId="134" type="noConversion"/>
  </si>
  <si>
    <t>半年</t>
    <phoneticPr fontId="134" type="noConversion"/>
  </si>
  <si>
    <t>北京海胜腾达科技有限公司</t>
  </si>
  <si>
    <t>盲盒</t>
    <phoneticPr fontId="134" type="noConversion"/>
  </si>
  <si>
    <t>年付</t>
    <phoneticPr fontId="134" type="noConversion"/>
  </si>
  <si>
    <t>北京千里云联科技有限公司</t>
  </si>
  <si>
    <t>周子龙</t>
  </si>
  <si>
    <t>农小锅</t>
    <phoneticPr fontId="134" type="noConversion"/>
  </si>
  <si>
    <t>北京辰辉德港鞋业有限公司</t>
  </si>
  <si>
    <t>江博士</t>
    <phoneticPr fontId="134" type="noConversion"/>
  </si>
  <si>
    <t>2个月付</t>
    <phoneticPr fontId="134" type="noConversion"/>
  </si>
  <si>
    <t>北京咕噜鱼餐饮有限公司</t>
  </si>
  <si>
    <t>爱辣屋</t>
    <phoneticPr fontId="134" type="noConversion"/>
  </si>
  <si>
    <t>月付</t>
    <phoneticPr fontId="134" type="noConversion"/>
  </si>
  <si>
    <t>海鸿达（北京）餐饮管理有限公司</t>
  </si>
  <si>
    <t>海底捞</t>
    <phoneticPr fontId="134" type="noConversion"/>
  </si>
  <si>
    <t>9.5*6.3</t>
    <phoneticPr fontId="134" type="noConversion"/>
  </si>
  <si>
    <t>年付</t>
    <phoneticPr fontId="134" type="noConversion"/>
  </si>
  <si>
    <t>北京懿堂教育科技有限公司</t>
  </si>
  <si>
    <t>艺糖美术馆</t>
    <phoneticPr fontId="134" type="noConversion"/>
  </si>
  <si>
    <t>月付</t>
    <phoneticPr fontId="134" type="noConversion"/>
  </si>
  <si>
    <t>正式</t>
    <phoneticPr fontId="134" type="noConversion"/>
  </si>
  <si>
    <t>商业</t>
    <phoneticPr fontId="134" type="noConversion"/>
  </si>
  <si>
    <t>北京尼奥体育有限责任公司</t>
  </si>
  <si>
    <t>网球培训，体育用品销售</t>
  </si>
  <si>
    <t>2个月付</t>
  </si>
  <si>
    <t>北京结绳记商业管理有限公司</t>
  </si>
  <si>
    <t>结绳记</t>
    <phoneticPr fontId="134" type="noConversion"/>
  </si>
  <si>
    <t>20天</t>
    <phoneticPr fontId="134" type="noConversion"/>
  </si>
  <si>
    <t>北京满鑫欢喜餐饮有限公司</t>
  </si>
  <si>
    <t>乐趣小炉子</t>
    <phoneticPr fontId="134" type="noConversion"/>
  </si>
  <si>
    <t>永旺幻想（中国）儿童游乐有限公司</t>
  </si>
  <si>
    <t>莫莉活力空间</t>
    <phoneticPr fontId="134" type="noConversion"/>
  </si>
  <si>
    <t>永旺幻想（中国）儿童游乐有限公司204A</t>
  </si>
  <si>
    <t>莫莉活力空间玩具店</t>
    <phoneticPr fontId="134" type="noConversion"/>
  </si>
  <si>
    <t>北京茶吟天下餐饮有限公司</t>
  </si>
  <si>
    <t>CHARS 唐吟茶事</t>
    <phoneticPr fontId="134" type="noConversion"/>
  </si>
  <si>
    <t>北京金羽艺创体育文化有限公司</t>
  </si>
  <si>
    <t>适羽体育</t>
    <phoneticPr fontId="134" type="noConversion"/>
  </si>
  <si>
    <t>张杰、高强</t>
  </si>
  <si>
    <t>星球玩家</t>
    <phoneticPr fontId="134" type="noConversion"/>
  </si>
  <si>
    <t>季付</t>
    <phoneticPr fontId="134" type="noConversion"/>
  </si>
  <si>
    <t>梁建涛</t>
  </si>
  <si>
    <t>糖糖多滋</t>
    <phoneticPr fontId="134" type="noConversion"/>
  </si>
  <si>
    <t>何翠翠</t>
  </si>
  <si>
    <t>COOKTIME  酷太</t>
    <phoneticPr fontId="134" type="noConversion"/>
  </si>
  <si>
    <t>北京棒约翰餐饮发展有限公司</t>
  </si>
  <si>
    <t>棒约翰</t>
    <phoneticPr fontId="134" type="noConversion"/>
  </si>
  <si>
    <t>温小兰</t>
  </si>
  <si>
    <t>好特卖</t>
    <phoneticPr fontId="134" type="noConversion"/>
  </si>
  <si>
    <t>刘超</t>
  </si>
  <si>
    <t>名创优品</t>
    <phoneticPr fontId="134" type="noConversion"/>
  </si>
  <si>
    <t>花沺记食品（北京）有限公司</t>
  </si>
  <si>
    <t>花沺记</t>
    <phoneticPr fontId="134" type="noConversion"/>
  </si>
  <si>
    <t>北京萌咔美容美发有限公司</t>
  </si>
  <si>
    <t>星咔萌</t>
    <phoneticPr fontId="134" type="noConversion"/>
  </si>
  <si>
    <t>北京米村京玖拾贰餐饮店（有限合伙）</t>
  </si>
  <si>
    <t>米村拌饭</t>
    <phoneticPr fontId="134" type="noConversion"/>
  </si>
  <si>
    <t>北京金达信商贸有限公司</t>
  </si>
  <si>
    <t>斯凯奇SKECHERS</t>
    <phoneticPr fontId="134" type="noConversion"/>
  </si>
  <si>
    <t>西安喜马拉雅网络科技有限公司</t>
  </si>
  <si>
    <t>喜马拉雅亲子会员店</t>
    <phoneticPr fontId="134" type="noConversion"/>
  </si>
  <si>
    <t>5年2天</t>
    <phoneticPr fontId="134" type="noConversion"/>
  </si>
  <si>
    <t>北京奇麦淘商贸有限公司</t>
  </si>
  <si>
    <t>奇麦淘玩具</t>
    <phoneticPr fontId="134" type="noConversion"/>
  </si>
  <si>
    <t>北京爱乐园托育服务有限公司</t>
  </si>
  <si>
    <t>金睿家</t>
  </si>
  <si>
    <t>张博</t>
  </si>
  <si>
    <t>井弘饭团</t>
    <phoneticPr fontId="134" type="noConversion"/>
  </si>
  <si>
    <t>魏崝</t>
  </si>
  <si>
    <t>洗脸熊</t>
    <phoneticPr fontId="134" type="noConversion"/>
  </si>
  <si>
    <t>谭路</t>
  </si>
  <si>
    <t>家祺银匠</t>
    <phoneticPr fontId="134" type="noConversion"/>
  </si>
  <si>
    <t>段毅</t>
  </si>
  <si>
    <t>棉花糖</t>
    <phoneticPr fontId="134" type="noConversion"/>
  </si>
  <si>
    <t>半年付</t>
    <phoneticPr fontId="134" type="noConversion"/>
  </si>
  <si>
    <t>上海和兆服饰有限公司</t>
  </si>
  <si>
    <t xml:space="preserve">POLOWALK </t>
    <phoneticPr fontId="134" type="noConversion"/>
  </si>
  <si>
    <t>闫春梅</t>
  </si>
  <si>
    <t>吉姆大师傅</t>
    <phoneticPr fontId="134" type="noConversion"/>
  </si>
  <si>
    <t>王小倩</t>
  </si>
  <si>
    <t>夸父炸串</t>
    <phoneticPr fontId="134" type="noConversion"/>
  </si>
  <si>
    <t>李振杰</t>
  </si>
  <si>
    <t>好适口</t>
    <phoneticPr fontId="134" type="noConversion"/>
  </si>
  <si>
    <t>柯明勇</t>
  </si>
  <si>
    <t>回力</t>
    <phoneticPr fontId="134" type="noConversion"/>
  </si>
  <si>
    <t>北京汇美时尚商贸中心</t>
  </si>
  <si>
    <t>畹町</t>
    <phoneticPr fontId="134" type="noConversion"/>
  </si>
  <si>
    <t>王亦楠</t>
  </si>
  <si>
    <t>蔓味轻食</t>
    <phoneticPr fontId="134" type="noConversion"/>
  </si>
  <si>
    <t>郭瑛</t>
  </si>
  <si>
    <t>GO!宝贝冲鸭</t>
    <phoneticPr fontId="134" type="noConversion"/>
  </si>
  <si>
    <t>北京京鹰贝贝教育咨询有限公司</t>
  </si>
  <si>
    <t>悦行自行车</t>
    <phoneticPr fontId="134" type="noConversion"/>
  </si>
  <si>
    <t>北京李宁体育用品销售有限公司</t>
  </si>
  <si>
    <t>YOUNG李宁（儿童）</t>
    <phoneticPr fontId="134" type="noConversion"/>
  </si>
  <si>
    <t>北京朱迪先生企业管理有限公司</t>
  </si>
  <si>
    <t>Mr.JUDY洗个头发</t>
    <phoneticPr fontId="134" type="noConversion"/>
  </si>
  <si>
    <t>库房</t>
    <phoneticPr fontId="134" type="noConversion"/>
  </si>
  <si>
    <t>年付</t>
    <phoneticPr fontId="134" type="noConversion"/>
  </si>
  <si>
    <t>北京经典罗莱家居有限责任公司</t>
  </si>
  <si>
    <t>“罗莱家纺品牌”快闪店</t>
    <phoneticPr fontId="134" type="noConversion"/>
  </si>
  <si>
    <t>1个月</t>
    <phoneticPr fontId="134" type="noConversion"/>
  </si>
  <si>
    <t>北京虎威宝特服装有限公司</t>
  </si>
  <si>
    <t>佐丹奴</t>
    <phoneticPr fontId="134" type="noConversion"/>
  </si>
  <si>
    <t>可租面积</t>
  </si>
  <si>
    <t>全部签约率</t>
  </si>
  <si>
    <t>正式签约率</t>
  </si>
  <si>
    <t>意向签约率</t>
  </si>
  <si>
    <t>奥迈嘉海林奥文化产业（北京）有限公司</t>
  </si>
  <si>
    <t>奥迈嘉海</t>
    <phoneticPr fontId="134" type="noConversion"/>
  </si>
  <si>
    <t>面积</t>
    <phoneticPr fontId="134" type="noConversion"/>
  </si>
  <si>
    <t>合同签订日期</t>
    <phoneticPr fontId="134" type="noConversion"/>
  </si>
  <si>
    <t>10年</t>
    <phoneticPr fontId="134" type="noConversion"/>
  </si>
  <si>
    <t>年租金</t>
    <phoneticPr fontId="134" type="noConversion"/>
  </si>
  <si>
    <t>日租金</t>
    <phoneticPr fontId="134" type="noConversion"/>
  </si>
  <si>
    <t>负3层</t>
    <phoneticPr fontId="134" type="noConversion"/>
  </si>
  <si>
    <t>北京动感乐宫体育健身活动有限公司</t>
  </si>
  <si>
    <t>轮滑</t>
  </si>
  <si>
    <t>负2层</t>
    <phoneticPr fontId="134" type="noConversion"/>
  </si>
  <si>
    <t>租期</t>
    <phoneticPr fontId="134" type="noConversion"/>
  </si>
  <si>
    <t>6.5年</t>
    <phoneticPr fontId="134" type="noConversion"/>
  </si>
  <si>
    <t>商业</t>
    <phoneticPr fontId="134"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</si>
  <si>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4" type="noConversion"/>
  </si>
  <si>
    <t>林奥嘉园附近租售商铺较少，商场3层140平，租金6.5块，住宅底商1层150平，租金5块</t>
    <phoneticPr fontId="134" type="noConversion"/>
  </si>
  <si>
    <r>
      <t>1</t>
    </r>
    <r>
      <rPr>
        <sz val="11"/>
        <color theme="1"/>
        <rFont val="宋体"/>
        <family val="3"/>
        <charset val="134"/>
        <scheme val="minor"/>
      </rPr>
      <t>-2层，5万</t>
    </r>
    <phoneticPr fontId="134" type="noConversion"/>
  </si>
  <si>
    <t>媒体村附近，1层80-200平，单价6-7万</t>
    <phoneticPr fontId="134" type="noConversion"/>
  </si>
  <si>
    <t>车位</t>
    <phoneticPr fontId="134"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</si>
  <si>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</si>
  <si>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</si>
  <si>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</si>
  <si>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承租方</t>
    <phoneticPr fontId="134" type="noConversion"/>
  </si>
  <si>
    <t>租赁面积</t>
    <phoneticPr fontId="134" type="noConversion"/>
  </si>
  <si>
    <t>产权面积</t>
    <phoneticPr fontId="134" type="noConversion"/>
  </si>
  <si>
    <t>楼层</t>
    <phoneticPr fontId="134" type="noConversion"/>
  </si>
  <si>
    <t>套内面积</t>
    <phoneticPr fontId="134" type="noConversion"/>
  </si>
  <si>
    <t>负2层B202，现状是负1层</t>
    <phoneticPr fontId="134" type="noConversion"/>
  </si>
  <si>
    <t>租赁期</t>
    <phoneticPr fontId="134" type="noConversion"/>
  </si>
  <si>
    <t>增长</t>
    <phoneticPr fontId="134" type="noConversion"/>
  </si>
  <si>
    <t>北京动感乐宫体育健身活动有限公司</t>
    <phoneticPr fontId="247" type="noConversion"/>
  </si>
  <si>
    <t>保底年租金（含物业费等）</t>
    <phoneticPr fontId="134" type="noConversion"/>
  </si>
  <si>
    <t>物业费1块，能源费2块</t>
    <phoneticPr fontId="134" type="noConversion"/>
  </si>
  <si>
    <t>北京运达通汇文化产业有限公司</t>
    <phoneticPr fontId="6" type="noConversion"/>
  </si>
  <si>
    <t>谢宏儒-北京动感乐宫体育健身活动有限公司</t>
    <phoneticPr fontId="134" type="noConversion"/>
  </si>
  <si>
    <t>负3层B302，现状是负2层</t>
    <phoneticPr fontId="134" type="noConversion"/>
  </si>
  <si>
    <t>6.6年</t>
    <phoneticPr fontId="134" type="noConversion"/>
  </si>
  <si>
    <t>负2层B201、B301，配电室</t>
    <phoneticPr fontId="134" type="noConversion"/>
  </si>
  <si>
    <t>轮滑门票价格工作日78元，节假日88元，无时间限制，全天，中途出去回来不用再买门票，台球额外收费，39元一小时，其余额外收费只有饮品</t>
    <phoneticPr fontId="134" type="noConversion"/>
  </si>
  <si>
    <t>负2层</t>
    <phoneticPr fontId="134" type="noConversion"/>
  </si>
  <si>
    <t>负3层</t>
    <phoneticPr fontId="134" type="noConversion"/>
  </si>
  <si>
    <t>建面</t>
    <phoneticPr fontId="134" type="noConversion"/>
  </si>
  <si>
    <t>套内</t>
    <phoneticPr fontId="134" type="noConversion"/>
  </si>
  <si>
    <t>分摊</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</si>
  <si>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</si>
  <si>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</si>
  <si>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</si>
  <si>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</si>
  <si>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</si>
  <si>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</si>
  <si>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负2层商业</t>
  </si>
  <si>
    <t>负2层商业</t>
    <phoneticPr fontId="7" type="noConversion"/>
  </si>
  <si>
    <t>负3层商业</t>
  </si>
  <si>
    <t>负3层商业</t>
    <phoneticPr fontId="7" type="noConversion"/>
  </si>
  <si>
    <t>租赁合同</t>
    <phoneticPr fontId="3" type="noConversion"/>
  </si>
  <si>
    <t>成本法-负2层</t>
  </si>
  <si>
    <t>成本法-负2层</t>
    <phoneticPr fontId="16" type="noConversion"/>
  </si>
  <si>
    <t>收益法-负2层</t>
  </si>
  <si>
    <t>收益法-负2层</t>
    <phoneticPr fontId="16" type="noConversion"/>
  </si>
  <si>
    <t>与级别开发程度一致</t>
  </si>
  <si>
    <t>成本法-负3层</t>
  </si>
  <si>
    <t>成本法-负3层</t>
    <phoneticPr fontId="16" type="noConversion"/>
  </si>
  <si>
    <t>收益法-负3层</t>
  </si>
  <si>
    <t>收益法-负3层</t>
    <phoneticPr fontId="16" type="noConversion"/>
  </si>
  <si>
    <t>负2层</t>
    <phoneticPr fontId="134" type="noConversion"/>
  </si>
  <si>
    <t>负3层</t>
    <phoneticPr fontId="134" type="noConversion"/>
  </si>
  <si>
    <t>项目名称</t>
  </si>
  <si>
    <t>出让国有建设用地使用权价值</t>
  </si>
  <si>
    <t>房地产价值</t>
  </si>
  <si>
    <t>楼面单价</t>
  </si>
  <si>
    <r>
      <t>总</t>
    </r>
    <r>
      <rPr>
        <sz val="9"/>
        <color theme="1"/>
        <rFont val="Arial"/>
        <family val="2"/>
      </rPr>
      <t xml:space="preserve"> </t>
    </r>
    <r>
      <rPr>
        <sz val="9"/>
        <color theme="1"/>
        <rFont val="华文细黑"/>
        <family val="3"/>
        <charset val="134"/>
      </rPr>
      <t>价</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</si>
  <si>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-2</t>
    </r>
    <r>
      <rPr>
        <sz val="9"/>
        <color theme="1"/>
        <rFont val="华文细黑"/>
        <family val="3"/>
        <charset val="134"/>
      </rPr>
      <t>层</t>
    </r>
    <r>
      <rPr>
        <sz val="9"/>
        <color theme="1"/>
        <rFont val="Arial"/>
        <family val="2"/>
      </rPr>
      <t>B202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</si>
  <si>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-3</t>
    </r>
    <r>
      <rPr>
        <sz val="9"/>
        <color theme="1"/>
        <rFont val="华文细黑"/>
        <family val="3"/>
        <charset val="134"/>
      </rPr>
      <t>层</t>
    </r>
    <r>
      <rPr>
        <sz val="9"/>
        <color theme="1"/>
        <rFont val="Arial"/>
        <family val="2"/>
      </rPr>
      <t>B302</t>
    </r>
    <r>
      <rPr>
        <sz val="9"/>
        <color theme="1"/>
        <rFont val="华文细黑"/>
        <family val="3"/>
        <charset val="134"/>
      </rPr>
      <t>商业用房房地产</t>
    </r>
  </si>
  <si>
    <r>
      <t>北京市朝阳区清林东路</t>
    </r>
    <r>
      <rPr>
        <sz val="9"/>
        <color theme="1"/>
        <rFont val="Arial"/>
        <family val="2"/>
      </rPr>
      <t>4</t>
    </r>
    <r>
      <rPr>
        <sz val="9"/>
        <color theme="1"/>
        <rFont val="华文细黑"/>
        <family val="3"/>
        <charset val="134"/>
      </rPr>
      <t>号院</t>
    </r>
    <r>
      <rPr>
        <sz val="9"/>
        <color theme="1"/>
        <rFont val="Arial"/>
        <family val="2"/>
      </rPr>
      <t>12</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B2001</t>
    </r>
    <r>
      <rPr>
        <sz val="9"/>
        <color theme="1"/>
        <rFont val="华文细黑"/>
        <family val="3"/>
        <charset val="134"/>
      </rPr>
      <t>等</t>
    </r>
    <r>
      <rPr>
        <sz val="9"/>
        <color theme="1"/>
        <rFont val="Arial"/>
        <family val="2"/>
      </rPr>
      <t>260</t>
    </r>
    <r>
      <rPr>
        <sz val="9"/>
        <color theme="1"/>
        <rFont val="华文细黑"/>
        <family val="3"/>
        <charset val="134"/>
      </rPr>
      <t>套地下车库用房房地产</t>
    </r>
  </si>
  <si>
    <t>大写金额</t>
  </si>
  <si>
    <t>壹拾捌亿陆仟壹佰肆拾捌万元整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</si>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</sst>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yyyy/mm/dd"/>
    <numFmt numFmtId="198" formatCode="_ * #,##0.0_ ;_ * \-#,##0.0_ ;_ * &quot;-&quot;_ ;_ @_ "/>
    <numFmt numFmtId="199" formatCode="0.000"/>
    <numFmt numFmtId="204" formatCode="[DBNum2][$-804]General"/>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
      <u/>
      <sz val="12"/>
      <color theme="10"/>
      <name val="宋体"/>
      <family val="3"/>
      <charset val="134"/>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9"/>
      <name val="宋体"/>
      <family val="3"/>
      <charset val="134"/>
    </font>
    <font>
      <sz val="9"/>
      <color theme="1"/>
      <name val="Arial"/>
      <family val="2"/>
    </font>
    <font>
      <sz val="11"/>
      <color rgb="FF000000"/>
      <name val="Arial"/>
      <family val="2"/>
    </font>
    <font>
      <b/>
      <sz val="9"/>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0" fontId="271" fillId="0" borderId="0" applyNumberFormat="0" applyFill="0" applyBorder="0" applyAlignment="0" applyProtection="0">
      <alignment vertical="top"/>
      <protection locked="0"/>
    </xf>
    <xf numFmtId="9" fontId="147" fillId="0" borderId="0" applyFont="0" applyFill="0" applyBorder="0" applyAlignment="0" applyProtection="0">
      <alignment vertical="center"/>
    </xf>
  </cellStyleXfs>
  <cellXfs count="40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269"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9" fillId="0" borderId="1" xfId="0" applyFont="1" applyFill="1" applyBorder="1" applyAlignment="1">
      <alignment horizontal="center" vertical="center" wrapText="1"/>
    </xf>
    <xf numFmtId="0" fontId="147" fillId="7" borderId="1" xfId="19" applyFont="1" applyFill="1" applyBorder="1">
      <alignment vertical="center"/>
    </xf>
    <xf numFmtId="0" fontId="147" fillId="7" borderId="0" xfId="19" applyFont="1" applyFill="1">
      <alignment vertical="center"/>
    </xf>
    <xf numFmtId="0" fontId="107" fillId="7" borderId="1" xfId="19" applyFont="1" applyFill="1" applyBorder="1" applyAlignment="1">
      <alignment horizontal="center" vertical="center"/>
    </xf>
    <xf numFmtId="197"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center" vertical="center"/>
    </xf>
    <xf numFmtId="0" fontId="107" fillId="7" borderId="1" xfId="19" applyFont="1" applyFill="1" applyBorder="1" applyAlignment="1">
      <alignment horizontal="left" vertical="center" wrapText="1"/>
    </xf>
    <xf numFmtId="0" fontId="107" fillId="7" borderId="1" xfId="19" applyFont="1" applyFill="1" applyBorder="1" applyAlignment="1">
      <alignment vertical="center" wrapText="1"/>
    </xf>
    <xf numFmtId="177" fontId="107" fillId="7" borderId="1" xfId="19" applyNumberFormat="1" applyFont="1" applyFill="1" applyBorder="1" applyAlignment="1">
      <alignment horizontal="right" vertical="center" wrapText="1"/>
    </xf>
    <xf numFmtId="43" fontId="107" fillId="7" borderId="1" xfId="19" applyNumberFormat="1" applyFont="1" applyFill="1" applyBorder="1" applyAlignment="1">
      <alignment horizontal="left" vertical="center"/>
    </xf>
    <xf numFmtId="43"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center" vertical="center" wrapText="1"/>
    </xf>
    <xf numFmtId="197" fontId="107" fillId="7" borderId="1" xfId="19" applyNumberFormat="1" applyFont="1" applyFill="1" applyBorder="1" applyAlignment="1">
      <alignment horizontal="right" vertical="center"/>
    </xf>
    <xf numFmtId="0" fontId="107" fillId="7" borderId="1" xfId="19" applyFont="1" applyFill="1" applyBorder="1" applyAlignment="1">
      <alignment horizontal="center" vertical="center" wrapText="1"/>
    </xf>
    <xf numFmtId="43" fontId="107" fillId="7" borderId="1" xfId="19" applyNumberFormat="1" applyFont="1" applyFill="1" applyBorder="1" applyAlignment="1">
      <alignment horizontal="center" vertical="center"/>
    </xf>
    <xf numFmtId="14" fontId="107" fillId="7" borderId="1" xfId="19" applyNumberFormat="1" applyFont="1" applyFill="1" applyBorder="1" applyAlignment="1">
      <alignment horizontal="left" vertical="center" wrapText="1"/>
    </xf>
    <xf numFmtId="9" fontId="107" fillId="7" borderId="1" xfId="19" applyNumberFormat="1" applyFont="1" applyFill="1" applyBorder="1" applyAlignment="1">
      <alignment horizontal="center" vertical="center"/>
    </xf>
    <xf numFmtId="0" fontId="107" fillId="7" borderId="1" xfId="20" applyFont="1" applyFill="1" applyBorder="1" applyAlignment="1" applyProtection="1">
      <alignment horizontal="center" vertical="center" wrapText="1"/>
    </xf>
    <xf numFmtId="197" fontId="107" fillId="7" borderId="1" xfId="19" applyNumberFormat="1" applyFont="1" applyFill="1" applyBorder="1" applyAlignment="1">
      <alignment horizontal="right" vertical="center" wrapText="1"/>
    </xf>
    <xf numFmtId="14" fontId="107" fillId="7" borderId="1" xfId="19" applyNumberFormat="1" applyFont="1" applyFill="1" applyBorder="1" applyAlignment="1">
      <alignment vertical="center" wrapText="1"/>
    </xf>
    <xf numFmtId="197" fontId="107" fillId="7" borderId="1" xfId="20" applyNumberFormat="1" applyFont="1" applyFill="1" applyBorder="1" applyAlignment="1" applyProtection="1">
      <alignment horizontal="right" vertical="center" wrapText="1"/>
    </xf>
    <xf numFmtId="0" fontId="272" fillId="7" borderId="1" xfId="19" applyFont="1" applyFill="1" applyBorder="1" applyAlignment="1">
      <alignment horizontal="center" vertical="center" wrapText="1"/>
    </xf>
    <xf numFmtId="14" fontId="107" fillId="7" borderId="1" xfId="19" applyNumberFormat="1" applyFont="1" applyFill="1" applyBorder="1" applyAlignment="1">
      <alignment horizontal="center" vertical="center" wrapText="1"/>
    </xf>
    <xf numFmtId="43" fontId="107" fillId="7" borderId="1" xfId="19" applyNumberFormat="1" applyFont="1" applyFill="1" applyBorder="1" applyAlignment="1">
      <alignment horizontal="right" vertical="center"/>
    </xf>
    <xf numFmtId="43" fontId="107" fillId="7" borderId="5" xfId="19" applyNumberFormat="1" applyFont="1" applyFill="1" applyBorder="1" applyAlignment="1">
      <alignment horizontal="left" vertical="center"/>
    </xf>
    <xf numFmtId="43" fontId="107" fillId="7" borderId="1" xfId="19" applyNumberFormat="1" applyFont="1" applyFill="1" applyBorder="1">
      <alignment vertical="center"/>
    </xf>
    <xf numFmtId="177" fontId="107" fillId="7" borderId="1" xfId="19" applyNumberFormat="1" applyFont="1" applyFill="1" applyBorder="1" applyAlignment="1">
      <alignment horizontal="center" vertical="center"/>
    </xf>
    <xf numFmtId="41" fontId="107" fillId="7" borderId="1" xfId="19" applyNumberFormat="1" applyFont="1" applyFill="1" applyBorder="1" applyAlignment="1">
      <alignment horizontal="center" vertical="center"/>
    </xf>
    <xf numFmtId="0" fontId="107" fillId="7" borderId="0" xfId="19" applyFont="1" applyFill="1">
      <alignment vertical="center"/>
    </xf>
    <xf numFmtId="0" fontId="95" fillId="7" borderId="1" xfId="19" applyFont="1" applyFill="1" applyBorder="1" applyAlignment="1">
      <alignment vertical="center" wrapText="1"/>
    </xf>
    <xf numFmtId="43" fontId="147" fillId="7" borderId="1" xfId="19" applyNumberFormat="1" applyFont="1" applyFill="1" applyBorder="1" applyAlignment="1">
      <alignment horizontal="left" vertical="center"/>
    </xf>
    <xf numFmtId="9" fontId="107" fillId="7" borderId="1" xfId="21" applyFont="1" applyFill="1" applyBorder="1" applyAlignment="1">
      <alignment horizontal="center" vertical="center"/>
    </xf>
    <xf numFmtId="0" fontId="95" fillId="7" borderId="2" xfId="19" applyFont="1" applyFill="1" applyBorder="1" applyAlignment="1">
      <alignment horizontal="left" vertical="center" wrapText="1"/>
    </xf>
    <xf numFmtId="43" fontId="147" fillId="7" borderId="1" xfId="19" applyNumberFormat="1" applyFont="1" applyFill="1" applyBorder="1" applyAlignment="1">
      <alignment vertical="center"/>
    </xf>
    <xf numFmtId="197" fontId="147" fillId="7" borderId="1" xfId="19" applyNumberFormat="1" applyFont="1" applyFill="1" applyBorder="1" applyAlignment="1">
      <alignment vertical="center"/>
    </xf>
    <xf numFmtId="197" fontId="147" fillId="7" borderId="1" xfId="19" applyNumberFormat="1" applyFont="1" applyFill="1" applyBorder="1" applyAlignment="1">
      <alignment vertical="center" wrapText="1"/>
    </xf>
    <xf numFmtId="0" fontId="95" fillId="7" borderId="1" xfId="19" applyFont="1" applyFill="1" applyBorder="1" applyAlignment="1">
      <alignment horizontal="center" vertical="center" wrapText="1"/>
    </xf>
    <xf numFmtId="0" fontId="95" fillId="7" borderId="1" xfId="19" applyFont="1" applyFill="1" applyBorder="1" applyAlignment="1">
      <alignment horizontal="left" vertical="center" wrapText="1"/>
    </xf>
    <xf numFmtId="197" fontId="95" fillId="7" borderId="1" xfId="19" applyNumberFormat="1" applyFont="1" applyFill="1" applyBorder="1" applyAlignment="1">
      <alignment vertical="center" wrapText="1"/>
    </xf>
    <xf numFmtId="0" fontId="147" fillId="7" borderId="1" xfId="19" applyFont="1" applyFill="1" applyBorder="1" applyAlignment="1">
      <alignment vertical="center" wrapText="1"/>
    </xf>
    <xf numFmtId="43" fontId="270" fillId="7" borderId="2" xfId="19" applyNumberFormat="1" applyFill="1" applyBorder="1" applyAlignment="1">
      <alignment horizontal="center" vertical="center" wrapText="1"/>
    </xf>
    <xf numFmtId="41" fontId="95" fillId="7" borderId="1" xfId="19" applyNumberFormat="1" applyFont="1" applyFill="1" applyBorder="1" applyAlignment="1">
      <alignment horizontal="center" vertical="center"/>
    </xf>
    <xf numFmtId="197" fontId="107" fillId="7" borderId="1" xfId="20" applyNumberFormat="1" applyFont="1" applyFill="1" applyBorder="1" applyAlignment="1" applyProtection="1">
      <alignment horizontal="center" vertical="center" wrapText="1"/>
    </xf>
    <xf numFmtId="0" fontId="107" fillId="22" borderId="1" xfId="19" applyFont="1" applyFill="1" applyBorder="1" applyAlignment="1">
      <alignment horizontal="center" vertical="center"/>
    </xf>
    <xf numFmtId="0" fontId="95" fillId="22" borderId="2" xfId="19" applyFont="1" applyFill="1" applyBorder="1" applyAlignment="1">
      <alignment horizontal="left" vertical="center" wrapText="1"/>
    </xf>
    <xf numFmtId="14" fontId="107" fillId="22" borderId="1" xfId="19" applyNumberFormat="1" applyFont="1" applyFill="1" applyBorder="1" applyAlignment="1">
      <alignment horizontal="left" vertical="center" wrapText="1"/>
    </xf>
    <xf numFmtId="43" fontId="107" fillId="22" borderId="1" xfId="19" applyNumberFormat="1" applyFont="1" applyFill="1" applyBorder="1" applyAlignment="1">
      <alignment horizontal="right" vertical="center"/>
    </xf>
    <xf numFmtId="43" fontId="107" fillId="22" borderId="1" xfId="19" applyNumberFormat="1" applyFont="1" applyFill="1" applyBorder="1" applyAlignment="1">
      <alignment horizontal="left" vertical="center"/>
    </xf>
    <xf numFmtId="43" fontId="107" fillId="22" borderId="5" xfId="19" applyNumberFormat="1" applyFont="1" applyFill="1" applyBorder="1" applyAlignment="1">
      <alignment horizontal="left" vertical="center"/>
    </xf>
    <xf numFmtId="43" fontId="107" fillId="22" borderId="1" xfId="19" applyNumberFormat="1" applyFont="1" applyFill="1" applyBorder="1">
      <alignment vertical="center"/>
    </xf>
    <xf numFmtId="43" fontId="107" fillId="22" borderId="1" xfId="19" applyNumberFormat="1" applyFont="1" applyFill="1" applyBorder="1" applyAlignment="1">
      <alignment horizontal="left" vertical="center" wrapText="1"/>
    </xf>
    <xf numFmtId="197"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right" vertical="center" wrapText="1"/>
    </xf>
    <xf numFmtId="0" fontId="107" fillId="22" borderId="1" xfId="19" applyFont="1" applyFill="1" applyBorder="1" applyAlignment="1">
      <alignment horizontal="center" vertical="center" wrapText="1"/>
    </xf>
    <xf numFmtId="177" fontId="107" fillId="22" borderId="1" xfId="19" applyNumberFormat="1" applyFont="1" applyFill="1" applyBorder="1" applyAlignment="1">
      <alignment horizontal="center" vertical="center"/>
    </xf>
    <xf numFmtId="41" fontId="107" fillId="22" borderId="1" xfId="19" applyNumberFormat="1" applyFont="1" applyFill="1" applyBorder="1" applyAlignment="1">
      <alignment horizontal="center" vertical="center"/>
    </xf>
    <xf numFmtId="197" fontId="107" fillId="22" borderId="1" xfId="19" applyNumberFormat="1" applyFont="1" applyFill="1" applyBorder="1" applyAlignment="1">
      <alignment horizontal="center" vertical="center" wrapText="1"/>
    </xf>
    <xf numFmtId="9" fontId="107" fillId="22" borderId="1" xfId="19" applyNumberFormat="1" applyFont="1" applyFill="1" applyBorder="1" applyAlignment="1">
      <alignment horizontal="center" vertical="center"/>
    </xf>
    <xf numFmtId="0" fontId="147" fillId="22" borderId="1" xfId="19" applyFont="1" applyFill="1" applyBorder="1">
      <alignment vertical="center"/>
    </xf>
    <xf numFmtId="0" fontId="107" fillId="22" borderId="0" xfId="19" applyFont="1" applyFill="1">
      <alignment vertical="center"/>
    </xf>
    <xf numFmtId="9" fontId="107" fillId="7" borderId="1" xfId="21" applyNumberFormat="1" applyFont="1" applyFill="1" applyBorder="1" applyAlignment="1">
      <alignment horizontal="center" vertical="center"/>
    </xf>
    <xf numFmtId="49" fontId="107" fillId="7" borderId="1" xfId="19" applyNumberFormat="1" applyFont="1" applyFill="1" applyBorder="1" applyAlignment="1">
      <alignment horizontal="left" vertical="center" wrapText="1"/>
    </xf>
    <xf numFmtId="0" fontId="147" fillId="7" borderId="1" xfId="19" applyNumberFormat="1" applyFont="1" applyFill="1" applyBorder="1" applyAlignment="1">
      <alignment vertical="center" wrapText="1"/>
    </xf>
    <xf numFmtId="0" fontId="107" fillId="7" borderId="1" xfId="19" applyNumberFormat="1" applyFont="1" applyFill="1" applyBorder="1" applyAlignment="1">
      <alignment horizontal="left" vertical="center" wrapText="1"/>
    </xf>
    <xf numFmtId="197" fontId="107" fillId="7" borderId="1" xfId="19" applyNumberFormat="1" applyFont="1" applyFill="1" applyBorder="1" applyAlignment="1">
      <alignment horizontal="left" vertical="center"/>
    </xf>
    <xf numFmtId="185" fontId="107" fillId="7" borderId="1" xfId="19" applyNumberFormat="1" applyFont="1" applyFill="1" applyBorder="1" applyAlignment="1">
      <alignment horizontal="center" vertical="center"/>
    </xf>
    <xf numFmtId="49" fontId="107" fillId="7" borderId="1" xfId="19" applyNumberFormat="1" applyFont="1" applyFill="1" applyBorder="1" applyAlignment="1">
      <alignment horizontal="center" vertical="center" wrapText="1"/>
    </xf>
    <xf numFmtId="0" fontId="107" fillId="7" borderId="0" xfId="19" applyFont="1" applyFill="1" applyAlignment="1">
      <alignment horizontal="left" vertical="center"/>
    </xf>
    <xf numFmtId="43" fontId="273" fillId="7" borderId="1" xfId="19" applyNumberFormat="1" applyFont="1" applyFill="1" applyBorder="1" applyAlignment="1">
      <alignment horizontal="right" vertical="center"/>
    </xf>
    <xf numFmtId="0" fontId="107" fillId="7" borderId="1" xfId="19" applyFont="1" applyFill="1" applyBorder="1" applyAlignment="1">
      <alignment horizontal="left" vertical="center"/>
    </xf>
    <xf numFmtId="14" fontId="274" fillId="7" borderId="1" xfId="19" applyNumberFormat="1" applyFont="1" applyFill="1" applyBorder="1" applyAlignment="1">
      <alignment horizontal="left" vertical="center" wrapText="1"/>
    </xf>
    <xf numFmtId="43" fontId="274" fillId="7" borderId="1" xfId="19" applyNumberFormat="1" applyFont="1" applyFill="1" applyBorder="1" applyAlignment="1">
      <alignment horizontal="right" vertical="center"/>
    </xf>
    <xf numFmtId="0" fontId="274" fillId="7" borderId="1" xfId="19" applyFont="1" applyFill="1" applyBorder="1" applyAlignment="1">
      <alignment horizontal="left" vertical="center" wrapText="1"/>
    </xf>
    <xf numFmtId="14" fontId="147" fillId="7" borderId="1" xfId="19" applyNumberFormat="1" applyFont="1" applyFill="1" applyBorder="1" applyAlignment="1">
      <alignment vertical="center" wrapText="1"/>
    </xf>
    <xf numFmtId="0" fontId="147" fillId="7" borderId="1" xfId="19" applyNumberFormat="1" applyFont="1" applyFill="1" applyBorder="1" applyAlignment="1">
      <alignment horizontal="center" vertical="center" wrapText="1"/>
    </xf>
    <xf numFmtId="14" fontId="147" fillId="7" borderId="1" xfId="19" applyNumberFormat="1" applyFont="1" applyFill="1" applyBorder="1" applyAlignment="1">
      <alignment horizontal="center" vertical="center"/>
    </xf>
    <xf numFmtId="9" fontId="107" fillId="7" borderId="1" xfId="19" applyNumberFormat="1" applyFont="1" applyFill="1" applyBorder="1" applyAlignment="1">
      <alignment horizontal="center" vertical="center" wrapText="1"/>
    </xf>
    <xf numFmtId="0" fontId="107" fillId="7" borderId="2" xfId="19" applyFont="1" applyFill="1" applyBorder="1" applyAlignment="1">
      <alignment vertical="center" wrapText="1"/>
    </xf>
    <xf numFmtId="0" fontId="273" fillId="7" borderId="2" xfId="19" applyFont="1" applyFill="1" applyBorder="1" applyAlignment="1">
      <alignment vertical="center" wrapText="1"/>
    </xf>
    <xf numFmtId="0" fontId="147" fillId="7" borderId="1" xfId="19" applyFont="1" applyFill="1" applyBorder="1" applyAlignment="1">
      <alignment horizontal="left" vertical="center" wrapText="1"/>
    </xf>
    <xf numFmtId="0" fontId="147" fillId="22" borderId="1" xfId="19" applyFont="1" applyFill="1" applyBorder="1" applyAlignment="1">
      <alignment horizontal="left" vertical="center" wrapText="1"/>
    </xf>
    <xf numFmtId="14" fontId="147" fillId="22" borderId="1" xfId="19" applyNumberFormat="1" applyFont="1" applyFill="1" applyBorder="1" applyAlignment="1">
      <alignment vertical="center" wrapText="1"/>
    </xf>
    <xf numFmtId="43"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xf>
    <xf numFmtId="197" fontId="147" fillId="22" borderId="1" xfId="19" applyNumberFormat="1" applyFont="1" applyFill="1" applyBorder="1" applyAlignment="1">
      <alignment vertical="center" wrapText="1"/>
    </xf>
    <xf numFmtId="0" fontId="147" fillId="22" borderId="1" xfId="19" applyFont="1" applyFill="1" applyBorder="1" applyAlignment="1">
      <alignment horizontal="center" vertical="center" wrapText="1"/>
    </xf>
    <xf numFmtId="185" fontId="107" fillId="22" borderId="1" xfId="19" applyNumberFormat="1" applyFont="1" applyFill="1" applyBorder="1" applyAlignment="1">
      <alignment horizontal="center" vertical="center"/>
    </xf>
    <xf numFmtId="9" fontId="107" fillId="22" borderId="1" xfId="19" applyNumberFormat="1" applyFont="1" applyFill="1" applyBorder="1" applyAlignment="1">
      <alignment horizontal="center" vertical="center" wrapText="1"/>
    </xf>
    <xf numFmtId="49" fontId="107" fillId="22" borderId="1" xfId="19" applyNumberFormat="1" applyFont="1" applyFill="1" applyBorder="1" applyAlignment="1">
      <alignment horizontal="center" vertical="center" wrapText="1"/>
    </xf>
    <xf numFmtId="0" fontId="107" fillId="22" borderId="1" xfId="19" applyFont="1" applyFill="1" applyBorder="1" applyAlignment="1">
      <alignment horizontal="left" vertical="center"/>
    </xf>
    <xf numFmtId="0" fontId="107" fillId="22" borderId="0" xfId="19" applyFont="1" applyFill="1" applyAlignment="1">
      <alignment horizontal="left" vertical="center"/>
    </xf>
    <xf numFmtId="0" fontId="107" fillId="7" borderId="2" xfId="19" applyFont="1" applyFill="1" applyBorder="1" applyAlignment="1">
      <alignment horizontal="left" vertical="center" wrapText="1"/>
    </xf>
    <xf numFmtId="41" fontId="147" fillId="7" borderId="1" xfId="19" applyNumberFormat="1" applyFont="1" applyFill="1" applyBorder="1" applyAlignment="1">
      <alignment horizontal="center" vertical="center"/>
    </xf>
    <xf numFmtId="14" fontId="95" fillId="7" borderId="1" xfId="19" applyNumberFormat="1" applyFont="1" applyFill="1" applyBorder="1" applyAlignment="1">
      <alignment vertical="center" wrapText="1"/>
    </xf>
    <xf numFmtId="0" fontId="270" fillId="7" borderId="1" xfId="19" applyFill="1" applyBorder="1" applyAlignment="1">
      <alignment vertical="center" wrapText="1"/>
    </xf>
    <xf numFmtId="9" fontId="107" fillId="7" borderId="1" xfId="19" applyNumberFormat="1" applyFont="1" applyFill="1" applyBorder="1" applyAlignment="1">
      <alignment horizontal="left" vertical="center"/>
    </xf>
    <xf numFmtId="0" fontId="147" fillId="7" borderId="1" xfId="19" applyNumberFormat="1" applyFont="1" applyFill="1" applyBorder="1" applyAlignment="1">
      <alignment horizontal="center" vertical="center"/>
    </xf>
    <xf numFmtId="43" fontId="95" fillId="7" borderId="1" xfId="19" applyNumberFormat="1" applyFont="1" applyFill="1" applyBorder="1" applyAlignment="1">
      <alignment vertical="center"/>
    </xf>
    <xf numFmtId="0" fontId="95" fillId="7" borderId="1" xfId="19" applyNumberFormat="1" applyFont="1" applyFill="1" applyBorder="1" applyAlignment="1">
      <alignment horizontal="center" vertical="center" wrapText="1"/>
    </xf>
    <xf numFmtId="198" fontId="147" fillId="7" borderId="1" xfId="19" applyNumberFormat="1" applyFont="1" applyFill="1" applyBorder="1" applyAlignment="1">
      <alignment horizontal="center" vertical="center"/>
    </xf>
    <xf numFmtId="9" fontId="147" fillId="7" borderId="1" xfId="19" applyNumberFormat="1" applyFont="1" applyFill="1" applyBorder="1" applyAlignment="1">
      <alignment horizontal="left" vertical="center"/>
    </xf>
    <xf numFmtId="0" fontId="147" fillId="7" borderId="1" xfId="19" applyFont="1" applyFill="1" applyBorder="1" applyAlignment="1">
      <alignment horizontal="center" vertical="center" wrapText="1"/>
    </xf>
    <xf numFmtId="197" fontId="273" fillId="7" borderId="1" xfId="19" applyNumberFormat="1" applyFont="1" applyFill="1" applyBorder="1" applyAlignment="1">
      <alignment horizontal="center"/>
    </xf>
    <xf numFmtId="10" fontId="107" fillId="7" borderId="1" xfId="19" applyNumberFormat="1" applyFont="1" applyFill="1" applyBorder="1" applyAlignment="1">
      <alignment horizontal="right" vertical="center"/>
    </xf>
    <xf numFmtId="176" fontId="273" fillId="7" borderId="5" xfId="19" applyNumberFormat="1" applyFont="1" applyFill="1" applyBorder="1" applyAlignment="1">
      <alignment horizontal="right"/>
    </xf>
    <xf numFmtId="176" fontId="273" fillId="7" borderId="1" xfId="19" applyNumberFormat="1" applyFont="1" applyFill="1" applyBorder="1" applyAlignment="1">
      <alignment horizontal="center"/>
    </xf>
    <xf numFmtId="0" fontId="107" fillId="7" borderId="1" xfId="19" applyFont="1" applyFill="1" applyBorder="1">
      <alignment vertical="center"/>
    </xf>
    <xf numFmtId="176" fontId="273" fillId="7" borderId="1" xfId="19" applyNumberFormat="1" applyFont="1" applyFill="1" applyBorder="1" applyAlignment="1">
      <alignment horizontal="left" wrapText="1"/>
    </xf>
    <xf numFmtId="176" fontId="275" fillId="7" borderId="1" xfId="19" applyNumberFormat="1" applyFont="1" applyFill="1" applyBorder="1" applyAlignment="1">
      <alignment horizontal="center"/>
    </xf>
    <xf numFmtId="177" fontId="112" fillId="7" borderId="1" xfId="19" applyNumberFormat="1" applyFont="1" applyFill="1" applyBorder="1" applyAlignment="1">
      <alignment horizontal="center" vertical="center" wrapText="1"/>
    </xf>
    <xf numFmtId="176" fontId="275" fillId="7" borderId="1" xfId="19" applyNumberFormat="1" applyFont="1" applyFill="1" applyBorder="1" applyAlignment="1">
      <alignment horizontal="right"/>
    </xf>
    <xf numFmtId="176" fontId="275" fillId="7" borderId="5" xfId="19" applyNumberFormat="1" applyFont="1" applyFill="1" applyBorder="1" applyAlignment="1">
      <alignment horizontal="right"/>
    </xf>
    <xf numFmtId="43" fontId="112" fillId="7" borderId="1" xfId="19" applyNumberFormat="1" applyFont="1" applyFill="1" applyBorder="1" applyAlignment="1">
      <alignment horizontal="left" vertical="center"/>
    </xf>
    <xf numFmtId="197" fontId="147" fillId="7" borderId="1" xfId="19" applyNumberFormat="1" applyFont="1" applyFill="1" applyBorder="1" applyAlignment="1">
      <alignment horizontal="center" vertical="center"/>
    </xf>
    <xf numFmtId="10" fontId="273" fillId="7" borderId="1" xfId="19" applyNumberFormat="1" applyFont="1" applyFill="1" applyBorder="1" applyAlignment="1">
      <alignment horizontal="center"/>
    </xf>
    <xf numFmtId="0" fontId="147" fillId="7" borderId="0" xfId="19" applyFont="1" applyFill="1" applyAlignment="1">
      <alignment horizontal="center" vertical="center"/>
    </xf>
    <xf numFmtId="0" fontId="147" fillId="7" borderId="0" xfId="19" applyFont="1" applyFill="1" applyAlignment="1">
      <alignment horizontal="left" vertical="center"/>
    </xf>
    <xf numFmtId="197" fontId="147" fillId="7" borderId="0" xfId="19" applyNumberFormat="1" applyFont="1" applyFill="1" applyAlignment="1">
      <alignment horizontal="center" vertical="center"/>
    </xf>
    <xf numFmtId="197" fontId="147" fillId="7" borderId="0" xfId="19" applyNumberFormat="1" applyFont="1" applyFill="1">
      <alignment vertical="center"/>
    </xf>
    <xf numFmtId="0" fontId="147" fillId="7" borderId="0" xfId="19" applyFont="1" applyFill="1" applyAlignment="1">
      <alignment horizontal="left" vertical="center" wrapText="1"/>
    </xf>
    <xf numFmtId="14" fontId="147" fillId="7" borderId="0" xfId="19" applyNumberFormat="1" applyFont="1" applyFill="1" applyAlignment="1">
      <alignment horizontal="left" vertical="center"/>
    </xf>
    <xf numFmtId="197" fontId="147" fillId="7" borderId="0" xfId="19" applyNumberFormat="1" applyFont="1" applyFill="1" applyAlignment="1">
      <alignment horizontal="left" vertical="center"/>
    </xf>
    <xf numFmtId="0" fontId="147" fillId="7" borderId="0" xfId="19" applyNumberFormat="1" applyFont="1" applyFill="1" applyAlignment="1">
      <alignment horizontal="left" vertical="center"/>
    </xf>
    <xf numFmtId="2" fontId="147" fillId="7" borderId="0" xfId="19" applyNumberFormat="1" applyFont="1" applyFill="1" applyAlignment="1">
      <alignment horizontal="left" vertical="center"/>
    </xf>
    <xf numFmtId="196" fontId="147" fillId="7" borderId="0" xfId="19" applyNumberFormat="1" applyFont="1"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95" fillId="0" borderId="0" xfId="0" applyFont="1" applyAlignment="1">
      <alignment horizontal="left" vertical="center"/>
    </xf>
    <xf numFmtId="0" fontId="95" fillId="0" borderId="0" xfId="0" applyFont="1" applyAlignment="1">
      <alignment horizontal="left" vertical="center" wrapText="1"/>
    </xf>
    <xf numFmtId="14" fontId="95" fillId="0" borderId="0" xfId="0" applyNumberFormat="1" applyFont="1" applyAlignment="1">
      <alignment horizontal="left" vertical="center"/>
    </xf>
    <xf numFmtId="199" fontId="95" fillId="0" borderId="0" xfId="0" applyNumberFormat="1" applyFont="1" applyAlignment="1">
      <alignment horizontal="left" vertical="center"/>
    </xf>
    <xf numFmtId="2" fontId="95" fillId="0" borderId="0" xfId="0" applyNumberFormat="1" applyFont="1" applyAlignment="1">
      <alignment horizontal="left" vertical="center"/>
    </xf>
    <xf numFmtId="1" fontId="95" fillId="0" borderId="0" xfId="0" applyNumberFormat="1" applyFont="1" applyAlignment="1">
      <alignment horizontal="lef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7"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47" fillId="16" borderId="5" xfId="0"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116" fillId="7" borderId="1" xfId="19" applyFont="1" applyFill="1" applyBorder="1" applyAlignment="1">
      <alignment horizontal="center" vertical="center"/>
    </xf>
    <xf numFmtId="14" fontId="107" fillId="7" borderId="1" xfId="19" applyNumberFormat="1" applyFont="1" applyFill="1" applyBorder="1" applyAlignment="1">
      <alignment horizontal="center" vertical="center" wrapText="1"/>
    </xf>
    <xf numFmtId="177" fontId="107" fillId="7" borderId="13" xfId="19" applyNumberFormat="1" applyFont="1" applyFill="1" applyBorder="1" applyAlignment="1">
      <alignment horizontal="center" vertical="center" wrapText="1"/>
    </xf>
    <xf numFmtId="177" fontId="107" fillId="7" borderId="15" xfId="19" applyNumberFormat="1" applyFont="1" applyFill="1" applyBorder="1" applyAlignment="1">
      <alignment horizontal="center" vertical="center" wrapText="1"/>
    </xf>
    <xf numFmtId="177" fontId="107" fillId="7" borderId="2" xfId="19" applyNumberFormat="1" applyFont="1" applyFill="1" applyBorder="1" applyAlignment="1">
      <alignment horizontal="center" vertical="center" wrapText="1"/>
    </xf>
    <xf numFmtId="14" fontId="112" fillId="7" borderId="1" xfId="19" applyNumberFormat="1"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79" xfId="0" applyFont="1" applyBorder="1" applyAlignment="1">
      <alignment vertical="center" wrapText="1"/>
    </xf>
    <xf numFmtId="0" fontId="265" fillId="0" borderId="177" xfId="0" applyFont="1" applyBorder="1" applyAlignment="1">
      <alignment vertical="center" wrapText="1"/>
    </xf>
    <xf numFmtId="0" fontId="278" fillId="0" borderId="179" xfId="0" applyFont="1" applyBorder="1" applyAlignment="1">
      <alignment vertical="center" wrapText="1"/>
    </xf>
    <xf numFmtId="0" fontId="277" fillId="0" borderId="179"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277" fillId="0" borderId="181" xfId="0" applyFont="1" applyBorder="1" applyAlignment="1">
      <alignment vertical="center" wrapText="1"/>
    </xf>
    <xf numFmtId="0" fontId="277" fillId="0" borderId="182" xfId="0" applyFont="1" applyBorder="1" applyAlignment="1">
      <alignment vertical="center" wrapText="1"/>
    </xf>
    <xf numFmtId="0" fontId="265" fillId="0" borderId="181" xfId="0" applyFont="1" applyBorder="1" applyAlignment="1">
      <alignment vertical="center" wrapText="1"/>
    </xf>
    <xf numFmtId="0" fontId="265" fillId="0" borderId="183" xfId="0" applyFont="1" applyBorder="1" applyAlignment="1">
      <alignment vertical="center" wrapText="1"/>
    </xf>
    <xf numFmtId="0" fontId="265" fillId="0" borderId="182" xfId="0" applyFont="1" applyBorder="1" applyAlignment="1">
      <alignment vertical="center" wrapText="1"/>
    </xf>
    <xf numFmtId="0" fontId="279" fillId="0" borderId="181" xfId="0" applyFont="1" applyBorder="1" applyAlignment="1">
      <alignment vertical="center" wrapText="1"/>
    </xf>
    <xf numFmtId="0" fontId="279" fillId="0" borderId="183" xfId="0" applyFont="1" applyBorder="1" applyAlignment="1">
      <alignment vertical="center" wrapText="1"/>
    </xf>
    <xf numFmtId="0" fontId="279" fillId="0" borderId="182" xfId="0" applyFont="1" applyBorder="1" applyAlignment="1">
      <alignment vertical="center" wrapText="1"/>
    </xf>
    <xf numFmtId="0" fontId="277" fillId="0" borderId="183" xfId="0" applyFont="1" applyBorder="1" applyAlignment="1">
      <alignment vertical="center" wrapText="1"/>
    </xf>
    <xf numFmtId="0" fontId="265" fillId="0" borderId="184" xfId="0" applyFont="1" applyBorder="1" applyAlignment="1">
      <alignment vertical="center" wrapText="1"/>
    </xf>
    <xf numFmtId="0" fontId="265" fillId="0" borderId="185" xfId="0" applyFont="1" applyBorder="1" applyAlignment="1">
      <alignment vertical="center" wrapText="1"/>
    </xf>
    <xf numFmtId="0" fontId="265" fillId="0" borderId="186" xfId="0" applyFont="1" applyBorder="1" applyAlignment="1">
      <alignment vertical="center" wrapText="1"/>
    </xf>
    <xf numFmtId="204" fontId="265" fillId="0" borderId="181" xfId="0" applyNumberFormat="1" applyFont="1" applyBorder="1" applyAlignment="1">
      <alignment vertical="center" wrapText="1"/>
    </xf>
    <xf numFmtId="204" fontId="265" fillId="0" borderId="182" xfId="0" applyNumberFormat="1" applyFont="1" applyBorder="1" applyAlignment="1">
      <alignmen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2"/>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22</xdr:col>
      <xdr:colOff>8753</xdr:colOff>
      <xdr:row>16</xdr:row>
      <xdr:rowOff>132969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049000" y="342900"/>
          <a:ext cx="6180953" cy="3047619"/>
        </a:xfrm>
        <a:prstGeom prst="rect">
          <a:avLst/>
        </a:prstGeom>
      </xdr:spPr>
    </xdr:pic>
    <xdr:clientData/>
  </xdr:twoCellAnchor>
  <xdr:twoCellAnchor editAs="oneCell">
    <xdr:from>
      <xdr:col>13</xdr:col>
      <xdr:colOff>0</xdr:colOff>
      <xdr:row>17</xdr:row>
      <xdr:rowOff>0</xdr:rowOff>
    </xdr:from>
    <xdr:to>
      <xdr:col>21</xdr:col>
      <xdr:colOff>580267</xdr:colOff>
      <xdr:row>38</xdr:row>
      <xdr:rowOff>18384</xdr:rowOff>
    </xdr:to>
    <xdr:pic>
      <xdr:nvPicPr>
        <xdr:cNvPr id="3" name="图片 2"/>
        <xdr:cNvPicPr>
          <a:picLocks noChangeAspect="1"/>
        </xdr:cNvPicPr>
      </xdr:nvPicPr>
      <xdr:blipFill>
        <a:blip xmlns:r="http://schemas.openxmlformats.org/officeDocument/2006/relationships" r:embed="rId2"/>
        <a:stretch>
          <a:fillRect/>
        </a:stretch>
      </xdr:blipFill>
      <xdr:spPr>
        <a:xfrm>
          <a:off x="11049000" y="3429000"/>
          <a:ext cx="6066667" cy="5333334"/>
        </a:xfrm>
        <a:prstGeom prst="rect">
          <a:avLst/>
        </a:prstGeom>
      </xdr:spPr>
    </xdr:pic>
    <xdr:clientData/>
  </xdr:twoCellAnchor>
  <xdr:twoCellAnchor editAs="oneCell">
    <xdr:from>
      <xdr:col>13</xdr:col>
      <xdr:colOff>0</xdr:colOff>
      <xdr:row>46</xdr:row>
      <xdr:rowOff>0</xdr:rowOff>
    </xdr:from>
    <xdr:to>
      <xdr:col>21</xdr:col>
      <xdr:colOff>675505</xdr:colOff>
      <xdr:row>67</xdr:row>
      <xdr:rowOff>47169</xdr:rowOff>
    </xdr:to>
    <xdr:pic>
      <xdr:nvPicPr>
        <xdr:cNvPr id="4" name="图片 3"/>
        <xdr:cNvPicPr>
          <a:picLocks noChangeAspect="1"/>
        </xdr:cNvPicPr>
      </xdr:nvPicPr>
      <xdr:blipFill>
        <a:blip xmlns:r="http://schemas.openxmlformats.org/officeDocument/2006/relationships" r:embed="rId3"/>
        <a:stretch>
          <a:fillRect/>
        </a:stretch>
      </xdr:blipFill>
      <xdr:spPr>
        <a:xfrm>
          <a:off x="11049000" y="8743950"/>
          <a:ext cx="6161905" cy="3647619"/>
        </a:xfrm>
        <a:prstGeom prst="rect">
          <a:avLst/>
        </a:prstGeom>
      </xdr:spPr>
    </xdr:pic>
    <xdr:clientData/>
  </xdr:twoCellAnchor>
  <xdr:twoCellAnchor editAs="oneCell">
    <xdr:from>
      <xdr:col>13</xdr:col>
      <xdr:colOff>0</xdr:colOff>
      <xdr:row>67</xdr:row>
      <xdr:rowOff>0</xdr:rowOff>
    </xdr:from>
    <xdr:to>
      <xdr:col>21</xdr:col>
      <xdr:colOff>446934</xdr:colOff>
      <xdr:row>94</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11049000" y="12344400"/>
          <a:ext cx="5933334" cy="4800000"/>
        </a:xfrm>
        <a:prstGeom prst="rect">
          <a:avLst/>
        </a:prstGeom>
      </xdr:spPr>
    </xdr:pic>
    <xdr:clientData/>
  </xdr:twoCellAnchor>
  <xdr:twoCellAnchor editAs="oneCell">
    <xdr:from>
      <xdr:col>13</xdr:col>
      <xdr:colOff>0</xdr:colOff>
      <xdr:row>95</xdr:row>
      <xdr:rowOff>0</xdr:rowOff>
    </xdr:from>
    <xdr:to>
      <xdr:col>21</xdr:col>
      <xdr:colOff>323124</xdr:colOff>
      <xdr:row>103</xdr:row>
      <xdr:rowOff>56972</xdr:rowOff>
    </xdr:to>
    <xdr:pic>
      <xdr:nvPicPr>
        <xdr:cNvPr id="6" name="图片 5"/>
        <xdr:cNvPicPr>
          <a:picLocks noChangeAspect="1"/>
        </xdr:cNvPicPr>
      </xdr:nvPicPr>
      <xdr:blipFill>
        <a:blip xmlns:r="http://schemas.openxmlformats.org/officeDocument/2006/relationships" r:embed="rId5"/>
        <a:stretch>
          <a:fillRect/>
        </a:stretch>
      </xdr:blipFill>
      <xdr:spPr>
        <a:xfrm>
          <a:off x="11049000" y="17145000"/>
          <a:ext cx="5809524" cy="1428572"/>
        </a:xfrm>
        <a:prstGeom prst="rect">
          <a:avLst/>
        </a:prstGeom>
      </xdr:spPr>
    </xdr:pic>
    <xdr:clientData/>
  </xdr:twoCellAnchor>
  <xdr:twoCellAnchor editAs="oneCell">
    <xdr:from>
      <xdr:col>1</xdr:col>
      <xdr:colOff>0</xdr:colOff>
      <xdr:row>20</xdr:row>
      <xdr:rowOff>0</xdr:rowOff>
    </xdr:from>
    <xdr:to>
      <xdr:col>8</xdr:col>
      <xdr:colOff>84967</xdr:colOff>
      <xdr:row>46</xdr:row>
      <xdr:rowOff>142300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4286250"/>
          <a:ext cx="6066667" cy="4600000"/>
        </a:xfrm>
        <a:prstGeom prst="rect">
          <a:avLst/>
        </a:prstGeom>
      </xdr:spPr>
    </xdr:pic>
    <xdr:clientData/>
  </xdr:twoCellAnchor>
  <xdr:twoCellAnchor editAs="oneCell">
    <xdr:from>
      <xdr:col>1</xdr:col>
      <xdr:colOff>0</xdr:colOff>
      <xdr:row>47</xdr:row>
      <xdr:rowOff>0</xdr:rowOff>
    </xdr:from>
    <xdr:to>
      <xdr:col>8</xdr:col>
      <xdr:colOff>237348</xdr:colOff>
      <xdr:row>77</xdr:row>
      <xdr:rowOff>94596</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8915400"/>
          <a:ext cx="6219048" cy="5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3457;-12&#24162;260&#20010;&#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21556;&#38634;20230925-164433/&#19968;&#2345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商业"/>
      <sheetName val="比较法-办公"/>
      <sheetName val="比较法-工业"/>
      <sheetName val="成本法"/>
      <sheetName val="基准地价修正"/>
      <sheetName val="收益法"/>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市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11869.359999999982</v>
          </cell>
          <cell r="D14">
            <v>7970</v>
          </cell>
          <cell r="G14">
            <v>7970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北京市朝阳区清林东路4号6号楼负2层B202、负3层B302商业用房房地产抵押价值预评估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受贵公司委托，我公司对北京市朝阳区清林东路4号6号楼负2层B202、负3层B302商业用房房地产抵押价值进行了预评估。</v>
      </c>
    </row>
    <row r="7" spans="1:2" s="1200" customFormat="1">
      <c r="A7" s="1198" t="s">
        <v>566</v>
      </c>
      <c r="B7" s="1199" t="str">
        <f>'预评函-1'!A7</f>
        <v>估价对象为北京市朝阳区清林东路4号6号楼负2层B202、负3层B302商业用房房地产，为所有。根据《国有土地使用证》[]，估价对象（分摊）出让国有建设用地使用权面积为755.66平方米，建筑面积为5979.53平方米。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2023年9月20日（评估专业人员实地查勘之日）</v>
      </c>
    </row>
    <row r="13" spans="1:2" s="1200" customFormat="1">
      <c r="A13" s="1198" t="s">
        <v>529</v>
      </c>
      <c r="B13" s="1199"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4411</v>
      </c>
    </row>
    <row r="21" spans="1:2" s="1200" customFormat="1">
      <c r="A21" s="1198" t="s">
        <v>537</v>
      </c>
      <c r="B21" s="1199">
        <f ca="1">'预评函-2'!D7</f>
        <v>15464</v>
      </c>
    </row>
    <row r="22" spans="1:2" s="1200" customFormat="1">
      <c r="A22" s="1198" t="s">
        <v>538</v>
      </c>
      <c r="B22" s="1199" t="str">
        <f ca="1">'预评函-2'!D6</f>
        <v>肆仟肆佰壹拾壹万元整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4411</v>
      </c>
    </row>
    <row r="31" spans="1:2" s="1200" customFormat="1">
      <c r="A31" s="1198" t="s">
        <v>576</v>
      </c>
      <c r="B31" s="1199">
        <f ca="1">'预评函-2'!D15</f>
        <v>15464</v>
      </c>
    </row>
    <row r="32" spans="1:2" s="1200" customFormat="1">
      <c r="A32" s="1198" t="s">
        <v>543</v>
      </c>
      <c r="B32" s="1199" t="str">
        <f ca="1">'预评函-2'!D14</f>
        <v>肆仟肆佰壹拾壹万元整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北京市朝阳区清林东路4号6号楼负2层B202、负3层B302商业用房房地产</v>
      </c>
    </row>
    <row r="42" spans="1:2" s="1200" customFormat="1">
      <c r="A42" s="1198" t="s">
        <v>590</v>
      </c>
      <c r="B42" s="1199" t="str">
        <f>'预评函-3'!B2</f>
        <v>建筑面积</v>
      </c>
    </row>
    <row r="43" spans="1:2" s="1200" customFormat="1">
      <c r="A43" s="1198" t="s">
        <v>591</v>
      </c>
      <c r="B43" s="1199">
        <f>'预评函-3'!B4</f>
        <v>5979.5300000000007</v>
      </c>
    </row>
    <row r="44" spans="1:2" s="1200" customFormat="1">
      <c r="A44" s="1198" t="s">
        <v>575</v>
      </c>
      <c r="B44" s="1199" t="str">
        <f>'预评函-3'!C2</f>
        <v>(分摊)土地面积</v>
      </c>
    </row>
    <row r="45" spans="1:2" s="1200" customFormat="1">
      <c r="A45" s="1198" t="s">
        <v>547</v>
      </c>
      <c r="B45" s="1199">
        <f>'预评函-3'!C4</f>
        <v>755.66</v>
      </c>
    </row>
    <row r="46" spans="1:2" s="1200" customFormat="1">
      <c r="A46" s="1198" t="s">
        <v>573</v>
      </c>
      <c r="B46" s="1199" t="str">
        <f>'预评函-3'!D2</f>
        <v>出让国有建设用地使用权价值</v>
      </c>
    </row>
    <row r="47" spans="1:2" s="1200" customFormat="1">
      <c r="A47" s="1198" t="s">
        <v>548</v>
      </c>
      <c r="B47" s="1199">
        <f ca="1">'预评函-3'!D4</f>
        <v>2183</v>
      </c>
    </row>
    <row r="48" spans="1:2" s="1200" customFormat="1">
      <c r="A48" s="1198" t="s">
        <v>549</v>
      </c>
      <c r="B48" s="1199">
        <f ca="1">'预评函-3'!E4</f>
        <v>7653</v>
      </c>
    </row>
    <row r="49" spans="1:2" s="1200" customFormat="1">
      <c r="A49" s="1198" t="s">
        <v>550</v>
      </c>
      <c r="B49" s="1199" t="str">
        <f ca="1">'预评函-3'!D5</f>
        <v>贰仟壹佰捌拾叁万元整</v>
      </c>
    </row>
    <row r="50" spans="1:2" s="1200" customFormat="1">
      <c r="A50" s="1198" t="s">
        <v>574</v>
      </c>
      <c r="B50" s="1199" t="str">
        <f>'预评函-3'!F2</f>
        <v>建筑物价值</v>
      </c>
    </row>
    <row r="51" spans="1:2" s="1200" customFormat="1">
      <c r="A51" s="1198" t="s">
        <v>551</v>
      </c>
      <c r="B51" s="1199">
        <f ca="1">'预评函-3'!F4</f>
        <v>2228</v>
      </c>
    </row>
    <row r="52" spans="1:2" s="1200" customFormat="1">
      <c r="A52" s="1198" t="s">
        <v>552</v>
      </c>
      <c r="B52" s="1199">
        <f ca="1">'预评函-3'!G4</f>
        <v>7811</v>
      </c>
    </row>
    <row r="53" spans="1:2" s="1200" customFormat="1">
      <c r="A53" s="1198" t="s">
        <v>580</v>
      </c>
      <c r="B53" s="1199" t="str">
        <f ca="1">'预评函-3'!F5</f>
        <v>贰仟贰佰贰拾捌万元整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3351</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3337</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3338</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3339</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3340</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3341</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3342</v>
      </c>
    </row>
    <row r="8" spans="1:23">
      <c r="A8" s="1543" t="s">
        <v>1024</v>
      </c>
      <c r="B8" s="1543" t="s">
        <v>1025</v>
      </c>
      <c r="C8" s="1544" t="s">
        <v>319</v>
      </c>
      <c r="F8" s="1545" t="s">
        <v>1026</v>
      </c>
      <c r="H8" s="1545" t="s">
        <v>2576</v>
      </c>
      <c r="I8" s="1545" t="s">
        <v>3343</v>
      </c>
    </row>
    <row r="9" spans="1:23">
      <c r="A9" s="1543" t="s">
        <v>1027</v>
      </c>
      <c r="B9" s="1543" t="s">
        <v>1028</v>
      </c>
      <c r="C9" s="1544" t="s">
        <v>320</v>
      </c>
      <c r="F9" s="1545" t="s">
        <v>1029</v>
      </c>
      <c r="H9" s="1545"/>
      <c r="I9" s="1548" t="s">
        <v>3344</v>
      </c>
    </row>
    <row r="10" spans="1:23">
      <c r="A10" s="1543" t="s">
        <v>1030</v>
      </c>
      <c r="B10" s="1543" t="s">
        <v>1031</v>
      </c>
      <c r="C10" s="1544" t="s">
        <v>321</v>
      </c>
      <c r="F10" s="1545" t="s">
        <v>2577</v>
      </c>
      <c r="I10" s="1548" t="s">
        <v>3345</v>
      </c>
    </row>
    <row r="11" spans="1:23">
      <c r="A11" s="1543" t="s">
        <v>1032</v>
      </c>
      <c r="B11" s="1543" t="s">
        <v>1033</v>
      </c>
      <c r="C11" s="1544" t="s">
        <v>322</v>
      </c>
      <c r="F11" s="1545" t="s">
        <v>13</v>
      </c>
      <c r="I11" s="1548" t="s">
        <v>3346</v>
      </c>
    </row>
    <row r="12" spans="1:23">
      <c r="A12" s="1543" t="s">
        <v>1034</v>
      </c>
      <c r="B12" s="1543" t="s">
        <v>1035</v>
      </c>
      <c r="C12" s="1544" t="s">
        <v>323</v>
      </c>
      <c r="I12" s="1548" t="s">
        <v>3347</v>
      </c>
    </row>
    <row r="13" spans="1:23">
      <c r="A13" s="1543" t="s">
        <v>1036</v>
      </c>
      <c r="B13" s="1543" t="s">
        <v>1037</v>
      </c>
      <c r="C13" s="1544" t="s">
        <v>324</v>
      </c>
      <c r="I13" s="1548" t="s">
        <v>3348</v>
      </c>
    </row>
    <row r="14" spans="1:23">
      <c r="A14" s="1543" t="s">
        <v>1038</v>
      </c>
      <c r="B14" s="1543" t="s">
        <v>1039</v>
      </c>
      <c r="C14" s="1545" t="s">
        <v>13</v>
      </c>
      <c r="I14" s="1548" t="s">
        <v>3349</v>
      </c>
    </row>
    <row r="15" spans="1:23">
      <c r="A15" s="1543" t="s">
        <v>1040</v>
      </c>
      <c r="B15" s="1543" t="s">
        <v>1041</v>
      </c>
      <c r="C15" s="1544"/>
      <c r="I15" s="1548" t="s">
        <v>3350</v>
      </c>
    </row>
    <row r="16" spans="1:23">
      <c r="A16" s="1543" t="s">
        <v>1042</v>
      </c>
      <c r="B16" s="1543" t="s">
        <v>312</v>
      </c>
      <c r="C16" s="1544"/>
    </row>
    <row r="17" spans="1:3">
      <c r="A17" s="1543" t="s">
        <v>1043</v>
      </c>
      <c r="B17" s="1543" t="s">
        <v>2288</v>
      </c>
      <c r="C17" s="1544"/>
    </row>
    <row r="18" spans="1:3">
      <c r="A18" s="1543" t="s">
        <v>1044</v>
      </c>
      <c r="B18" s="1543" t="s">
        <v>2432</v>
      </c>
      <c r="C18" s="1544"/>
    </row>
    <row r="19" spans="1:3">
      <c r="A19" s="1543" t="s">
        <v>1045</v>
      </c>
      <c r="B19" s="1543" t="s">
        <v>4236</v>
      </c>
      <c r="C19" s="1544"/>
    </row>
    <row r="20" spans="1:3">
      <c r="A20" s="1543" t="s">
        <v>1046</v>
      </c>
      <c r="B20" s="1543" t="s">
        <v>4241</v>
      </c>
      <c r="C20" s="1544"/>
    </row>
    <row r="21" spans="1:3">
      <c r="A21" s="1543" t="s">
        <v>1047</v>
      </c>
      <c r="B21" s="1543" t="s">
        <v>3692</v>
      </c>
      <c r="C21" s="1544"/>
    </row>
    <row r="22" spans="1:3">
      <c r="A22" s="1543" t="s">
        <v>1048</v>
      </c>
      <c r="B22" s="1543" t="s">
        <v>3694</v>
      </c>
      <c r="C22" s="1544"/>
    </row>
    <row r="23" spans="1:3">
      <c r="A23" s="1543" t="s">
        <v>1049</v>
      </c>
      <c r="B23" s="1543" t="s">
        <v>4234</v>
      </c>
      <c r="C23" s="1544"/>
    </row>
    <row r="24" spans="1:3">
      <c r="A24" s="1543" t="s">
        <v>1050</v>
      </c>
      <c r="B24" s="1543" t="s">
        <v>4239</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8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5"/>
      <c r="B54" s="1551" t="s">
        <v>385</v>
      </c>
      <c r="C54" s="1548" t="s">
        <v>583</v>
      </c>
    </row>
    <row r="55" spans="1:4">
      <c r="A55" s="3685"/>
      <c r="B55" s="1551" t="s">
        <v>386</v>
      </c>
      <c r="C55" s="1548" t="s">
        <v>584</v>
      </c>
    </row>
    <row r="56" spans="1:4">
      <c r="A56" s="3685"/>
      <c r="B56" s="1551" t="s">
        <v>387</v>
      </c>
      <c r="C56" s="1548" t="s">
        <v>588</v>
      </c>
    </row>
    <row r="57" spans="1:4">
      <c r="A57" s="368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686" t="s">
        <v>2579</v>
      </c>
      <c r="J2" s="3686"/>
      <c r="K2" s="3686"/>
      <c r="L2" s="3686"/>
      <c r="M2" s="3686"/>
      <c r="N2" s="3686"/>
      <c r="O2" s="3686"/>
      <c r="P2" s="3686"/>
      <c r="Q2" s="3686"/>
      <c r="R2" s="3686"/>
    </row>
    <row r="3" spans="1:18">
      <c r="A3" s="3015" t="s">
        <v>2500</v>
      </c>
      <c r="B3" s="3016">
        <f>项目基本情况!D3</f>
        <v>45189</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3.24</v>
      </c>
      <c r="D5" s="3020">
        <f>IF(ISERROR(ROUND(POWER(1+E5,A5-C5)*(POWER(1+E5,C5)-1)/(POWER(1+E5,A5)-1),3)),0,ROUND(POWER(1+E5,A5-C5)*(POWER(1+E5,C5)-1)/(POWER(1+E5,A5)-1),4))</f>
        <v>0.1507</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13.25</v>
      </c>
      <c r="D6" s="3020">
        <f>IF(ISERROR(ROUND(POWER(1+E6,A6-C6)*(POWER(1+E6,C6)-1)/(POWER(1+E6,A6)-1),3)),0,ROUND(POWER(1+E6,A6-C6)*(POWER(1+E6,C6)-1)/(POWER(1+E6,A6)-1),4))</f>
        <v>0.47170000000000001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33.270000000000003</v>
      </c>
      <c r="D7" s="3020">
        <f>IF(ISERROR(ROUND(POWER(1+E7,A7-C7)*(POWER(1+E7,C7)-1)/(POWER(1+E7,A7)-1),3)),0,ROUND(POWER(1+E7,A7-C7)*(POWER(1+E7,C7)-1)/(POWER(1+E7,A7)-1),4))</f>
        <v>0.77880000000000005</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695" t="str">
        <f>IF(B10="北京市","北京市",C10)&amp;F10&amp;IF('结果表-负2层'!G1="在建","出让国有建设用地使用权及在建建筑物",IF('结果表-负2层'!G1="土地","出让国有建设用地使用权",))&amp;B9&amp;"预评估"</f>
        <v>北京市朝阳区清林东路4号6号楼负2层B202、负3层B302商业用房房地产抵押价值预评估</v>
      </c>
      <c r="C1" s="3696"/>
      <c r="D1" s="3696"/>
      <c r="E1" s="3696"/>
      <c r="F1" s="3696"/>
      <c r="G1" s="3696"/>
      <c r="H1" s="3696"/>
      <c r="I1" s="3697"/>
      <c r="J1" s="2466"/>
      <c r="K1" s="2365"/>
      <c r="L1" s="2366"/>
      <c r="M1" s="2366"/>
      <c r="N1" s="2367"/>
      <c r="O1" s="1573"/>
      <c r="P1" s="2367"/>
      <c r="Q1" s="2367"/>
      <c r="R1" s="2367"/>
      <c r="S1" s="1679" t="str">
        <f>IF(B10="北京市","北京市",C10)&amp;F10&amp;IF('结果表-负2层'!G1="在建","出让国有建设用地使用权及在建建筑物房地产抵押价值",IF('结果表-负2层'!G1="土地","出让国有建设用地使用权抵押价值",B9))</f>
        <v>北京市朝阳区清林东路4号6号楼负2层B202、负3层B302商业用房房地产抵押价值</v>
      </c>
      <c r="T1" s="1742"/>
      <c r="U1" s="1742"/>
      <c r="V1" s="1742"/>
      <c r="W1" s="1742"/>
      <c r="X1" s="1742"/>
      <c r="Y1" s="1742"/>
      <c r="Z1" s="1742"/>
      <c r="AA1" s="1742"/>
      <c r="AB1" s="1742"/>
    </row>
    <row r="2" spans="1:30">
      <c r="A2" s="2364" t="s">
        <v>2164</v>
      </c>
      <c r="B2" s="2368"/>
      <c r="C2" s="2369"/>
      <c r="D2" s="2665"/>
      <c r="E2" s="2657"/>
      <c r="F2" s="2657"/>
      <c r="G2" s="2658"/>
      <c r="H2" s="2658"/>
      <c r="I2" s="2658"/>
      <c r="J2" s="2466"/>
      <c r="K2" s="2365"/>
      <c r="L2" s="2366"/>
      <c r="M2" s="2366"/>
      <c r="N2" s="2367"/>
      <c r="O2" s="1573"/>
      <c r="P2" s="2367"/>
      <c r="Q2" s="2367"/>
      <c r="R2" s="2367"/>
      <c r="S2" s="1679" t="str">
        <f>IF(B10="北京市","北京市",C10)&amp;F10&amp;IF('结果表-负2层'!G1="在建","出让国有建设用地使用权及在建建筑物房地产",IF('结果表-负2层'!G1="土地","出让国有建设用地使用权","房地产"))</f>
        <v>北京市朝阳区清林东路4号6号楼负2层B202、负3层B302商业用房房地产</v>
      </c>
      <c r="T2" s="1742"/>
      <c r="U2" s="1742"/>
      <c r="V2" s="1742"/>
      <c r="W2" s="1742"/>
      <c r="X2" s="1742"/>
      <c r="Y2" s="1742"/>
      <c r="Z2" s="1742"/>
      <c r="AA2" s="1742"/>
      <c r="AB2" s="1742"/>
    </row>
    <row r="3" spans="1:30">
      <c r="A3" s="302" t="s">
        <v>2165</v>
      </c>
      <c r="B3" s="2370">
        <v>45189</v>
      </c>
      <c r="C3" s="2371" t="s">
        <v>2166</v>
      </c>
      <c r="D3" s="2370">
        <f>B3</f>
        <v>45189</v>
      </c>
      <c r="E3" s="2658"/>
      <c r="F3" s="2658"/>
      <c r="G3" s="2658"/>
      <c r="H3" s="2658"/>
      <c r="I3" s="2658"/>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2167</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4"/>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59"/>
      <c r="F5" s="2659"/>
      <c r="G5" s="2659"/>
      <c r="H5" s="2659"/>
      <c r="I5" s="2659"/>
      <c r="J5" s="2434"/>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7"/>
      <c r="F6" s="2659"/>
      <c r="G6" s="2659"/>
      <c r="H6" s="2659"/>
      <c r="I6" s="2659"/>
      <c r="J6" s="2434"/>
      <c r="K6" s="2610" t="str">
        <f>IF(COUNTIF(B6,"*上海银行*"),"上海银行","")</f>
        <v/>
      </c>
      <c r="L6" s="2608"/>
      <c r="M6" s="2608"/>
      <c r="N6" s="2434"/>
      <c r="O6" s="2445"/>
      <c r="P6" s="2434"/>
      <c r="Q6" s="2434"/>
      <c r="R6" s="2434"/>
    </row>
    <row r="7" spans="1:30" ht="36">
      <c r="A7" s="2380" t="s">
        <v>2170</v>
      </c>
      <c r="B7" s="3638" t="s">
        <v>4211</v>
      </c>
      <c r="C7" s="2382"/>
      <c r="D7" s="2383"/>
      <c r="E7" s="2657"/>
      <c r="F7" s="2659"/>
      <c r="G7" s="2659"/>
      <c r="H7" s="2659"/>
      <c r="I7" s="2659"/>
      <c r="J7" s="2434"/>
      <c r="K7" s="2611"/>
      <c r="L7" s="2608"/>
      <c r="M7" s="2608"/>
      <c r="N7" s="2434"/>
      <c r="O7" s="2445"/>
      <c r="P7" s="2434"/>
      <c r="Q7" s="2434"/>
      <c r="R7" s="2434"/>
    </row>
    <row r="8" spans="1:30">
      <c r="A8" s="2384" t="s">
        <v>2171</v>
      </c>
      <c r="B8" s="2385" t="s">
        <v>3375</v>
      </c>
      <c r="C8" s="2386"/>
      <c r="D8" s="3698" t="s">
        <v>2172</v>
      </c>
      <c r="E8" s="2387" t="s">
        <v>3376</v>
      </c>
      <c r="F8" s="2388"/>
      <c r="G8" s="2658"/>
      <c r="H8" s="2658"/>
      <c r="I8" s="2658"/>
      <c r="J8" s="2434"/>
      <c r="K8" s="2609"/>
      <c r="L8" s="2608"/>
      <c r="M8" s="2608"/>
      <c r="N8" s="2434"/>
      <c r="O8" s="2445"/>
      <c r="P8" s="2434"/>
      <c r="Q8" s="2434"/>
      <c r="R8" s="2434"/>
    </row>
    <row r="9" spans="1:30" ht="13.5" thickBot="1">
      <c r="A9" s="2389" t="s">
        <v>2173</v>
      </c>
      <c r="B9" s="2390" t="s">
        <v>3376</v>
      </c>
      <c r="C9" s="2391"/>
      <c r="D9" s="3699"/>
      <c r="E9" s="2390"/>
      <c r="F9" s="2392"/>
      <c r="G9" s="2660"/>
      <c r="H9" s="2660"/>
      <c r="I9" s="2660"/>
      <c r="J9" s="2434"/>
      <c r="K9" s="2611"/>
      <c r="L9" s="2608"/>
      <c r="M9" s="2608"/>
      <c r="N9" s="2434"/>
      <c r="O9" s="2445"/>
      <c r="P9" s="2434"/>
      <c r="Q9" s="2434"/>
      <c r="R9" s="2434"/>
    </row>
    <row r="10" spans="1:30" ht="13.5" thickTop="1">
      <c r="A10" s="2393" t="s">
        <v>2174</v>
      </c>
      <c r="B10" s="2394" t="s">
        <v>3377</v>
      </c>
      <c r="C10" s="3630" t="s">
        <v>4197</v>
      </c>
      <c r="D10" s="2379"/>
      <c r="E10" s="2395" t="s">
        <v>2175</v>
      </c>
      <c r="F10" s="2661" t="s">
        <v>4227</v>
      </c>
      <c r="G10" s="2662"/>
      <c r="H10" s="2663"/>
      <c r="I10" s="2664"/>
      <c r="J10" s="2434"/>
      <c r="K10" s="2611"/>
      <c r="L10" s="2608"/>
      <c r="M10" s="2608"/>
      <c r="N10" s="2434"/>
      <c r="O10" s="2445"/>
      <c r="P10" s="2434"/>
      <c r="Q10" s="2434"/>
      <c r="R10" s="2434"/>
    </row>
    <row r="11" spans="1:30">
      <c r="A11" s="2396" t="s">
        <v>2176</v>
      </c>
      <c r="B11" s="2397" t="s">
        <v>3378</v>
      </c>
      <c r="C11" s="2398"/>
      <c r="D11" s="2399"/>
      <c r="E11" s="2367"/>
      <c r="F11" s="2367"/>
      <c r="G11" s="2367"/>
      <c r="H11" s="2367"/>
      <c r="I11" s="2367"/>
      <c r="J11" s="3056"/>
      <c r="K11" s="3055"/>
      <c r="L11" s="2608"/>
      <c r="M11" s="2608"/>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4" t="s">
        <v>2575</v>
      </c>
      <c r="J12" s="3057"/>
      <c r="K12" s="2608"/>
      <c r="L12" s="2608"/>
      <c r="M12" s="2434"/>
      <c r="N12" s="2445"/>
      <c r="O12" s="2434"/>
      <c r="P12" s="2434"/>
      <c r="Q12" s="2434"/>
      <c r="AD12" s="1742"/>
    </row>
    <row r="13" spans="1:30">
      <c r="A13" s="3418" t="s">
        <v>3333</v>
      </c>
      <c r="B13" s="2402" t="s">
        <v>2185</v>
      </c>
      <c r="C13" s="853"/>
      <c r="D13" s="3641">
        <v>55156</v>
      </c>
      <c r="E13" s="853"/>
      <c r="F13" s="3641">
        <v>58809</v>
      </c>
      <c r="G13" s="853"/>
      <c r="H13" s="853"/>
      <c r="I13" s="853"/>
      <c r="J13" s="3057"/>
      <c r="K13" s="2608"/>
      <c r="L13" s="2608"/>
      <c r="M13" s="2434"/>
      <c r="N13" s="2445"/>
      <c r="O13" s="2434"/>
      <c r="P13" s="2434"/>
      <c r="Q13" s="2434"/>
      <c r="AD13" s="1742"/>
    </row>
    <row r="14" spans="1:30">
      <c r="A14" s="1078"/>
      <c r="B14" s="2402" t="s">
        <v>2186</v>
      </c>
      <c r="C14" s="2403"/>
      <c r="D14" s="2403">
        <v>40</v>
      </c>
      <c r="E14" s="2403"/>
      <c r="F14" s="2403">
        <v>50</v>
      </c>
      <c r="G14" s="2403"/>
      <c r="H14" s="2403"/>
      <c r="I14" s="2403"/>
      <c r="J14" s="3058"/>
      <c r="K14" s="2608"/>
      <c r="L14" s="2608"/>
      <c r="M14" s="2434"/>
      <c r="N14" s="2445"/>
      <c r="O14" s="2434"/>
      <c r="P14" s="2434"/>
      <c r="Q14" s="2434"/>
      <c r="AD14" s="1742"/>
    </row>
    <row r="15" spans="1:30">
      <c r="A15" s="320"/>
      <c r="B15" s="2404" t="s">
        <v>2187</v>
      </c>
      <c r="C15" s="2405" t="str">
        <f>IF(A13="出让",IF(C13="","",ROUNDDOWN(MIN((C13-$D$3)/365,C14),2)),C14)</f>
        <v/>
      </c>
      <c r="D15" s="2405">
        <f>IF(A13="出让",IF(D13="","",ROUNDDOWN(MIN((D13-$D$3)/365,D14),2)),D14)</f>
        <v>27.3</v>
      </c>
      <c r="E15" s="2405" t="str">
        <f>IF(A13="出让",IF(E13="","",ROUNDDOWN(MIN((E13-$D$3)/365,E14),2)),E14)</f>
        <v/>
      </c>
      <c r="F15" s="2405">
        <f>IF(A13="出让",IF(F13="","",ROUNDDOWN(MIN((F13-$D$3)/365,F14),2)),F14)</f>
        <v>37.31</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2188</v>
      </c>
      <c r="B16" s="3705"/>
      <c r="C16" s="3706"/>
      <c r="D16" s="3707"/>
      <c r="E16" s="2408" t="s">
        <v>2189</v>
      </c>
      <c r="F16" s="3708"/>
      <c r="G16" s="3709"/>
      <c r="H16" s="3709"/>
      <c r="I16" s="3710"/>
      <c r="J16" s="2434"/>
      <c r="K16" s="2612"/>
      <c r="L16" s="2446"/>
      <c r="M16" s="2446"/>
      <c r="N16" s="2504"/>
      <c r="O16" s="2446"/>
      <c r="P16" s="2504"/>
      <c r="Q16" s="2434"/>
      <c r="R16" s="2434"/>
    </row>
    <row r="17" spans="1:28">
      <c r="A17" s="313" t="s">
        <v>2190</v>
      </c>
      <c r="B17" s="302" t="s">
        <v>2191</v>
      </c>
      <c r="C17" s="8">
        <f>'数据-汇总表'!E3</f>
        <v>5979.5300000000007</v>
      </c>
      <c r="D17" s="2319" t="s">
        <v>2192</v>
      </c>
      <c r="E17" s="3711" t="s">
        <v>2193</v>
      </c>
      <c r="F17" s="3712"/>
      <c r="G17" s="3712"/>
      <c r="H17" s="3712"/>
      <c r="I17" s="3713"/>
      <c r="J17" s="2434"/>
      <c r="K17" s="2613"/>
      <c r="L17" s="2446"/>
      <c r="M17" s="2446"/>
      <c r="N17" s="2504"/>
      <c r="O17" s="2446"/>
      <c r="P17" s="2504"/>
      <c r="Q17" s="2434"/>
      <c r="R17" s="2434"/>
      <c r="S17" s="2434"/>
      <c r="T17" s="2434"/>
      <c r="U17" s="2434"/>
      <c r="V17" s="2434"/>
    </row>
    <row r="18" spans="1:28" ht="24.75" thickBot="1">
      <c r="A18" s="2409" t="s">
        <v>2194</v>
      </c>
      <c r="B18" s="1087" t="s">
        <v>2195</v>
      </c>
      <c r="C18" s="2410">
        <f>'数据-汇总表'!D3</f>
        <v>755.66</v>
      </c>
      <c r="D18" s="1089" t="s">
        <v>2196</v>
      </c>
      <c r="E18" s="3714" t="s">
        <v>2197</v>
      </c>
      <c r="F18" s="3715"/>
      <c r="G18" s="3715"/>
      <c r="H18" s="3715"/>
      <c r="I18" s="3716"/>
      <c r="J18" s="2434"/>
      <c r="K18" s="2613"/>
      <c r="L18" s="2446"/>
      <c r="M18" s="2446"/>
      <c r="N18" s="2504"/>
      <c r="O18" s="2446"/>
      <c r="P18" s="2504"/>
      <c r="Q18" s="2434"/>
      <c r="R18" s="2434"/>
      <c r="S18" s="2434"/>
      <c r="T18" s="2434"/>
      <c r="U18" s="2434"/>
      <c r="V18" s="2434"/>
    </row>
    <row r="19" spans="1:28" ht="37.5" thickTop="1" thickBot="1">
      <c r="A19" s="327" t="s">
        <v>1053</v>
      </c>
      <c r="B19" s="307" t="s">
        <v>2198</v>
      </c>
      <c r="C19" s="1560"/>
      <c r="D19" s="1561" t="s">
        <v>2199</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2200</v>
      </c>
      <c r="B20" s="3701" t="s">
        <v>2201</v>
      </c>
      <c r="C20" s="3702"/>
      <c r="D20" s="3703" t="s">
        <v>2202</v>
      </c>
      <c r="E20" s="3704"/>
      <c r="F20" s="2642" t="s">
        <v>1054</v>
      </c>
      <c r="G20" s="2659"/>
      <c r="H20" s="2659"/>
      <c r="I20" s="2659"/>
      <c r="J20" s="2434"/>
      <c r="K20" s="3700"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7"/>
      <c r="O20" s="2406"/>
      <c r="P20" s="2407"/>
      <c r="Q20" s="2367"/>
      <c r="R20" s="2367"/>
      <c r="S20" s="2367"/>
      <c r="T20" s="2367"/>
      <c r="U20" s="2367"/>
      <c r="V20" s="2367"/>
      <c r="W20" s="1742"/>
      <c r="X20" s="1742"/>
      <c r="Y20" s="1742"/>
      <c r="Z20" s="1742"/>
      <c r="AA20" s="1742"/>
      <c r="AB20" s="1742"/>
    </row>
    <row r="21" spans="1:28" ht="24.75" thickBot="1">
      <c r="A21" s="2627"/>
      <c r="B21" s="2628" t="s">
        <v>2204</v>
      </c>
      <c r="C21" s="2629" t="s">
        <v>1055</v>
      </c>
      <c r="D21" s="1565" t="s">
        <v>2205</v>
      </c>
      <c r="E21" s="2630" t="s">
        <v>1055</v>
      </c>
      <c r="F21" s="2643"/>
      <c r="G21" s="2659"/>
      <c r="H21" s="2659"/>
      <c r="I21" s="2659"/>
      <c r="J21" s="2434"/>
      <c r="K21" s="37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7"/>
      <c r="O21" s="2406"/>
      <c r="P21" s="2407"/>
      <c r="Q21" s="2367"/>
      <c r="R21" s="2367"/>
      <c r="S21" s="2367"/>
      <c r="T21" s="2367"/>
      <c r="U21" s="2367"/>
      <c r="V21" s="2367"/>
      <c r="W21" s="1742"/>
      <c r="X21" s="1742"/>
      <c r="Y21" s="1742"/>
      <c r="Z21" s="1742"/>
      <c r="AA21" s="1742"/>
      <c r="AB21" s="1742"/>
    </row>
    <row r="22" spans="1:28" ht="24.75" thickBot="1">
      <c r="A22" s="2627"/>
      <c r="B22" s="2631" t="s">
        <v>2206</v>
      </c>
      <c r="C22" s="2629" t="s">
        <v>1056</v>
      </c>
      <c r="D22" s="2658"/>
      <c r="E22" s="2658"/>
      <c r="F22" s="2658"/>
      <c r="G22" s="2659"/>
      <c r="H22" s="2659"/>
      <c r="I22" s="2659"/>
      <c r="J22" s="2434"/>
      <c r="K22" s="3700"/>
      <c r="L22" s="684" t="str">
        <f>IF(E19="否","",IF('结果表-负2层'!D36="同一抵押权人同一抵押物续贷","由于本次评估为同一抵押权人的续贷房地产抵押估价，故未将已抵押担保的债权数额（"&amp;C26&amp;"）作为法定优先受偿款予以扣减。",IF('结果表-负2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2"/>
      <c r="X22" s="1742"/>
      <c r="Y22" s="1742"/>
      <c r="Z22" s="1742"/>
      <c r="AA22" s="1742"/>
      <c r="AB22" s="1742"/>
    </row>
    <row r="23" spans="1:28">
      <c r="A23" s="2632" t="s">
        <v>2207</v>
      </c>
      <c r="B23" s="2497" t="s">
        <v>2208</v>
      </c>
      <c r="C23" s="2633"/>
      <c r="D23" s="2634" t="s">
        <v>2208</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88" t="s">
        <v>2209</v>
      </c>
      <c r="B27" s="320" t="s">
        <v>2210</v>
      </c>
      <c r="C27" s="2411" t="s">
        <v>3379</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688"/>
      <c r="B28" s="302" t="s">
        <v>2211</v>
      </c>
      <c r="C28" s="2413" t="s">
        <v>3380</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688"/>
      <c r="B29" s="302" t="s">
        <v>2212</v>
      </c>
      <c r="C29" s="2415" t="s">
        <v>3381</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689"/>
      <c r="B30" s="302" t="s">
        <v>2213</v>
      </c>
      <c r="C30" s="3690"/>
      <c r="D30" s="3691"/>
      <c r="E30" s="2659"/>
      <c r="F30" s="2659"/>
      <c r="G30" s="2659"/>
      <c r="H30" s="2659"/>
      <c r="I30" s="2659"/>
      <c r="J30" s="2434"/>
      <c r="K30" s="2611"/>
      <c r="L30" s="2608"/>
      <c r="M30" s="2608"/>
      <c r="N30" s="2434"/>
      <c r="O30" s="2445"/>
      <c r="P30" s="2434"/>
      <c r="Q30" s="2434"/>
      <c r="R30" s="2434"/>
      <c r="S30" s="2434"/>
      <c r="T30" s="2434"/>
      <c r="U30" s="2434"/>
      <c r="V30" s="2434"/>
    </row>
    <row r="31" spans="1:28">
      <c r="A31" s="3692" t="s">
        <v>2214</v>
      </c>
      <c r="B31" s="2417" t="s">
        <v>3382</v>
      </c>
      <c r="C31" s="2320" t="str">
        <f>IF(B31="现房","成新及维护状况正常否",IF(B31="在建","工程状态是否正常",IF(B31="土地","是否闲置","-")))</f>
        <v>成新及维护状况正常否</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693"/>
      <c r="B32" s="2417"/>
      <c r="C32" s="2320"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693"/>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2215</v>
      </c>
      <c r="B34" s="2023" t="s">
        <v>3383</v>
      </c>
      <c r="C34" s="2023" t="s">
        <v>3384</v>
      </c>
      <c r="D34" s="2023" t="s">
        <v>3385</v>
      </c>
      <c r="E34" s="2023" t="s">
        <v>3386</v>
      </c>
      <c r="F34" s="2023" t="s">
        <v>3387</v>
      </c>
      <c r="G34" s="2023" t="s">
        <v>3388</v>
      </c>
      <c r="H34" s="2023" t="s">
        <v>3389</v>
      </c>
      <c r="I34" s="2659"/>
      <c r="J34" s="2434"/>
      <c r="K34" s="2422">
        <f>COUNTIF(B34:H34,"——")</f>
        <v>0</v>
      </c>
      <c r="L34" s="323" t="s">
        <v>2216</v>
      </c>
      <c r="M34" s="323" t="s">
        <v>2217</v>
      </c>
      <c r="N34" s="323" t="s">
        <v>2218</v>
      </c>
      <c r="O34" s="323" t="s">
        <v>2219</v>
      </c>
      <c r="P34" s="323" t="s">
        <v>2220</v>
      </c>
      <c r="Q34" s="323" t="s">
        <v>2221</v>
      </c>
      <c r="R34" s="323" t="s">
        <v>2222</v>
      </c>
      <c r="S34" s="3687" t="s">
        <v>2223</v>
      </c>
      <c r="T34" s="2423" t="str">
        <f>NUMBERSTRING(7-K34,1)&amp;"通"</f>
        <v>七通</v>
      </c>
      <c r="U34" s="2434"/>
      <c r="V34" s="2434"/>
    </row>
    <row r="35" spans="1:30">
      <c r="A35" s="2424"/>
      <c r="B35" s="3694" t="s">
        <v>2224</v>
      </c>
      <c r="C35" s="3694"/>
      <c r="D35" s="3694"/>
      <c r="E35" s="3694"/>
      <c r="F35" s="664" t="str">
        <f>C10</f>
        <v>北京市</v>
      </c>
      <c r="G35" s="2659"/>
      <c r="H35" s="2659"/>
      <c r="I35" s="2659"/>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87"/>
      <c r="T35" s="329" t="str">
        <f>IF(T34="一通",L35,IF(T34="二通",M35,IF(T34="三通",N35,IF(T34="四通",O35,IF(T34="五通",P35,IF(T34="六通",Q35,R35))))))</f>
        <v>通路、通电、通讯、通上水、通下水、通热、燃气</v>
      </c>
      <c r="U35" s="2434"/>
      <c r="V35" s="2434"/>
    </row>
    <row r="36" spans="1:30">
      <c r="A36" s="2425"/>
      <c r="B36" s="664" t="s">
        <v>2180</v>
      </c>
      <c r="C36" s="664" t="s">
        <v>2181</v>
      </c>
      <c r="D36" s="664" t="s">
        <v>2179</v>
      </c>
      <c r="E36" s="664" t="s">
        <v>2184</v>
      </c>
      <c r="F36" s="3060" t="s">
        <v>2578</v>
      </c>
      <c r="G36" s="2659"/>
      <c r="H36" s="2659"/>
      <c r="I36" s="2659"/>
      <c r="J36" s="2434"/>
      <c r="K36" s="2611"/>
      <c r="L36" s="2608"/>
      <c r="M36" s="2608"/>
      <c r="N36" s="2434"/>
      <c r="O36" s="2445"/>
      <c r="P36" s="2434"/>
      <c r="Q36" s="2434"/>
      <c r="R36" s="2434"/>
      <c r="S36" s="2434"/>
      <c r="T36" s="2434"/>
      <c r="U36" s="2434"/>
      <c r="V36" s="2434"/>
    </row>
    <row r="37" spans="1:30">
      <c r="A37" s="2625" t="s">
        <v>2225</v>
      </c>
      <c r="B37" s="2426" t="s">
        <v>303</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t="s">
        <v>2984</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6"/>
      <c r="M40" s="2446"/>
      <c r="N40" s="2504"/>
      <c r="O40" s="2446"/>
      <c r="P40" s="2434"/>
      <c r="Q40" s="2434"/>
      <c r="R40" s="2434"/>
      <c r="S40" s="2434"/>
      <c r="T40" s="2434"/>
      <c r="U40" s="2434"/>
      <c r="V40" s="2434"/>
    </row>
    <row r="41" spans="1:30">
      <c r="A41" s="2431" t="s">
        <v>2228</v>
      </c>
      <c r="B41" s="1754"/>
      <c r="C41" s="1370"/>
      <c r="D41" s="2367"/>
      <c r="E41" s="2367"/>
      <c r="F41" s="2367"/>
      <c r="G41" s="2367"/>
      <c r="H41" s="2367"/>
      <c r="I41" s="1573"/>
      <c r="J41" s="2434"/>
      <c r="K41" s="2611"/>
      <c r="L41" s="2608"/>
      <c r="M41" s="2608"/>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清单!C287</f>
        <v>755.66</v>
      </c>
      <c r="B3" s="11">
        <f>IF(C3="否",G5-AT5,G5)</f>
        <v>5979.5300000000007</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5979.5300000000007</v>
      </c>
      <c r="H5" s="13">
        <f t="shared" ref="H5:AT5" si="0">SUM(H13:H656)</f>
        <v>5979.5300000000007</v>
      </c>
      <c r="I5" s="13">
        <f t="shared" si="0"/>
        <v>2852.38</v>
      </c>
      <c r="J5" s="13">
        <f t="shared" si="0"/>
        <v>0</v>
      </c>
      <c r="K5" s="13">
        <f t="shared" si="0"/>
        <v>3127.15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5979.5300000000007</v>
      </c>
      <c r="BA5" s="15">
        <f t="shared" si="1"/>
        <v>5979.5300000000007</v>
      </c>
      <c r="BB5" s="15">
        <f t="shared" si="1"/>
        <v>2852.38</v>
      </c>
      <c r="BC5" s="15">
        <f t="shared" si="1"/>
        <v>3127.15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755.66000000000008</v>
      </c>
      <c r="F6" s="13" t="s">
        <v>0</v>
      </c>
      <c r="G6" s="13" t="s">
        <v>1</v>
      </c>
      <c r="H6" s="17">
        <f>SUMIF(I$12:AB$12,"总值",I6:AB6)</f>
        <v>755.66000000000008</v>
      </c>
      <c r="I6" s="13">
        <f t="shared" ref="I6:AB6" si="2">ROUND($A$3*I5/$B$3,2)</f>
        <v>360.47</v>
      </c>
      <c r="J6" s="13">
        <f t="shared" si="2"/>
        <v>0</v>
      </c>
      <c r="K6" s="13">
        <f t="shared" si="2"/>
        <v>395.19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755.66</v>
      </c>
      <c r="AZ6" s="13" t="s">
        <v>2</v>
      </c>
      <c r="BA6" s="13">
        <f>ROUND($AY$6*BA5/$AZ$5,2)</f>
        <v>755.66</v>
      </c>
      <c r="BB6" s="13">
        <f>ROUND($AY$6*BB5/$AZ$5,2)</f>
        <v>360.47</v>
      </c>
      <c r="BC6" s="13">
        <f t="shared" ref="BC6:BH6" si="4">ROUND($AY$6*BC5/$AZ$5,2)</f>
        <v>395.19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3660</v>
      </c>
      <c r="J9" s="806"/>
      <c r="K9" s="1600" t="s">
        <v>3660</v>
      </c>
      <c r="L9" s="806"/>
      <c r="M9" s="1600" t="s">
        <v>3660</v>
      </c>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671</v>
      </c>
      <c r="J10" s="806"/>
      <c r="K10" s="3642" t="s">
        <v>671</v>
      </c>
      <c r="L10" s="806"/>
      <c r="M10" s="1606" t="s">
        <v>3334</v>
      </c>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地下</v>
      </c>
      <c r="BC10" s="26" t="str">
        <f>K9</f>
        <v>地下</v>
      </c>
      <c r="BD10" s="26" t="str">
        <f>M9</f>
        <v>地下</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车库</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3661</v>
      </c>
      <c r="E13" s="13">
        <f>IF($C$3="是",ROUND($A$3*G13/$B$3,2),ROUND($A$3*(G13-AT13)/$B$3,2))</f>
        <v>755.66</v>
      </c>
      <c r="F13" s="29"/>
      <c r="G13" s="30">
        <f>H13+AC13+AT13</f>
        <v>5979.5300000000007</v>
      </c>
      <c r="H13" s="17">
        <f>SUMIF(I$12:AB$12,"总值",I13:AB13)</f>
        <v>5979.5300000000007</v>
      </c>
      <c r="I13" s="1623">
        <f>清单!B279</f>
        <v>2852.38</v>
      </c>
      <c r="J13" s="1623"/>
      <c r="K13" s="1623">
        <f>清单!B280</f>
        <v>3127.15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755.66</v>
      </c>
      <c r="AZ13" s="13">
        <f>BA13+BL13</f>
        <v>5979.5300000000007</v>
      </c>
      <c r="BA13" s="13">
        <f>SUM(BB13:BK13)</f>
        <v>5979.5300000000007</v>
      </c>
      <c r="BB13" s="13">
        <f>IF($D13="是",I13-J13,0)</f>
        <v>2852.38</v>
      </c>
      <c r="BC13" s="13">
        <f>IF($D13="是",K13-L13,0)</f>
        <v>3127.15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B281" sqref="B281"/>
    </sheetView>
  </sheetViews>
  <sheetFormatPr defaultRowHeight="20.100000000000001" customHeight="1"/>
  <cols>
    <col min="1" max="1" width="5.875" customWidth="1"/>
    <col min="2" max="2" width="24" customWidth="1"/>
    <col min="3" max="3" width="6.875" customWidth="1"/>
    <col min="4" max="4" width="7.875" customWidth="1"/>
    <col min="6" max="6" width="9.5" style="3639" bestFit="1" customWidth="1"/>
  </cols>
  <sheetData>
    <row r="1" spans="1:7" ht="20.100000000000001" customHeight="1">
      <c r="A1" s="3478" t="s">
        <v>3390</v>
      </c>
      <c r="B1" s="3478" t="s">
        <v>3391</v>
      </c>
      <c r="C1" s="3478" t="s">
        <v>3392</v>
      </c>
      <c r="D1" s="3478" t="s">
        <v>3393</v>
      </c>
      <c r="E1" s="3478" t="s">
        <v>3394</v>
      </c>
      <c r="F1" s="3481" t="s">
        <v>3696</v>
      </c>
      <c r="G1" s="3478" t="s">
        <v>3395</v>
      </c>
    </row>
    <row r="2" spans="1:7" ht="20.100000000000001" customHeight="1">
      <c r="A2" s="3478">
        <v>1</v>
      </c>
      <c r="B2" s="3478" t="s">
        <v>3396</v>
      </c>
      <c r="C2" s="3478" t="s">
        <v>3397</v>
      </c>
      <c r="D2" s="3478" t="s">
        <v>3398</v>
      </c>
      <c r="E2" s="3478" t="s">
        <v>3399</v>
      </c>
      <c r="F2" s="3481">
        <v>43.36</v>
      </c>
      <c r="G2" s="3478"/>
    </row>
    <row r="3" spans="1:7" ht="20.100000000000001" customHeight="1">
      <c r="A3" s="3478">
        <v>2</v>
      </c>
      <c r="B3" s="3478" t="s">
        <v>3396</v>
      </c>
      <c r="C3" s="3478" t="s">
        <v>3397</v>
      </c>
      <c r="D3" s="3478" t="s">
        <v>3400</v>
      </c>
      <c r="E3" s="3478" t="s">
        <v>3399</v>
      </c>
      <c r="F3" s="3481">
        <v>43.36</v>
      </c>
      <c r="G3" s="3478"/>
    </row>
    <row r="4" spans="1:7" ht="20.100000000000001" customHeight="1">
      <c r="A4" s="3478">
        <v>3</v>
      </c>
      <c r="B4" s="3478" t="s">
        <v>3396</v>
      </c>
      <c r="C4" s="3478" t="s">
        <v>3397</v>
      </c>
      <c r="D4" s="3478" t="s">
        <v>3401</v>
      </c>
      <c r="E4" s="3478" t="s">
        <v>3399</v>
      </c>
      <c r="F4" s="3481">
        <v>45.24</v>
      </c>
      <c r="G4" s="3478"/>
    </row>
    <row r="5" spans="1:7" ht="20.100000000000001" customHeight="1">
      <c r="A5" s="3478">
        <v>4</v>
      </c>
      <c r="B5" s="3478" t="s">
        <v>3396</v>
      </c>
      <c r="C5" s="3478" t="s">
        <v>3397</v>
      </c>
      <c r="D5" s="3478" t="s">
        <v>3402</v>
      </c>
      <c r="E5" s="3478" t="s">
        <v>3399</v>
      </c>
      <c r="F5" s="3481">
        <v>43.36</v>
      </c>
      <c r="G5" s="3478"/>
    </row>
    <row r="6" spans="1:7" ht="20.100000000000001" customHeight="1">
      <c r="A6" s="3478">
        <v>5</v>
      </c>
      <c r="B6" s="3478" t="s">
        <v>3396</v>
      </c>
      <c r="C6" s="3478" t="s">
        <v>3397</v>
      </c>
      <c r="D6" s="3478" t="s">
        <v>3403</v>
      </c>
      <c r="E6" s="3478" t="s">
        <v>3399</v>
      </c>
      <c r="F6" s="3481">
        <v>45.24</v>
      </c>
      <c r="G6" s="3478"/>
    </row>
    <row r="7" spans="1:7" ht="20.100000000000001" customHeight="1">
      <c r="A7" s="3478">
        <v>6</v>
      </c>
      <c r="B7" s="3478" t="s">
        <v>3396</v>
      </c>
      <c r="C7" s="3478" t="s">
        <v>3397</v>
      </c>
      <c r="D7" s="3478" t="s">
        <v>3404</v>
      </c>
      <c r="E7" s="3478" t="s">
        <v>3399</v>
      </c>
      <c r="F7" s="3481">
        <v>45.24</v>
      </c>
      <c r="G7" s="3478"/>
    </row>
    <row r="8" spans="1:7" ht="20.100000000000001" customHeight="1">
      <c r="A8" s="3478">
        <v>7</v>
      </c>
      <c r="B8" s="3478" t="s">
        <v>3396</v>
      </c>
      <c r="C8" s="3478" t="s">
        <v>3397</v>
      </c>
      <c r="D8" s="3478" t="s">
        <v>3405</v>
      </c>
      <c r="E8" s="3478" t="s">
        <v>3399</v>
      </c>
      <c r="F8" s="3481">
        <v>45.24</v>
      </c>
      <c r="G8" s="3478"/>
    </row>
    <row r="9" spans="1:7" ht="20.100000000000001" customHeight="1">
      <c r="A9" s="3478">
        <v>8</v>
      </c>
      <c r="B9" s="3478" t="s">
        <v>3396</v>
      </c>
      <c r="C9" s="3478" t="s">
        <v>3397</v>
      </c>
      <c r="D9" s="3478" t="s">
        <v>3406</v>
      </c>
      <c r="E9" s="3478" t="s">
        <v>3399</v>
      </c>
      <c r="F9" s="3481">
        <v>45.24</v>
      </c>
      <c r="G9" s="3478"/>
    </row>
    <row r="10" spans="1:7" ht="20.100000000000001" customHeight="1">
      <c r="A10" s="3478">
        <v>9</v>
      </c>
      <c r="B10" s="3478" t="s">
        <v>3396</v>
      </c>
      <c r="C10" s="3478" t="s">
        <v>3397</v>
      </c>
      <c r="D10" s="3478" t="s">
        <v>3407</v>
      </c>
      <c r="E10" s="3478" t="s">
        <v>3399</v>
      </c>
      <c r="F10" s="3481">
        <v>47.05</v>
      </c>
      <c r="G10" s="3478"/>
    </row>
    <row r="11" spans="1:7" ht="20.100000000000001" customHeight="1">
      <c r="A11" s="3478">
        <v>10</v>
      </c>
      <c r="B11" s="3478" t="s">
        <v>3396</v>
      </c>
      <c r="C11" s="3478" t="s">
        <v>3397</v>
      </c>
      <c r="D11" s="3478" t="s">
        <v>3408</v>
      </c>
      <c r="E11" s="3478" t="s">
        <v>3399</v>
      </c>
      <c r="F11" s="3481">
        <v>47.05</v>
      </c>
      <c r="G11" s="3478"/>
    </row>
    <row r="12" spans="1:7" ht="20.100000000000001" customHeight="1">
      <c r="A12" s="3478">
        <v>11</v>
      </c>
      <c r="B12" s="3478" t="s">
        <v>3396</v>
      </c>
      <c r="C12" s="3478" t="s">
        <v>3397</v>
      </c>
      <c r="D12" s="3478" t="s">
        <v>3409</v>
      </c>
      <c r="E12" s="3478" t="s">
        <v>3399</v>
      </c>
      <c r="F12" s="3481">
        <v>47.01</v>
      </c>
      <c r="G12" s="3478"/>
    </row>
    <row r="13" spans="1:7" ht="20.100000000000001" customHeight="1">
      <c r="A13" s="3478">
        <v>12</v>
      </c>
      <c r="B13" s="3478" t="s">
        <v>3396</v>
      </c>
      <c r="C13" s="3478" t="s">
        <v>3397</v>
      </c>
      <c r="D13" s="3478" t="s">
        <v>3410</v>
      </c>
      <c r="E13" s="3478" t="s">
        <v>3399</v>
      </c>
      <c r="F13" s="3481">
        <v>45.24</v>
      </c>
      <c r="G13" s="3478"/>
    </row>
    <row r="14" spans="1:7" ht="20.100000000000001" customHeight="1">
      <c r="A14" s="3478">
        <v>13</v>
      </c>
      <c r="B14" s="3478" t="s">
        <v>3396</v>
      </c>
      <c r="C14" s="3478" t="s">
        <v>3397</v>
      </c>
      <c r="D14" s="3478" t="s">
        <v>3411</v>
      </c>
      <c r="E14" s="3478" t="s">
        <v>3399</v>
      </c>
      <c r="F14" s="3481">
        <v>43.36</v>
      </c>
      <c r="G14" s="3478"/>
    </row>
    <row r="15" spans="1:7" ht="20.100000000000001" customHeight="1">
      <c r="A15" s="3478">
        <v>14</v>
      </c>
      <c r="B15" s="3478" t="s">
        <v>3396</v>
      </c>
      <c r="C15" s="3478" t="s">
        <v>3397</v>
      </c>
      <c r="D15" s="3478" t="s">
        <v>3412</v>
      </c>
      <c r="E15" s="3478" t="s">
        <v>3399</v>
      </c>
      <c r="F15" s="3481">
        <v>45.24</v>
      </c>
      <c r="G15" s="3478"/>
    </row>
    <row r="16" spans="1:7" ht="20.100000000000001" customHeight="1">
      <c r="A16" s="3478">
        <v>15</v>
      </c>
      <c r="B16" s="3478" t="s">
        <v>3396</v>
      </c>
      <c r="C16" s="3478" t="s">
        <v>3397</v>
      </c>
      <c r="D16" s="3478" t="s">
        <v>3413</v>
      </c>
      <c r="E16" s="3478" t="s">
        <v>3399</v>
      </c>
      <c r="F16" s="3481">
        <v>45.24</v>
      </c>
      <c r="G16" s="3478"/>
    </row>
    <row r="17" spans="1:7" ht="20.100000000000001" customHeight="1">
      <c r="A17" s="3478">
        <v>16</v>
      </c>
      <c r="B17" s="3478" t="s">
        <v>3396</v>
      </c>
      <c r="C17" s="3478" t="s">
        <v>3397</v>
      </c>
      <c r="D17" s="3478" t="s">
        <v>3414</v>
      </c>
      <c r="E17" s="3478" t="s">
        <v>3399</v>
      </c>
      <c r="F17" s="3481">
        <v>39.590000000000003</v>
      </c>
      <c r="G17" s="3478"/>
    </row>
    <row r="18" spans="1:7" ht="20.100000000000001" customHeight="1">
      <c r="A18" s="3478">
        <v>17</v>
      </c>
      <c r="B18" s="3478" t="s">
        <v>3396</v>
      </c>
      <c r="C18" s="3478" t="s">
        <v>3397</v>
      </c>
      <c r="D18" s="3478" t="s">
        <v>3415</v>
      </c>
      <c r="E18" s="3478" t="s">
        <v>3399</v>
      </c>
      <c r="F18" s="3481">
        <v>45.24</v>
      </c>
      <c r="G18" s="3478"/>
    </row>
    <row r="19" spans="1:7" ht="20.100000000000001" customHeight="1">
      <c r="A19" s="3478">
        <v>18</v>
      </c>
      <c r="B19" s="3478" t="s">
        <v>3396</v>
      </c>
      <c r="C19" s="3478" t="s">
        <v>3397</v>
      </c>
      <c r="D19" s="3478" t="s">
        <v>3416</v>
      </c>
      <c r="E19" s="3478" t="s">
        <v>3399</v>
      </c>
      <c r="F19" s="3481">
        <v>45.24</v>
      </c>
      <c r="G19" s="3478"/>
    </row>
    <row r="20" spans="1:7" ht="20.100000000000001" customHeight="1">
      <c r="A20" s="3478">
        <v>19</v>
      </c>
      <c r="B20" s="3478" t="s">
        <v>3396</v>
      </c>
      <c r="C20" s="3478" t="s">
        <v>3397</v>
      </c>
      <c r="D20" s="3478" t="s">
        <v>3417</v>
      </c>
      <c r="E20" s="3478" t="s">
        <v>3399</v>
      </c>
      <c r="F20" s="3481">
        <v>35.82</v>
      </c>
      <c r="G20" s="3478"/>
    </row>
    <row r="21" spans="1:7" ht="20.100000000000001" customHeight="1">
      <c r="A21" s="3478">
        <v>20</v>
      </c>
      <c r="B21" s="3478" t="s">
        <v>3396</v>
      </c>
      <c r="C21" s="3478" t="s">
        <v>3397</v>
      </c>
      <c r="D21" s="3478" t="s">
        <v>3418</v>
      </c>
      <c r="E21" s="3478" t="s">
        <v>3399</v>
      </c>
      <c r="F21" s="3481">
        <v>45.24</v>
      </c>
      <c r="G21" s="3478"/>
    </row>
    <row r="22" spans="1:7" ht="20.100000000000001" customHeight="1">
      <c r="A22" s="3478">
        <v>21</v>
      </c>
      <c r="B22" s="3478" t="s">
        <v>3396</v>
      </c>
      <c r="C22" s="3478" t="s">
        <v>3397</v>
      </c>
      <c r="D22" s="3478" t="s">
        <v>3419</v>
      </c>
      <c r="E22" s="3478" t="s">
        <v>3399</v>
      </c>
      <c r="F22" s="3481">
        <v>43.36</v>
      </c>
      <c r="G22" s="3478"/>
    </row>
    <row r="23" spans="1:7" ht="20.100000000000001" customHeight="1">
      <c r="A23" s="3478">
        <v>22</v>
      </c>
      <c r="B23" s="3478" t="s">
        <v>3396</v>
      </c>
      <c r="C23" s="3478" t="s">
        <v>3397</v>
      </c>
      <c r="D23" s="3478" t="s">
        <v>3420</v>
      </c>
      <c r="E23" s="3478" t="s">
        <v>3399</v>
      </c>
      <c r="F23" s="3481">
        <v>45.24</v>
      </c>
      <c r="G23" s="3478"/>
    </row>
    <row r="24" spans="1:7" ht="20.100000000000001" customHeight="1">
      <c r="A24" s="3478">
        <v>23</v>
      </c>
      <c r="B24" s="3478" t="s">
        <v>3396</v>
      </c>
      <c r="C24" s="3478" t="s">
        <v>3397</v>
      </c>
      <c r="D24" s="3478" t="s">
        <v>3421</v>
      </c>
      <c r="E24" s="3478" t="s">
        <v>3399</v>
      </c>
      <c r="F24" s="3481">
        <v>45.24</v>
      </c>
      <c r="G24" s="3478"/>
    </row>
    <row r="25" spans="1:7" ht="20.100000000000001" customHeight="1">
      <c r="A25" s="3478">
        <v>24</v>
      </c>
      <c r="B25" s="3478" t="s">
        <v>3396</v>
      </c>
      <c r="C25" s="3478" t="s">
        <v>3397</v>
      </c>
      <c r="D25" s="3478" t="s">
        <v>3422</v>
      </c>
      <c r="E25" s="3478" t="s">
        <v>3399</v>
      </c>
      <c r="F25" s="3481">
        <v>45.24</v>
      </c>
      <c r="G25" s="3478"/>
    </row>
    <row r="26" spans="1:7" ht="20.100000000000001" customHeight="1">
      <c r="A26" s="3478">
        <v>25</v>
      </c>
      <c r="B26" s="3478" t="s">
        <v>3396</v>
      </c>
      <c r="C26" s="3478" t="s">
        <v>3397</v>
      </c>
      <c r="D26" s="3478" t="s">
        <v>3423</v>
      </c>
      <c r="E26" s="3478" t="s">
        <v>3399</v>
      </c>
      <c r="F26" s="3481">
        <v>45.24</v>
      </c>
      <c r="G26" s="3478"/>
    </row>
    <row r="27" spans="1:7" ht="20.100000000000001" customHeight="1">
      <c r="A27" s="3478">
        <v>26</v>
      </c>
      <c r="B27" s="3478" t="s">
        <v>3396</v>
      </c>
      <c r="C27" s="3478" t="s">
        <v>3397</v>
      </c>
      <c r="D27" s="3478" t="s">
        <v>3424</v>
      </c>
      <c r="E27" s="3478" t="s">
        <v>3399</v>
      </c>
      <c r="F27" s="3481">
        <v>45.24</v>
      </c>
      <c r="G27" s="3478"/>
    </row>
    <row r="28" spans="1:7" ht="20.100000000000001" customHeight="1">
      <c r="A28" s="3478">
        <v>27</v>
      </c>
      <c r="B28" s="3478" t="s">
        <v>3396</v>
      </c>
      <c r="C28" s="3478" t="s">
        <v>3397</v>
      </c>
      <c r="D28" s="3478" t="s">
        <v>3425</v>
      </c>
      <c r="E28" s="3478" t="s">
        <v>3399</v>
      </c>
      <c r="F28" s="3481">
        <v>45.24</v>
      </c>
      <c r="G28" s="3478"/>
    </row>
    <row r="29" spans="1:7" ht="20.100000000000001" customHeight="1">
      <c r="A29" s="3478">
        <v>28</v>
      </c>
      <c r="B29" s="3478" t="s">
        <v>3396</v>
      </c>
      <c r="C29" s="3478" t="s">
        <v>3397</v>
      </c>
      <c r="D29" s="3478" t="s">
        <v>3426</v>
      </c>
      <c r="E29" s="3478" t="s">
        <v>3399</v>
      </c>
      <c r="F29" s="3481">
        <v>43.36</v>
      </c>
      <c r="G29" s="3478"/>
    </row>
    <row r="30" spans="1:7" ht="20.100000000000001" customHeight="1">
      <c r="A30" s="3478">
        <v>29</v>
      </c>
      <c r="B30" s="3478" t="s">
        <v>3396</v>
      </c>
      <c r="C30" s="3478" t="s">
        <v>3397</v>
      </c>
      <c r="D30" s="3478" t="s">
        <v>3427</v>
      </c>
      <c r="E30" s="3478" t="s">
        <v>3399</v>
      </c>
      <c r="F30" s="3481">
        <v>47.05</v>
      </c>
      <c r="G30" s="3478"/>
    </row>
    <row r="31" spans="1:7" ht="20.100000000000001" customHeight="1">
      <c r="A31" s="3478">
        <v>30</v>
      </c>
      <c r="B31" s="3478" t="s">
        <v>3396</v>
      </c>
      <c r="C31" s="3478" t="s">
        <v>3397</v>
      </c>
      <c r="D31" s="3478" t="s">
        <v>3428</v>
      </c>
      <c r="E31" s="3478" t="s">
        <v>3399</v>
      </c>
      <c r="F31" s="3481">
        <v>45.09</v>
      </c>
      <c r="G31" s="3478"/>
    </row>
    <row r="32" spans="1:7" ht="20.100000000000001" customHeight="1">
      <c r="A32" s="3478">
        <v>31</v>
      </c>
      <c r="B32" s="3478" t="s">
        <v>3396</v>
      </c>
      <c r="C32" s="3478" t="s">
        <v>3397</v>
      </c>
      <c r="D32" s="3478" t="s">
        <v>3429</v>
      </c>
      <c r="E32" s="3478" t="s">
        <v>3399</v>
      </c>
      <c r="F32" s="3481">
        <v>47.05</v>
      </c>
      <c r="G32" s="3478"/>
    </row>
    <row r="33" spans="1:11" ht="20.100000000000001" customHeight="1">
      <c r="A33" s="3478">
        <v>32</v>
      </c>
      <c r="B33" s="3478" t="s">
        <v>3396</v>
      </c>
      <c r="C33" s="3478" t="s">
        <v>3397</v>
      </c>
      <c r="D33" s="3478" t="s">
        <v>3430</v>
      </c>
      <c r="E33" s="3478" t="s">
        <v>3399</v>
      </c>
      <c r="F33" s="3481">
        <v>47.05</v>
      </c>
      <c r="G33" s="3478"/>
      <c r="I33">
        <f>SUM(F6:F33)</f>
        <v>1256.6799999999998</v>
      </c>
      <c r="J33">
        <f>21.91+23.92</f>
        <v>45.83</v>
      </c>
      <c r="K33">
        <f>I33+J33</f>
        <v>1302.5099999999998</v>
      </c>
    </row>
    <row r="34" spans="1:11" ht="20.100000000000001" customHeight="1">
      <c r="A34" s="3478">
        <v>33</v>
      </c>
      <c r="B34" s="3478" t="s">
        <v>3396</v>
      </c>
      <c r="C34" s="3478" t="s">
        <v>3397</v>
      </c>
      <c r="D34" s="3478" t="s">
        <v>3431</v>
      </c>
      <c r="E34" s="3478" t="s">
        <v>3399</v>
      </c>
      <c r="F34" s="3481">
        <v>45.09</v>
      </c>
      <c r="G34" s="3478"/>
    </row>
    <row r="35" spans="1:11" ht="20.100000000000001" customHeight="1">
      <c r="A35" s="3478">
        <v>34</v>
      </c>
      <c r="B35" s="3478" t="s">
        <v>3396</v>
      </c>
      <c r="C35" s="3478" t="s">
        <v>3397</v>
      </c>
      <c r="D35" s="3478" t="s">
        <v>3432</v>
      </c>
      <c r="E35" s="3478" t="s">
        <v>3399</v>
      </c>
      <c r="F35" s="3481">
        <v>47.05</v>
      </c>
      <c r="G35" s="3478"/>
    </row>
    <row r="36" spans="1:11" ht="20.100000000000001" customHeight="1">
      <c r="A36" s="3478">
        <v>35</v>
      </c>
      <c r="B36" s="3478" t="s">
        <v>3396</v>
      </c>
      <c r="C36" s="3478" t="s">
        <v>3397</v>
      </c>
      <c r="D36" s="3478" t="s">
        <v>3433</v>
      </c>
      <c r="E36" s="3478" t="s">
        <v>3399</v>
      </c>
      <c r="F36" s="3481">
        <v>47.05</v>
      </c>
      <c r="G36" s="3478"/>
    </row>
    <row r="37" spans="1:11" ht="20.100000000000001" customHeight="1">
      <c r="A37" s="3478">
        <v>36</v>
      </c>
      <c r="B37" s="3478" t="s">
        <v>3396</v>
      </c>
      <c r="C37" s="3478" t="s">
        <v>3397</v>
      </c>
      <c r="D37" s="3478" t="s">
        <v>3434</v>
      </c>
      <c r="E37" s="3478" t="s">
        <v>3399</v>
      </c>
      <c r="F37" s="3481">
        <v>45.09</v>
      </c>
      <c r="G37" s="3478"/>
    </row>
    <row r="38" spans="1:11" ht="20.100000000000001" customHeight="1">
      <c r="A38" s="3478">
        <v>37</v>
      </c>
      <c r="B38" s="3478" t="s">
        <v>3396</v>
      </c>
      <c r="C38" s="3478" t="s">
        <v>3397</v>
      </c>
      <c r="D38" s="3478" t="s">
        <v>3435</v>
      </c>
      <c r="E38" s="3478" t="s">
        <v>3399</v>
      </c>
      <c r="F38" s="3481">
        <v>47.05</v>
      </c>
      <c r="G38" s="3478"/>
    </row>
    <row r="39" spans="1:11" ht="20.100000000000001" customHeight="1">
      <c r="A39" s="3478">
        <v>38</v>
      </c>
      <c r="B39" s="3478" t="s">
        <v>3396</v>
      </c>
      <c r="C39" s="3478" t="s">
        <v>3397</v>
      </c>
      <c r="D39" s="3478" t="s">
        <v>3436</v>
      </c>
      <c r="E39" s="3478" t="s">
        <v>3399</v>
      </c>
      <c r="F39" s="3481">
        <v>45.24</v>
      </c>
      <c r="G39" s="3478"/>
    </row>
    <row r="40" spans="1:11" ht="20.100000000000001" customHeight="1">
      <c r="A40" s="3478">
        <v>39</v>
      </c>
      <c r="B40" s="3478" t="s">
        <v>3396</v>
      </c>
      <c r="C40" s="3478" t="s">
        <v>3397</v>
      </c>
      <c r="D40" s="3478" t="s">
        <v>3437</v>
      </c>
      <c r="E40" s="3478" t="s">
        <v>3399</v>
      </c>
      <c r="F40" s="3481">
        <v>37.700000000000003</v>
      </c>
      <c r="G40" s="3478"/>
      <c r="J40" s="3477"/>
    </row>
    <row r="41" spans="1:11" ht="20.100000000000001" customHeight="1">
      <c r="A41" s="3478">
        <v>40</v>
      </c>
      <c r="B41" s="3478" t="s">
        <v>3396</v>
      </c>
      <c r="C41" s="3478" t="s">
        <v>3397</v>
      </c>
      <c r="D41" s="3478" t="s">
        <v>3438</v>
      </c>
      <c r="E41" s="3478" t="s">
        <v>3399</v>
      </c>
      <c r="F41" s="3481">
        <v>45.24</v>
      </c>
      <c r="G41" s="3478"/>
    </row>
    <row r="42" spans="1:11" ht="20.100000000000001" customHeight="1">
      <c r="A42" s="3478">
        <v>41</v>
      </c>
      <c r="B42" s="3478" t="s">
        <v>3396</v>
      </c>
      <c r="C42" s="3478" t="s">
        <v>3397</v>
      </c>
      <c r="D42" s="3478" t="s">
        <v>3439</v>
      </c>
      <c r="E42" s="3478" t="s">
        <v>3399</v>
      </c>
      <c r="F42" s="3481">
        <v>47.05</v>
      </c>
      <c r="G42" s="3478"/>
    </row>
    <row r="43" spans="1:11" ht="20.100000000000001" customHeight="1">
      <c r="A43" s="3478">
        <v>42</v>
      </c>
      <c r="B43" s="3478" t="s">
        <v>3396</v>
      </c>
      <c r="C43" s="3478" t="s">
        <v>3397</v>
      </c>
      <c r="D43" s="3478" t="s">
        <v>3440</v>
      </c>
      <c r="E43" s="3478" t="s">
        <v>3399</v>
      </c>
      <c r="F43" s="3481">
        <v>45.09</v>
      </c>
      <c r="G43" s="3478"/>
    </row>
    <row r="44" spans="1:11" ht="20.100000000000001" customHeight="1">
      <c r="A44" s="3478">
        <v>43</v>
      </c>
      <c r="B44" s="3478" t="s">
        <v>3396</v>
      </c>
      <c r="C44" s="3478" t="s">
        <v>3397</v>
      </c>
      <c r="D44" s="3478" t="s">
        <v>3441</v>
      </c>
      <c r="E44" s="3478" t="s">
        <v>3399</v>
      </c>
      <c r="F44" s="3481">
        <v>47.05</v>
      </c>
      <c r="G44" s="3478"/>
    </row>
    <row r="45" spans="1:11" ht="20.100000000000001" customHeight="1">
      <c r="A45" s="3478">
        <v>44</v>
      </c>
      <c r="B45" s="3478" t="s">
        <v>3396</v>
      </c>
      <c r="C45" s="3478" t="s">
        <v>3397</v>
      </c>
      <c r="D45" s="3478" t="s">
        <v>3442</v>
      </c>
      <c r="E45" s="3478" t="s">
        <v>3399</v>
      </c>
      <c r="F45" s="3481">
        <v>47.05</v>
      </c>
      <c r="G45" s="3478"/>
    </row>
    <row r="46" spans="1:11" ht="20.100000000000001" customHeight="1">
      <c r="A46" s="3478">
        <v>45</v>
      </c>
      <c r="B46" s="3478" t="s">
        <v>3396</v>
      </c>
      <c r="C46" s="3478" t="s">
        <v>3397</v>
      </c>
      <c r="D46" s="3478" t="s">
        <v>3443</v>
      </c>
      <c r="E46" s="3478" t="s">
        <v>3399</v>
      </c>
      <c r="F46" s="3481">
        <v>45.09</v>
      </c>
      <c r="G46" s="3478"/>
    </row>
    <row r="47" spans="1:11" ht="20.100000000000001" customHeight="1">
      <c r="A47" s="3478">
        <v>46</v>
      </c>
      <c r="B47" s="3478" t="s">
        <v>3396</v>
      </c>
      <c r="C47" s="3478" t="s">
        <v>3397</v>
      </c>
      <c r="D47" s="3478" t="s">
        <v>3444</v>
      </c>
      <c r="E47" s="3478" t="s">
        <v>3399</v>
      </c>
      <c r="F47" s="3481">
        <v>47.05</v>
      </c>
      <c r="G47" s="3478"/>
    </row>
    <row r="48" spans="1:11" ht="20.100000000000001" customHeight="1">
      <c r="A48" s="3478">
        <v>47</v>
      </c>
      <c r="B48" s="3478" t="s">
        <v>3396</v>
      </c>
      <c r="C48" s="3478" t="s">
        <v>3397</v>
      </c>
      <c r="D48" s="3478" t="s">
        <v>3445</v>
      </c>
      <c r="E48" s="3478" t="s">
        <v>3399</v>
      </c>
      <c r="F48" s="3481">
        <v>47.05</v>
      </c>
      <c r="G48" s="3478"/>
    </row>
    <row r="49" spans="1:11" ht="20.100000000000001" customHeight="1">
      <c r="A49" s="3478">
        <v>48</v>
      </c>
      <c r="B49" s="3478" t="s">
        <v>3396</v>
      </c>
      <c r="C49" s="3478" t="s">
        <v>3397</v>
      </c>
      <c r="D49" s="3478" t="s">
        <v>3446</v>
      </c>
      <c r="E49" s="3478" t="s">
        <v>3399</v>
      </c>
      <c r="F49" s="3481">
        <v>45.09</v>
      </c>
      <c r="G49" s="3478"/>
    </row>
    <row r="50" spans="1:11" ht="20.100000000000001" customHeight="1">
      <c r="A50" s="3478">
        <v>49</v>
      </c>
      <c r="B50" s="3478" t="s">
        <v>3396</v>
      </c>
      <c r="C50" s="3478" t="s">
        <v>3397</v>
      </c>
      <c r="D50" s="3478" t="s">
        <v>3447</v>
      </c>
      <c r="E50" s="3478" t="s">
        <v>3399</v>
      </c>
      <c r="F50" s="3481">
        <v>47.05</v>
      </c>
      <c r="G50" s="3478"/>
    </row>
    <row r="51" spans="1:11" ht="20.100000000000001" customHeight="1">
      <c r="A51" s="3478">
        <v>50</v>
      </c>
      <c r="B51" s="3478" t="s">
        <v>3396</v>
      </c>
      <c r="C51" s="3478" t="s">
        <v>3397</v>
      </c>
      <c r="D51" s="3478" t="s">
        <v>3448</v>
      </c>
      <c r="E51" s="3478" t="s">
        <v>3399</v>
      </c>
      <c r="F51" s="3481">
        <v>47.05</v>
      </c>
      <c r="G51" s="3478"/>
    </row>
    <row r="52" spans="1:11" ht="20.100000000000001" customHeight="1">
      <c r="A52" s="3478">
        <v>51</v>
      </c>
      <c r="B52" s="3478" t="s">
        <v>3396</v>
      </c>
      <c r="C52" s="3478" t="s">
        <v>3397</v>
      </c>
      <c r="D52" s="3478" t="s">
        <v>3449</v>
      </c>
      <c r="E52" s="3478" t="s">
        <v>3399</v>
      </c>
      <c r="F52" s="3481">
        <v>45.09</v>
      </c>
      <c r="G52" s="3478"/>
    </row>
    <row r="53" spans="1:11" ht="20.100000000000001" customHeight="1">
      <c r="A53" s="3478">
        <v>52</v>
      </c>
      <c r="B53" s="3478" t="s">
        <v>3396</v>
      </c>
      <c r="C53" s="3478" t="s">
        <v>3397</v>
      </c>
      <c r="D53" s="3478" t="s">
        <v>3450</v>
      </c>
      <c r="E53" s="3478" t="s">
        <v>3399</v>
      </c>
      <c r="F53" s="3481">
        <v>47.05</v>
      </c>
      <c r="G53" s="3478"/>
    </row>
    <row r="54" spans="1:11" ht="20.100000000000001" customHeight="1">
      <c r="A54" s="3478">
        <v>53</v>
      </c>
      <c r="B54" s="3478" t="s">
        <v>3396</v>
      </c>
      <c r="C54" s="3478" t="s">
        <v>3397</v>
      </c>
      <c r="D54" s="3478" t="s">
        <v>3451</v>
      </c>
      <c r="E54" s="3478" t="s">
        <v>3399</v>
      </c>
      <c r="F54" s="3481">
        <v>47.05</v>
      </c>
      <c r="G54" s="3478"/>
    </row>
    <row r="55" spans="1:11" ht="20.100000000000001" customHeight="1">
      <c r="A55" s="3478">
        <v>54</v>
      </c>
      <c r="B55" s="3478" t="s">
        <v>3396</v>
      </c>
      <c r="C55" s="3478" t="s">
        <v>3397</v>
      </c>
      <c r="D55" s="3478" t="s">
        <v>3452</v>
      </c>
      <c r="E55" s="3478" t="s">
        <v>3399</v>
      </c>
      <c r="F55" s="3481">
        <v>45.09</v>
      </c>
      <c r="G55" s="3478"/>
    </row>
    <row r="56" spans="1:11" ht="20.100000000000001" customHeight="1">
      <c r="A56" s="3478">
        <v>55</v>
      </c>
      <c r="B56" s="3478" t="s">
        <v>3396</v>
      </c>
      <c r="C56" s="3478" t="s">
        <v>3397</v>
      </c>
      <c r="D56" s="3478" t="s">
        <v>3453</v>
      </c>
      <c r="E56" s="3478" t="s">
        <v>3399</v>
      </c>
      <c r="F56" s="3481">
        <v>47.05</v>
      </c>
      <c r="G56" s="3478"/>
    </row>
    <row r="57" spans="1:11" ht="20.100000000000001" customHeight="1">
      <c r="A57" s="3478">
        <v>56</v>
      </c>
      <c r="B57" s="3478" t="s">
        <v>3396</v>
      </c>
      <c r="C57" s="3478" t="s">
        <v>3397</v>
      </c>
      <c r="D57" s="3478" t="s">
        <v>3454</v>
      </c>
      <c r="E57" s="3478" t="s">
        <v>3399</v>
      </c>
      <c r="F57" s="3481">
        <v>47.05</v>
      </c>
      <c r="G57" s="3478"/>
    </row>
    <row r="58" spans="1:11" ht="20.100000000000001" customHeight="1">
      <c r="A58" s="3478">
        <v>57</v>
      </c>
      <c r="B58" s="3478" t="s">
        <v>3396</v>
      </c>
      <c r="C58" s="3478" t="s">
        <v>3397</v>
      </c>
      <c r="D58" s="3478" t="s">
        <v>3455</v>
      </c>
      <c r="E58" s="3478" t="s">
        <v>3399</v>
      </c>
      <c r="F58" s="3481">
        <v>45.09</v>
      </c>
      <c r="G58" s="3478"/>
    </row>
    <row r="59" spans="1:11" ht="20.100000000000001" customHeight="1">
      <c r="A59" s="3478">
        <v>58</v>
      </c>
      <c r="B59" s="3478" t="s">
        <v>3396</v>
      </c>
      <c r="C59" s="3478" t="s">
        <v>3397</v>
      </c>
      <c r="D59" s="3478" t="s">
        <v>3456</v>
      </c>
      <c r="E59" s="3478" t="s">
        <v>3399</v>
      </c>
      <c r="F59" s="3481">
        <v>47.05</v>
      </c>
      <c r="G59" s="3478"/>
      <c r="I59">
        <f>SUM(F34:F59)</f>
        <v>1194.6499999999996</v>
      </c>
      <c r="J59" s="3477">
        <f>18.11+17.68+48.07+48.67</f>
        <v>132.53</v>
      </c>
      <c r="K59">
        <f>I59+J59</f>
        <v>1327.1799999999996</v>
      </c>
    </row>
    <row r="60" spans="1:11" ht="20.100000000000001" customHeight="1">
      <c r="A60" s="3478">
        <v>59</v>
      </c>
      <c r="B60" s="3478" t="s">
        <v>3396</v>
      </c>
      <c r="C60" s="3478" t="s">
        <v>3397</v>
      </c>
      <c r="D60" s="3478" t="s">
        <v>3457</v>
      </c>
      <c r="E60" s="3478" t="s">
        <v>3399</v>
      </c>
      <c r="F60" s="3481">
        <v>45.24</v>
      </c>
      <c r="G60" s="3478"/>
    </row>
    <row r="61" spans="1:11" ht="20.100000000000001" customHeight="1">
      <c r="A61" s="3478">
        <v>60</v>
      </c>
      <c r="B61" s="3478" t="s">
        <v>3396</v>
      </c>
      <c r="C61" s="3478" t="s">
        <v>3397</v>
      </c>
      <c r="D61" s="3478" t="s">
        <v>3458</v>
      </c>
      <c r="E61" s="3478" t="s">
        <v>3399</v>
      </c>
      <c r="F61" s="3481">
        <v>45.24</v>
      </c>
      <c r="G61" s="3478"/>
    </row>
    <row r="62" spans="1:11" ht="20.100000000000001" customHeight="1">
      <c r="A62" s="3478">
        <v>61</v>
      </c>
      <c r="B62" s="3478" t="s">
        <v>3396</v>
      </c>
      <c r="C62" s="3478" t="s">
        <v>3397</v>
      </c>
      <c r="D62" s="3478" t="s">
        <v>3459</v>
      </c>
      <c r="E62" s="3478" t="s">
        <v>3399</v>
      </c>
      <c r="F62" s="3481">
        <v>45.24</v>
      </c>
      <c r="G62" s="3478"/>
    </row>
    <row r="63" spans="1:11" ht="20.100000000000001" customHeight="1">
      <c r="A63" s="3478">
        <v>62</v>
      </c>
      <c r="B63" s="3478" t="s">
        <v>3396</v>
      </c>
      <c r="C63" s="3478" t="s">
        <v>3397</v>
      </c>
      <c r="D63" s="3478" t="s">
        <v>3460</v>
      </c>
      <c r="E63" s="3478" t="s">
        <v>3399</v>
      </c>
      <c r="F63" s="3481">
        <v>45.24</v>
      </c>
      <c r="G63" s="3478"/>
    </row>
    <row r="64" spans="1:11" ht="20.100000000000001" customHeight="1">
      <c r="A64" s="3478">
        <v>63</v>
      </c>
      <c r="B64" s="3478" t="s">
        <v>3396</v>
      </c>
      <c r="C64" s="3478" t="s">
        <v>3397</v>
      </c>
      <c r="D64" s="3478" t="s">
        <v>3461</v>
      </c>
      <c r="E64" s="3478" t="s">
        <v>3399</v>
      </c>
      <c r="F64" s="3481">
        <v>47.13</v>
      </c>
      <c r="G64" s="3478"/>
    </row>
    <row r="65" spans="1:7" ht="20.100000000000001" customHeight="1">
      <c r="A65" s="3478">
        <v>64</v>
      </c>
      <c r="B65" s="3478" t="s">
        <v>3396</v>
      </c>
      <c r="C65" s="3478" t="s">
        <v>3397</v>
      </c>
      <c r="D65" s="3478" t="s">
        <v>3462</v>
      </c>
      <c r="E65" s="3478" t="s">
        <v>3399</v>
      </c>
      <c r="F65" s="3481">
        <v>47.13</v>
      </c>
      <c r="G65" s="3478"/>
    </row>
    <row r="66" spans="1:7" ht="20.100000000000001" customHeight="1">
      <c r="A66" s="3478">
        <v>65</v>
      </c>
      <c r="B66" s="3478" t="s">
        <v>3396</v>
      </c>
      <c r="C66" s="3478" t="s">
        <v>3397</v>
      </c>
      <c r="D66" s="3478" t="s">
        <v>3463</v>
      </c>
      <c r="E66" s="3478" t="s">
        <v>3399</v>
      </c>
      <c r="F66" s="3481">
        <v>47.13</v>
      </c>
      <c r="G66" s="3478"/>
    </row>
    <row r="67" spans="1:7" ht="20.100000000000001" customHeight="1">
      <c r="A67" s="3478">
        <v>66</v>
      </c>
      <c r="B67" s="3478" t="s">
        <v>3396</v>
      </c>
      <c r="C67" s="3478" t="s">
        <v>3397</v>
      </c>
      <c r="D67" s="3478" t="s">
        <v>3464</v>
      </c>
      <c r="E67" s="3478" t="s">
        <v>3399</v>
      </c>
      <c r="F67" s="3481">
        <v>47.13</v>
      </c>
      <c r="G67" s="3478"/>
    </row>
    <row r="68" spans="1:7" ht="20.100000000000001" customHeight="1">
      <c r="A68" s="3478">
        <v>67</v>
      </c>
      <c r="B68" s="3478" t="s">
        <v>3396</v>
      </c>
      <c r="C68" s="3478" t="s">
        <v>3397</v>
      </c>
      <c r="D68" s="3478" t="s">
        <v>3465</v>
      </c>
      <c r="E68" s="3478" t="s">
        <v>3399</v>
      </c>
      <c r="F68" s="3481">
        <v>47.05</v>
      </c>
      <c r="G68" s="3478"/>
    </row>
    <row r="69" spans="1:7" ht="20.100000000000001" customHeight="1">
      <c r="A69" s="3478">
        <v>68</v>
      </c>
      <c r="B69" s="3478" t="s">
        <v>3396</v>
      </c>
      <c r="C69" s="3478" t="s">
        <v>3397</v>
      </c>
      <c r="D69" s="3478" t="s">
        <v>3466</v>
      </c>
      <c r="E69" s="3478" t="s">
        <v>3399</v>
      </c>
      <c r="F69" s="3481">
        <v>45.09</v>
      </c>
      <c r="G69" s="3478"/>
    </row>
    <row r="70" spans="1:7" ht="20.100000000000001" customHeight="1">
      <c r="A70" s="3478">
        <v>69</v>
      </c>
      <c r="B70" s="3478" t="s">
        <v>3396</v>
      </c>
      <c r="C70" s="3478" t="s">
        <v>3397</v>
      </c>
      <c r="D70" s="3478" t="s">
        <v>3467</v>
      </c>
      <c r="E70" s="3478" t="s">
        <v>3399</v>
      </c>
      <c r="F70" s="3481">
        <v>47.05</v>
      </c>
      <c r="G70" s="3478"/>
    </row>
    <row r="71" spans="1:7" ht="20.100000000000001" customHeight="1">
      <c r="A71" s="3478">
        <v>70</v>
      </c>
      <c r="B71" s="3478" t="s">
        <v>3396</v>
      </c>
      <c r="C71" s="3478" t="s">
        <v>3397</v>
      </c>
      <c r="D71" s="3478" t="s">
        <v>3468</v>
      </c>
      <c r="E71" s="3478" t="s">
        <v>3399</v>
      </c>
      <c r="F71" s="3481">
        <v>47.05</v>
      </c>
      <c r="G71" s="3478"/>
    </row>
    <row r="72" spans="1:7" ht="20.100000000000001" customHeight="1">
      <c r="A72" s="3478">
        <v>71</v>
      </c>
      <c r="B72" s="3478" t="s">
        <v>3396</v>
      </c>
      <c r="C72" s="3478" t="s">
        <v>3397</v>
      </c>
      <c r="D72" s="3478" t="s">
        <v>3469</v>
      </c>
      <c r="E72" s="3478" t="s">
        <v>3399</v>
      </c>
      <c r="F72" s="3481">
        <v>45.09</v>
      </c>
      <c r="G72" s="3478"/>
    </row>
    <row r="73" spans="1:7" ht="20.100000000000001" customHeight="1">
      <c r="A73" s="3478">
        <v>72</v>
      </c>
      <c r="B73" s="3478" t="s">
        <v>3396</v>
      </c>
      <c r="C73" s="3478" t="s">
        <v>3397</v>
      </c>
      <c r="D73" s="3478" t="s">
        <v>3470</v>
      </c>
      <c r="E73" s="3478" t="s">
        <v>3399</v>
      </c>
      <c r="F73" s="3481">
        <v>47.05</v>
      </c>
      <c r="G73" s="3478"/>
    </row>
    <row r="74" spans="1:7" ht="20.100000000000001" customHeight="1">
      <c r="A74" s="3478">
        <v>73</v>
      </c>
      <c r="B74" s="3478" t="s">
        <v>3396</v>
      </c>
      <c r="C74" s="3478" t="s">
        <v>3397</v>
      </c>
      <c r="D74" s="3478" t="s">
        <v>3471</v>
      </c>
      <c r="E74" s="3478" t="s">
        <v>3399</v>
      </c>
      <c r="F74" s="3481">
        <v>47.05</v>
      </c>
      <c r="G74" s="3478"/>
    </row>
    <row r="75" spans="1:7" ht="20.100000000000001" customHeight="1">
      <c r="A75" s="3478">
        <v>74</v>
      </c>
      <c r="B75" s="3478" t="s">
        <v>3396</v>
      </c>
      <c r="C75" s="3478" t="s">
        <v>3397</v>
      </c>
      <c r="D75" s="3478" t="s">
        <v>3472</v>
      </c>
      <c r="E75" s="3478" t="s">
        <v>3399</v>
      </c>
      <c r="F75" s="3481">
        <v>45.09</v>
      </c>
      <c r="G75" s="3478"/>
    </row>
    <row r="76" spans="1:7" ht="20.100000000000001" customHeight="1">
      <c r="A76" s="3478">
        <v>75</v>
      </c>
      <c r="B76" s="3478" t="s">
        <v>3396</v>
      </c>
      <c r="C76" s="3478" t="s">
        <v>3397</v>
      </c>
      <c r="D76" s="3478" t="s">
        <v>3473</v>
      </c>
      <c r="E76" s="3478" t="s">
        <v>3399</v>
      </c>
      <c r="F76" s="3481">
        <v>47.05</v>
      </c>
      <c r="G76" s="3478"/>
    </row>
    <row r="77" spans="1:7" ht="20.100000000000001" customHeight="1">
      <c r="A77" s="3478">
        <v>76</v>
      </c>
      <c r="B77" s="3478" t="s">
        <v>3396</v>
      </c>
      <c r="C77" s="3478" t="s">
        <v>3397</v>
      </c>
      <c r="D77" s="3478" t="s">
        <v>3474</v>
      </c>
      <c r="E77" s="3478" t="s">
        <v>3399</v>
      </c>
      <c r="F77" s="3481">
        <v>47.05</v>
      </c>
      <c r="G77" s="3478"/>
    </row>
    <row r="78" spans="1:7" ht="20.100000000000001" customHeight="1">
      <c r="A78" s="3478">
        <v>77</v>
      </c>
      <c r="B78" s="3478" t="s">
        <v>3396</v>
      </c>
      <c r="C78" s="3478" t="s">
        <v>3397</v>
      </c>
      <c r="D78" s="3478" t="s">
        <v>3475</v>
      </c>
      <c r="E78" s="3478" t="s">
        <v>3399</v>
      </c>
      <c r="F78" s="3481">
        <v>45.09</v>
      </c>
      <c r="G78" s="3478"/>
    </row>
    <row r="79" spans="1:7" ht="20.100000000000001" customHeight="1">
      <c r="A79" s="3478">
        <v>78</v>
      </c>
      <c r="B79" s="3478" t="s">
        <v>3396</v>
      </c>
      <c r="C79" s="3478" t="s">
        <v>3397</v>
      </c>
      <c r="D79" s="3478" t="s">
        <v>3476</v>
      </c>
      <c r="E79" s="3478" t="s">
        <v>3399</v>
      </c>
      <c r="F79" s="3481">
        <v>47.05</v>
      </c>
      <c r="G79" s="3478"/>
    </row>
    <row r="80" spans="1:7" ht="20.100000000000001" customHeight="1">
      <c r="A80" s="3478">
        <v>79</v>
      </c>
      <c r="B80" s="3478" t="s">
        <v>3396</v>
      </c>
      <c r="C80" s="3478" t="s">
        <v>3397</v>
      </c>
      <c r="D80" s="3478" t="s">
        <v>3477</v>
      </c>
      <c r="E80" s="3478" t="s">
        <v>3399</v>
      </c>
      <c r="F80" s="3481">
        <v>47.05</v>
      </c>
      <c r="G80" s="3478"/>
    </row>
    <row r="81" spans="1:7" ht="20.100000000000001" customHeight="1">
      <c r="A81" s="3478">
        <v>80</v>
      </c>
      <c r="B81" s="3478" t="s">
        <v>3396</v>
      </c>
      <c r="C81" s="3478" t="s">
        <v>3397</v>
      </c>
      <c r="D81" s="3478" t="s">
        <v>3478</v>
      </c>
      <c r="E81" s="3478" t="s">
        <v>3399</v>
      </c>
      <c r="F81" s="3481">
        <v>45.09</v>
      </c>
      <c r="G81" s="3478"/>
    </row>
    <row r="82" spans="1:7" ht="20.100000000000001" customHeight="1">
      <c r="A82" s="3478">
        <v>81</v>
      </c>
      <c r="B82" s="3478" t="s">
        <v>3396</v>
      </c>
      <c r="C82" s="3478" t="s">
        <v>3397</v>
      </c>
      <c r="D82" s="3478" t="s">
        <v>3479</v>
      </c>
      <c r="E82" s="3478" t="s">
        <v>3399</v>
      </c>
      <c r="F82" s="3481">
        <v>47.05</v>
      </c>
      <c r="G82" s="3478"/>
    </row>
    <row r="83" spans="1:7" ht="20.100000000000001" customHeight="1">
      <c r="A83" s="3478">
        <v>82</v>
      </c>
      <c r="B83" s="3478" t="s">
        <v>3396</v>
      </c>
      <c r="C83" s="3478" t="s">
        <v>3397</v>
      </c>
      <c r="D83" s="3478" t="s">
        <v>3480</v>
      </c>
      <c r="E83" s="3478" t="s">
        <v>3399</v>
      </c>
      <c r="F83" s="3481">
        <v>47.05</v>
      </c>
      <c r="G83" s="3478"/>
    </row>
    <row r="84" spans="1:7" ht="20.100000000000001" customHeight="1">
      <c r="A84" s="3478">
        <v>83</v>
      </c>
      <c r="B84" s="3478" t="s">
        <v>3396</v>
      </c>
      <c r="C84" s="3478" t="s">
        <v>3397</v>
      </c>
      <c r="D84" s="3478" t="s">
        <v>3481</v>
      </c>
      <c r="E84" s="3478" t="s">
        <v>3399</v>
      </c>
      <c r="F84" s="3481">
        <v>45.09</v>
      </c>
      <c r="G84" s="3478"/>
    </row>
    <row r="85" spans="1:7" ht="20.100000000000001" customHeight="1">
      <c r="A85" s="3478">
        <v>84</v>
      </c>
      <c r="B85" s="3478" t="s">
        <v>3396</v>
      </c>
      <c r="C85" s="3478" t="s">
        <v>3397</v>
      </c>
      <c r="D85" s="3478" t="s">
        <v>3482</v>
      </c>
      <c r="E85" s="3478" t="s">
        <v>3399</v>
      </c>
      <c r="F85" s="3481">
        <v>47.05</v>
      </c>
      <c r="G85" s="3478"/>
    </row>
    <row r="86" spans="1:7" ht="20.100000000000001" customHeight="1">
      <c r="A86" s="3478">
        <v>85</v>
      </c>
      <c r="B86" s="3478" t="s">
        <v>3396</v>
      </c>
      <c r="C86" s="3478" t="s">
        <v>3397</v>
      </c>
      <c r="D86" s="3478" t="s">
        <v>3483</v>
      </c>
      <c r="E86" s="3478" t="s">
        <v>3399</v>
      </c>
      <c r="F86" s="3481">
        <v>47.05</v>
      </c>
      <c r="G86" s="3478"/>
    </row>
    <row r="87" spans="1:7" ht="20.100000000000001" customHeight="1">
      <c r="A87" s="3478">
        <v>86</v>
      </c>
      <c r="B87" s="3478" t="s">
        <v>3396</v>
      </c>
      <c r="C87" s="3478" t="s">
        <v>3397</v>
      </c>
      <c r="D87" s="3478" t="s">
        <v>3484</v>
      </c>
      <c r="E87" s="3478" t="s">
        <v>3399</v>
      </c>
      <c r="F87" s="3481">
        <v>45.09</v>
      </c>
      <c r="G87" s="3478"/>
    </row>
    <row r="88" spans="1:7" ht="20.100000000000001" customHeight="1">
      <c r="A88" s="3478">
        <v>87</v>
      </c>
      <c r="B88" s="3478" t="s">
        <v>3396</v>
      </c>
      <c r="C88" s="3478" t="s">
        <v>3397</v>
      </c>
      <c r="D88" s="3478" t="s">
        <v>3485</v>
      </c>
      <c r="E88" s="3478" t="s">
        <v>3399</v>
      </c>
      <c r="F88" s="3481">
        <v>47.05</v>
      </c>
      <c r="G88" s="3478"/>
    </row>
    <row r="89" spans="1:7" ht="20.100000000000001" customHeight="1">
      <c r="A89" s="3478">
        <v>88</v>
      </c>
      <c r="B89" s="3478" t="s">
        <v>3396</v>
      </c>
      <c r="C89" s="3478" t="s">
        <v>3397</v>
      </c>
      <c r="D89" s="3478" t="s">
        <v>3486</v>
      </c>
      <c r="E89" s="3478" t="s">
        <v>3399</v>
      </c>
      <c r="F89" s="3481">
        <v>47.05</v>
      </c>
      <c r="G89" s="3478"/>
    </row>
    <row r="90" spans="1:7" ht="20.100000000000001" customHeight="1">
      <c r="A90" s="3478">
        <v>89</v>
      </c>
      <c r="B90" s="3478" t="s">
        <v>3396</v>
      </c>
      <c r="C90" s="3478" t="s">
        <v>3397</v>
      </c>
      <c r="D90" s="3478" t="s">
        <v>3487</v>
      </c>
      <c r="E90" s="3478" t="s">
        <v>3399</v>
      </c>
      <c r="F90" s="3481">
        <v>45.09</v>
      </c>
      <c r="G90" s="3478"/>
    </row>
    <row r="91" spans="1:7" ht="20.100000000000001" customHeight="1">
      <c r="A91" s="3478">
        <v>90</v>
      </c>
      <c r="B91" s="3478" t="s">
        <v>3396</v>
      </c>
      <c r="C91" s="3478" t="s">
        <v>3397</v>
      </c>
      <c r="D91" s="3478" t="s">
        <v>3488</v>
      </c>
      <c r="E91" s="3478" t="s">
        <v>3399</v>
      </c>
      <c r="F91" s="3481">
        <v>47.05</v>
      </c>
      <c r="G91" s="3478"/>
    </row>
    <row r="92" spans="1:7" ht="20.100000000000001" customHeight="1">
      <c r="A92" s="3478">
        <v>91</v>
      </c>
      <c r="B92" s="3478" t="s">
        <v>3396</v>
      </c>
      <c r="C92" s="3478" t="s">
        <v>3397</v>
      </c>
      <c r="D92" s="3478" t="s">
        <v>3489</v>
      </c>
      <c r="E92" s="3478" t="s">
        <v>3399</v>
      </c>
      <c r="F92" s="3481">
        <v>47.05</v>
      </c>
      <c r="G92" s="3478"/>
    </row>
    <row r="93" spans="1:7" ht="20.100000000000001" customHeight="1">
      <c r="A93" s="3478">
        <v>92</v>
      </c>
      <c r="B93" s="3478" t="s">
        <v>3396</v>
      </c>
      <c r="C93" s="3478" t="s">
        <v>3397</v>
      </c>
      <c r="D93" s="3478" t="s">
        <v>3490</v>
      </c>
      <c r="E93" s="3478" t="s">
        <v>3399</v>
      </c>
      <c r="F93" s="3481">
        <v>45.09</v>
      </c>
      <c r="G93" s="3478"/>
    </row>
    <row r="94" spans="1:7" ht="20.100000000000001" customHeight="1">
      <c r="A94" s="3478">
        <v>93</v>
      </c>
      <c r="B94" s="3478" t="s">
        <v>3396</v>
      </c>
      <c r="C94" s="3478" t="s">
        <v>3397</v>
      </c>
      <c r="D94" s="3478" t="s">
        <v>3491</v>
      </c>
      <c r="E94" s="3478" t="s">
        <v>3399</v>
      </c>
      <c r="F94" s="3481">
        <v>47.05</v>
      </c>
      <c r="G94" s="3478"/>
    </row>
    <row r="95" spans="1:7" ht="20.100000000000001" customHeight="1">
      <c r="A95" s="3478">
        <v>94</v>
      </c>
      <c r="B95" s="3478" t="s">
        <v>3396</v>
      </c>
      <c r="C95" s="3478" t="s">
        <v>3397</v>
      </c>
      <c r="D95" s="3478" t="s">
        <v>3492</v>
      </c>
      <c r="E95" s="3478" t="s">
        <v>3399</v>
      </c>
      <c r="F95" s="3481">
        <v>47.05</v>
      </c>
      <c r="G95" s="3478"/>
    </row>
    <row r="96" spans="1:7" ht="20.100000000000001" customHeight="1">
      <c r="A96" s="3478">
        <v>95</v>
      </c>
      <c r="B96" s="3478" t="s">
        <v>3396</v>
      </c>
      <c r="C96" s="3478" t="s">
        <v>3397</v>
      </c>
      <c r="D96" s="3478" t="s">
        <v>3493</v>
      </c>
      <c r="E96" s="3478" t="s">
        <v>3399</v>
      </c>
      <c r="F96" s="3481">
        <v>45.09</v>
      </c>
      <c r="G96" s="3478"/>
    </row>
    <row r="97" spans="1:7" ht="20.100000000000001" customHeight="1">
      <c r="A97" s="3478">
        <v>96</v>
      </c>
      <c r="B97" s="3478" t="s">
        <v>3396</v>
      </c>
      <c r="C97" s="3478" t="s">
        <v>3397</v>
      </c>
      <c r="D97" s="3478" t="s">
        <v>3494</v>
      </c>
      <c r="E97" s="3478" t="s">
        <v>3399</v>
      </c>
      <c r="F97" s="3481">
        <v>47.05</v>
      </c>
      <c r="G97" s="3478"/>
    </row>
    <row r="98" spans="1:7" ht="20.100000000000001" customHeight="1">
      <c r="A98" s="3478">
        <v>97</v>
      </c>
      <c r="B98" s="3478" t="s">
        <v>3396</v>
      </c>
      <c r="C98" s="3478" t="s">
        <v>3397</v>
      </c>
      <c r="D98" s="3478" t="s">
        <v>3495</v>
      </c>
      <c r="E98" s="3478" t="s">
        <v>3399</v>
      </c>
      <c r="F98" s="3481">
        <v>46.11</v>
      </c>
      <c r="G98" s="3478"/>
    </row>
    <row r="99" spans="1:7" ht="20.100000000000001" customHeight="1">
      <c r="A99" s="3478">
        <v>98</v>
      </c>
      <c r="B99" s="3478" t="s">
        <v>3396</v>
      </c>
      <c r="C99" s="3478" t="s">
        <v>3397</v>
      </c>
      <c r="D99" s="3478" t="s">
        <v>3496</v>
      </c>
      <c r="E99" s="3478" t="s">
        <v>3399</v>
      </c>
      <c r="F99" s="3481">
        <v>44.19</v>
      </c>
      <c r="G99" s="3478"/>
    </row>
    <row r="100" spans="1:7" ht="20.100000000000001" customHeight="1">
      <c r="A100" s="3478">
        <v>99</v>
      </c>
      <c r="B100" s="3478" t="s">
        <v>3396</v>
      </c>
      <c r="C100" s="3478" t="s">
        <v>3397</v>
      </c>
      <c r="D100" s="3478" t="s">
        <v>3497</v>
      </c>
      <c r="E100" s="3478" t="s">
        <v>3399</v>
      </c>
      <c r="F100" s="3481">
        <v>46.15</v>
      </c>
      <c r="G100" s="3478"/>
    </row>
    <row r="101" spans="1:7" ht="20.100000000000001" customHeight="1">
      <c r="A101" s="3478">
        <v>100</v>
      </c>
      <c r="B101" s="3478" t="s">
        <v>3396</v>
      </c>
      <c r="C101" s="3478" t="s">
        <v>3397</v>
      </c>
      <c r="D101" s="3478" t="s">
        <v>3498</v>
      </c>
      <c r="E101" s="3478" t="s">
        <v>3399</v>
      </c>
      <c r="F101" s="3481">
        <v>46.11</v>
      </c>
      <c r="G101" s="3478"/>
    </row>
    <row r="102" spans="1:7" ht="20.100000000000001" customHeight="1">
      <c r="A102" s="3478">
        <v>101</v>
      </c>
      <c r="B102" s="3478" t="s">
        <v>3396</v>
      </c>
      <c r="C102" s="3478" t="s">
        <v>3397</v>
      </c>
      <c r="D102" s="3478" t="s">
        <v>3499</v>
      </c>
      <c r="E102" s="3478" t="s">
        <v>3399</v>
      </c>
      <c r="F102" s="3481">
        <v>44.22</v>
      </c>
      <c r="G102" s="3478"/>
    </row>
    <row r="103" spans="1:7" ht="20.100000000000001" customHeight="1">
      <c r="A103" s="3478">
        <v>102</v>
      </c>
      <c r="B103" s="3478" t="s">
        <v>3396</v>
      </c>
      <c r="C103" s="3478" t="s">
        <v>3397</v>
      </c>
      <c r="D103" s="3478" t="s">
        <v>3500</v>
      </c>
      <c r="E103" s="3478" t="s">
        <v>3399</v>
      </c>
      <c r="F103" s="3481">
        <v>46.15</v>
      </c>
      <c r="G103" s="3478"/>
    </row>
    <row r="104" spans="1:7" ht="20.100000000000001" customHeight="1">
      <c r="A104" s="3478">
        <v>103</v>
      </c>
      <c r="B104" s="3478" t="s">
        <v>3396</v>
      </c>
      <c r="C104" s="3478" t="s">
        <v>3397</v>
      </c>
      <c r="D104" s="3478" t="s">
        <v>3501</v>
      </c>
      <c r="E104" s="3478" t="s">
        <v>3399</v>
      </c>
      <c r="F104" s="3481">
        <v>45.24</v>
      </c>
      <c r="G104" s="3478"/>
    </row>
    <row r="105" spans="1:7" ht="20.100000000000001" customHeight="1">
      <c r="A105" s="3478">
        <v>104</v>
      </c>
      <c r="B105" s="3478" t="s">
        <v>3396</v>
      </c>
      <c r="C105" s="3478" t="s">
        <v>3397</v>
      </c>
      <c r="D105" s="3478" t="s">
        <v>3502</v>
      </c>
      <c r="E105" s="3478" t="s">
        <v>3399</v>
      </c>
      <c r="F105" s="3481">
        <v>45.24</v>
      </c>
      <c r="G105" s="3478"/>
    </row>
    <row r="106" spans="1:7" ht="20.100000000000001" customHeight="1">
      <c r="A106" s="3478">
        <v>105</v>
      </c>
      <c r="B106" s="3478" t="s">
        <v>3396</v>
      </c>
      <c r="C106" s="3478" t="s">
        <v>3397</v>
      </c>
      <c r="D106" s="3478" t="s">
        <v>3503</v>
      </c>
      <c r="E106" s="3478" t="s">
        <v>3399</v>
      </c>
      <c r="F106" s="3481">
        <v>45.24</v>
      </c>
      <c r="G106" s="3478"/>
    </row>
    <row r="107" spans="1:7" ht="20.100000000000001" customHeight="1">
      <c r="A107" s="3478">
        <v>106</v>
      </c>
      <c r="B107" s="3478" t="s">
        <v>3396</v>
      </c>
      <c r="C107" s="3478" t="s">
        <v>3397</v>
      </c>
      <c r="D107" s="3478" t="s">
        <v>3504</v>
      </c>
      <c r="E107" s="3478" t="s">
        <v>3399</v>
      </c>
      <c r="F107" s="3481">
        <v>45.24</v>
      </c>
      <c r="G107" s="3478"/>
    </row>
    <row r="108" spans="1:7" ht="20.100000000000001" customHeight="1">
      <c r="A108" s="3478">
        <v>107</v>
      </c>
      <c r="B108" s="3478" t="s">
        <v>3396</v>
      </c>
      <c r="C108" s="3478" t="s">
        <v>3397</v>
      </c>
      <c r="D108" s="3478" t="s">
        <v>3505</v>
      </c>
      <c r="E108" s="3478" t="s">
        <v>3399</v>
      </c>
      <c r="F108" s="3481">
        <v>45.24</v>
      </c>
      <c r="G108" s="3478"/>
    </row>
    <row r="109" spans="1:7" ht="20.100000000000001" customHeight="1">
      <c r="A109" s="3478">
        <v>108</v>
      </c>
      <c r="B109" s="3478" t="s">
        <v>3396</v>
      </c>
      <c r="C109" s="3478" t="s">
        <v>3397</v>
      </c>
      <c r="D109" s="3478" t="s">
        <v>3506</v>
      </c>
      <c r="E109" s="3478" t="s">
        <v>3399</v>
      </c>
      <c r="F109" s="3481">
        <v>45.24</v>
      </c>
      <c r="G109" s="3478"/>
    </row>
    <row r="110" spans="1:7" ht="20.100000000000001" customHeight="1">
      <c r="A110" s="3478">
        <v>109</v>
      </c>
      <c r="B110" s="3478" t="s">
        <v>3396</v>
      </c>
      <c r="C110" s="3478" t="s">
        <v>3397</v>
      </c>
      <c r="D110" s="3478" t="s">
        <v>3507</v>
      </c>
      <c r="E110" s="3478" t="s">
        <v>3399</v>
      </c>
      <c r="F110" s="3481">
        <v>45.24</v>
      </c>
      <c r="G110" s="3478"/>
    </row>
    <row r="111" spans="1:7" ht="20.100000000000001" customHeight="1">
      <c r="A111" s="3478">
        <v>110</v>
      </c>
      <c r="B111" s="3478" t="s">
        <v>3396</v>
      </c>
      <c r="C111" s="3478" t="s">
        <v>3397</v>
      </c>
      <c r="D111" s="3478" t="s">
        <v>3508</v>
      </c>
      <c r="E111" s="3478" t="s">
        <v>3399</v>
      </c>
      <c r="F111" s="3481">
        <v>45.24</v>
      </c>
      <c r="G111" s="3478"/>
    </row>
    <row r="112" spans="1:7" ht="20.100000000000001" customHeight="1">
      <c r="A112" s="3478">
        <v>111</v>
      </c>
      <c r="B112" s="3478" t="s">
        <v>3396</v>
      </c>
      <c r="C112" s="3478" t="s">
        <v>3397</v>
      </c>
      <c r="D112" s="3478" t="s">
        <v>3509</v>
      </c>
      <c r="E112" s="3478" t="s">
        <v>3399</v>
      </c>
      <c r="F112" s="3481">
        <v>45.24</v>
      </c>
      <c r="G112" s="3478"/>
    </row>
    <row r="113" spans="1:9" ht="20.100000000000001" customHeight="1">
      <c r="A113" s="3478">
        <v>112</v>
      </c>
      <c r="B113" s="3478" t="s">
        <v>3396</v>
      </c>
      <c r="C113" s="3478" t="s">
        <v>3397</v>
      </c>
      <c r="D113" s="3478" t="s">
        <v>3510</v>
      </c>
      <c r="E113" s="3478" t="s">
        <v>3399</v>
      </c>
      <c r="F113" s="3481">
        <v>45.24</v>
      </c>
      <c r="G113" s="3478"/>
    </row>
    <row r="114" spans="1:9" ht="20.100000000000001" customHeight="1">
      <c r="A114" s="3478">
        <v>113</v>
      </c>
      <c r="B114" s="3478" t="s">
        <v>3396</v>
      </c>
      <c r="C114" s="3478" t="s">
        <v>3397</v>
      </c>
      <c r="D114" s="3478" t="s">
        <v>3511</v>
      </c>
      <c r="E114" s="3478" t="s">
        <v>3399</v>
      </c>
      <c r="F114" s="3481">
        <v>45.24</v>
      </c>
      <c r="G114" s="3478"/>
    </row>
    <row r="115" spans="1:9" ht="20.100000000000001" customHeight="1">
      <c r="A115" s="3478">
        <v>114</v>
      </c>
      <c r="B115" s="3478" t="s">
        <v>3396</v>
      </c>
      <c r="C115" s="3478" t="s">
        <v>3397</v>
      </c>
      <c r="D115" s="3478" t="s">
        <v>3512</v>
      </c>
      <c r="E115" s="3478" t="s">
        <v>3399</v>
      </c>
      <c r="F115" s="3481">
        <v>45.24</v>
      </c>
      <c r="G115" s="3478"/>
    </row>
    <row r="116" spans="1:9" ht="20.100000000000001" customHeight="1">
      <c r="A116" s="3478">
        <v>115</v>
      </c>
      <c r="B116" s="3478" t="s">
        <v>3396</v>
      </c>
      <c r="C116" s="3478" t="s">
        <v>3397</v>
      </c>
      <c r="D116" s="3478" t="s">
        <v>3513</v>
      </c>
      <c r="E116" s="3478" t="s">
        <v>3399</v>
      </c>
      <c r="F116" s="3481">
        <v>45.24</v>
      </c>
      <c r="G116" s="3478"/>
    </row>
    <row r="117" spans="1:9" ht="20.100000000000001" customHeight="1">
      <c r="A117" s="3478">
        <v>116</v>
      </c>
      <c r="B117" s="3478" t="s">
        <v>3396</v>
      </c>
      <c r="C117" s="3478" t="s">
        <v>3397</v>
      </c>
      <c r="D117" s="3478" t="s">
        <v>3514</v>
      </c>
      <c r="E117" s="3478" t="s">
        <v>3399</v>
      </c>
      <c r="F117" s="3481">
        <v>45.24</v>
      </c>
      <c r="G117" s="3478"/>
      <c r="I117">
        <f>SUM(F88:F117)</f>
        <v>1370.91</v>
      </c>
    </row>
    <row r="118" spans="1:9" ht="20.100000000000001" customHeight="1">
      <c r="A118" s="3478">
        <v>117</v>
      </c>
      <c r="B118" s="3478" t="s">
        <v>3396</v>
      </c>
      <c r="C118" s="3478" t="s">
        <v>3397</v>
      </c>
      <c r="D118" s="3478" t="s">
        <v>3515</v>
      </c>
      <c r="E118" s="3478" t="s">
        <v>3399</v>
      </c>
      <c r="F118" s="3481">
        <v>45.24</v>
      </c>
      <c r="G118" s="3478"/>
    </row>
    <row r="119" spans="1:9" ht="20.100000000000001" customHeight="1">
      <c r="A119" s="3478">
        <v>118</v>
      </c>
      <c r="B119" s="3478" t="s">
        <v>3396</v>
      </c>
      <c r="C119" s="3478" t="s">
        <v>3397</v>
      </c>
      <c r="D119" s="3478" t="s">
        <v>3516</v>
      </c>
      <c r="E119" s="3478" t="s">
        <v>3399</v>
      </c>
      <c r="F119" s="3481">
        <v>45.24</v>
      </c>
      <c r="G119" s="3478"/>
    </row>
    <row r="120" spans="1:9" ht="20.100000000000001" customHeight="1">
      <c r="A120" s="3478">
        <v>119</v>
      </c>
      <c r="B120" s="3478" t="s">
        <v>3396</v>
      </c>
      <c r="C120" s="3478" t="s">
        <v>3397</v>
      </c>
      <c r="D120" s="3478" t="s">
        <v>3517</v>
      </c>
      <c r="E120" s="3478" t="s">
        <v>3399</v>
      </c>
      <c r="F120" s="3481">
        <v>45.24</v>
      </c>
      <c r="G120" s="3478"/>
    </row>
    <row r="121" spans="1:9" ht="20.100000000000001" customHeight="1">
      <c r="A121" s="3478">
        <v>120</v>
      </c>
      <c r="B121" s="3478" t="s">
        <v>3396</v>
      </c>
      <c r="C121" s="3478" t="s">
        <v>3397</v>
      </c>
      <c r="D121" s="3478" t="s">
        <v>3518</v>
      </c>
      <c r="E121" s="3478" t="s">
        <v>3399</v>
      </c>
      <c r="F121" s="3481">
        <v>45.24</v>
      </c>
      <c r="G121" s="3478"/>
    </row>
    <row r="122" spans="1:9" ht="20.100000000000001" customHeight="1">
      <c r="A122" s="3478">
        <v>121</v>
      </c>
      <c r="B122" s="3478" t="s">
        <v>3396</v>
      </c>
      <c r="C122" s="3478" t="s">
        <v>3397</v>
      </c>
      <c r="D122" s="3478" t="s">
        <v>3519</v>
      </c>
      <c r="E122" s="3478" t="s">
        <v>3399</v>
      </c>
      <c r="F122" s="3481">
        <v>45.24</v>
      </c>
      <c r="G122" s="3478"/>
    </row>
    <row r="123" spans="1:9" ht="20.100000000000001" customHeight="1">
      <c r="A123" s="3478">
        <v>122</v>
      </c>
      <c r="B123" s="3478" t="s">
        <v>3396</v>
      </c>
      <c r="C123" s="3478" t="s">
        <v>3397</v>
      </c>
      <c r="D123" s="3478" t="s">
        <v>3520</v>
      </c>
      <c r="E123" s="3478" t="s">
        <v>3399</v>
      </c>
      <c r="F123" s="3481">
        <v>45.24</v>
      </c>
      <c r="G123" s="3478"/>
    </row>
    <row r="124" spans="1:9" ht="20.100000000000001" customHeight="1">
      <c r="A124" s="3478">
        <v>123</v>
      </c>
      <c r="B124" s="3478" t="s">
        <v>3396</v>
      </c>
      <c r="C124" s="3478" t="s">
        <v>3397</v>
      </c>
      <c r="D124" s="3478" t="s">
        <v>3521</v>
      </c>
      <c r="E124" s="3478" t="s">
        <v>3399</v>
      </c>
      <c r="F124" s="3481">
        <v>45.24</v>
      </c>
      <c r="G124" s="3478"/>
    </row>
    <row r="125" spans="1:9" ht="20.100000000000001" customHeight="1">
      <c r="A125" s="3478">
        <v>124</v>
      </c>
      <c r="B125" s="3478" t="s">
        <v>3396</v>
      </c>
      <c r="C125" s="3478" t="s">
        <v>3397</v>
      </c>
      <c r="D125" s="3478" t="s">
        <v>3522</v>
      </c>
      <c r="E125" s="3478" t="s">
        <v>3399</v>
      </c>
      <c r="F125" s="3481">
        <v>45.24</v>
      </c>
      <c r="G125" s="3478"/>
    </row>
    <row r="126" spans="1:9" ht="20.100000000000001" customHeight="1">
      <c r="A126" s="3478">
        <v>125</v>
      </c>
      <c r="B126" s="3478" t="s">
        <v>3396</v>
      </c>
      <c r="C126" s="3478" t="s">
        <v>3397</v>
      </c>
      <c r="D126" s="3478" t="s">
        <v>3523</v>
      </c>
      <c r="E126" s="3478" t="s">
        <v>3399</v>
      </c>
      <c r="F126" s="3481">
        <v>45.24</v>
      </c>
      <c r="G126" s="3478"/>
    </row>
    <row r="127" spans="1:9" ht="20.100000000000001" customHeight="1">
      <c r="A127" s="3478">
        <v>126</v>
      </c>
      <c r="B127" s="3478" t="s">
        <v>3396</v>
      </c>
      <c r="C127" s="3478" t="s">
        <v>3397</v>
      </c>
      <c r="D127" s="3478" t="s">
        <v>3524</v>
      </c>
      <c r="E127" s="3478" t="s">
        <v>3399</v>
      </c>
      <c r="F127" s="3481">
        <v>45.24</v>
      </c>
      <c r="G127" s="3478"/>
    </row>
    <row r="128" spans="1:9" ht="20.100000000000001" customHeight="1">
      <c r="A128" s="3478">
        <v>127</v>
      </c>
      <c r="B128" s="3478" t="s">
        <v>3396</v>
      </c>
      <c r="C128" s="3478" t="s">
        <v>3397</v>
      </c>
      <c r="D128" s="3478" t="s">
        <v>3525</v>
      </c>
      <c r="E128" s="3478" t="s">
        <v>3399</v>
      </c>
      <c r="F128" s="3481">
        <v>45.24</v>
      </c>
      <c r="G128" s="3478"/>
    </row>
    <row r="129" spans="1:11" ht="20.100000000000001" customHeight="1">
      <c r="A129" s="3478">
        <v>128</v>
      </c>
      <c r="B129" s="3478" t="s">
        <v>3396</v>
      </c>
      <c r="C129" s="3478" t="s">
        <v>3397</v>
      </c>
      <c r="D129" s="3478" t="s">
        <v>3526</v>
      </c>
      <c r="E129" s="3478" t="s">
        <v>3399</v>
      </c>
      <c r="F129" s="3481">
        <v>45.24</v>
      </c>
      <c r="G129" s="3478"/>
    </row>
    <row r="130" spans="1:11" ht="20.100000000000001" customHeight="1">
      <c r="A130" s="3478">
        <v>129</v>
      </c>
      <c r="B130" s="3478" t="s">
        <v>3396</v>
      </c>
      <c r="C130" s="3478" t="s">
        <v>3397</v>
      </c>
      <c r="D130" s="3478" t="s">
        <v>3527</v>
      </c>
      <c r="E130" s="3478" t="s">
        <v>3399</v>
      </c>
      <c r="F130" s="3481">
        <v>45.24</v>
      </c>
      <c r="G130" s="3478"/>
    </row>
    <row r="131" spans="1:11" ht="20.100000000000001" customHeight="1">
      <c r="A131" s="3478">
        <v>130</v>
      </c>
      <c r="B131" s="3478" t="s">
        <v>3396</v>
      </c>
      <c r="C131" s="3478" t="s">
        <v>3397</v>
      </c>
      <c r="D131" s="3478" t="s">
        <v>3528</v>
      </c>
      <c r="E131" s="3478" t="s">
        <v>3399</v>
      </c>
      <c r="F131" s="3481">
        <v>45.24</v>
      </c>
      <c r="G131" s="3478"/>
    </row>
    <row r="132" spans="1:11" ht="20.100000000000001" customHeight="1">
      <c r="A132" s="3478">
        <v>131</v>
      </c>
      <c r="B132" s="3478" t="s">
        <v>3396</v>
      </c>
      <c r="C132" s="3478" t="s">
        <v>3397</v>
      </c>
      <c r="D132" s="3478" t="s">
        <v>3529</v>
      </c>
      <c r="E132" s="3478" t="s">
        <v>3399</v>
      </c>
      <c r="F132" s="3481">
        <v>45.24</v>
      </c>
      <c r="G132" s="3478"/>
    </row>
    <row r="133" spans="1:11" ht="20.100000000000001" customHeight="1">
      <c r="A133" s="3478">
        <v>132</v>
      </c>
      <c r="B133" s="3478" t="s">
        <v>3396</v>
      </c>
      <c r="C133" s="3478" t="s">
        <v>3397</v>
      </c>
      <c r="D133" s="3478" t="s">
        <v>3530</v>
      </c>
      <c r="E133" s="3478" t="s">
        <v>3399</v>
      </c>
      <c r="F133" s="3481">
        <v>45.24</v>
      </c>
      <c r="G133" s="3478"/>
    </row>
    <row r="134" spans="1:11" ht="20.100000000000001" customHeight="1">
      <c r="A134" s="3478">
        <v>133</v>
      </c>
      <c r="B134" s="3478" t="s">
        <v>3396</v>
      </c>
      <c r="C134" s="3478" t="s">
        <v>3397</v>
      </c>
      <c r="D134" s="3478" t="s">
        <v>3531</v>
      </c>
      <c r="E134" s="3478" t="s">
        <v>3399</v>
      </c>
      <c r="F134" s="3481">
        <v>45.24</v>
      </c>
      <c r="G134" s="3478"/>
    </row>
    <row r="135" spans="1:11" ht="20.100000000000001" customHeight="1">
      <c r="A135" s="3478">
        <v>134</v>
      </c>
      <c r="B135" s="3478" t="s">
        <v>3396</v>
      </c>
      <c r="C135" s="3478" t="s">
        <v>3397</v>
      </c>
      <c r="D135" s="3478" t="s">
        <v>3532</v>
      </c>
      <c r="E135" s="3478" t="s">
        <v>3399</v>
      </c>
      <c r="F135" s="3481">
        <v>45.24</v>
      </c>
      <c r="G135" s="3478"/>
    </row>
    <row r="136" spans="1:11" ht="20.100000000000001" customHeight="1">
      <c r="A136" s="3478">
        <v>135</v>
      </c>
      <c r="B136" s="3478" t="s">
        <v>3396</v>
      </c>
      <c r="C136" s="3478" t="s">
        <v>3397</v>
      </c>
      <c r="D136" s="3478" t="s">
        <v>3533</v>
      </c>
      <c r="E136" s="3478" t="s">
        <v>3399</v>
      </c>
      <c r="F136" s="3481">
        <v>45.24</v>
      </c>
      <c r="G136" s="3478"/>
    </row>
    <row r="137" spans="1:11" ht="20.100000000000001" customHeight="1">
      <c r="A137" s="3478">
        <v>136</v>
      </c>
      <c r="B137" s="3478" t="s">
        <v>3396</v>
      </c>
      <c r="C137" s="3478" t="s">
        <v>3397</v>
      </c>
      <c r="D137" s="3478" t="s">
        <v>3534</v>
      </c>
      <c r="E137" s="3478" t="s">
        <v>3399</v>
      </c>
      <c r="F137" s="3481">
        <v>45.24</v>
      </c>
      <c r="G137" s="3478"/>
    </row>
    <row r="138" spans="1:11" ht="20.100000000000001" customHeight="1">
      <c r="A138" s="3478">
        <v>137</v>
      </c>
      <c r="B138" s="3478" t="s">
        <v>3396</v>
      </c>
      <c r="C138" s="3478" t="s">
        <v>3397</v>
      </c>
      <c r="D138" s="3478" t="s">
        <v>3535</v>
      </c>
      <c r="E138" s="3478" t="s">
        <v>3399</v>
      </c>
      <c r="F138" s="3481">
        <v>45.24</v>
      </c>
      <c r="G138" s="3478"/>
    </row>
    <row r="139" spans="1:11" ht="20.100000000000001" customHeight="1">
      <c r="A139" s="3478">
        <v>138</v>
      </c>
      <c r="B139" s="3478" t="s">
        <v>3396</v>
      </c>
      <c r="C139" s="3478" t="s">
        <v>3397</v>
      </c>
      <c r="D139" s="3478" t="s">
        <v>3536</v>
      </c>
      <c r="E139" s="3478" t="s">
        <v>3399</v>
      </c>
      <c r="F139" s="3481">
        <v>45.24</v>
      </c>
      <c r="G139" s="3478"/>
    </row>
    <row r="140" spans="1:11" ht="20.100000000000001" customHeight="1">
      <c r="A140" s="3478">
        <v>139</v>
      </c>
      <c r="B140" s="3478" t="s">
        <v>3396</v>
      </c>
      <c r="C140" s="3478" t="s">
        <v>3397</v>
      </c>
      <c r="D140" s="3478" t="s">
        <v>3537</v>
      </c>
      <c r="E140" s="3478" t="s">
        <v>3399</v>
      </c>
      <c r="F140" s="3481">
        <v>52.78</v>
      </c>
      <c r="G140" s="3478"/>
    </row>
    <row r="141" spans="1:11" ht="20.100000000000001" customHeight="1">
      <c r="A141" s="3478">
        <v>140</v>
      </c>
      <c r="B141" s="3478" t="s">
        <v>3396</v>
      </c>
      <c r="C141" s="3478" t="s">
        <v>3397</v>
      </c>
      <c r="D141" s="3478" t="s">
        <v>3538</v>
      </c>
      <c r="E141" s="3478" t="s">
        <v>3399</v>
      </c>
      <c r="F141" s="3481">
        <v>43.36</v>
      </c>
      <c r="G141" s="3478"/>
      <c r="I141">
        <f>SUM(F118:F141)</f>
        <v>1091.42</v>
      </c>
      <c r="J141">
        <f>48.07+56.55+45.24*3+48.07</f>
        <v>288.41000000000003</v>
      </c>
      <c r="K141">
        <f>I141+J141</f>
        <v>1379.8300000000002</v>
      </c>
    </row>
    <row r="142" spans="1:11" ht="20.100000000000001" customHeight="1">
      <c r="A142" s="3478">
        <v>141</v>
      </c>
      <c r="B142" s="3478" t="s">
        <v>3396</v>
      </c>
      <c r="C142" s="3478" t="s">
        <v>3397</v>
      </c>
      <c r="D142" s="3478" t="s">
        <v>3539</v>
      </c>
      <c r="E142" s="3478" t="s">
        <v>3399</v>
      </c>
      <c r="F142" s="3481">
        <v>43.36</v>
      </c>
      <c r="G142" s="3478"/>
    </row>
    <row r="143" spans="1:11" ht="20.100000000000001" customHeight="1">
      <c r="A143" s="3478">
        <v>142</v>
      </c>
      <c r="B143" s="3478" t="s">
        <v>3396</v>
      </c>
      <c r="C143" s="3478" t="s">
        <v>3397</v>
      </c>
      <c r="D143" s="3478" t="s">
        <v>3540</v>
      </c>
      <c r="E143" s="3478" t="s">
        <v>3399</v>
      </c>
      <c r="F143" s="3481">
        <v>43.36</v>
      </c>
      <c r="G143" s="3478"/>
    </row>
    <row r="144" spans="1:11" ht="20.100000000000001" customHeight="1">
      <c r="A144" s="3478">
        <v>143</v>
      </c>
      <c r="B144" s="3478" t="s">
        <v>3396</v>
      </c>
      <c r="C144" s="3478" t="s">
        <v>3397</v>
      </c>
      <c r="D144" s="3478" t="s">
        <v>3541</v>
      </c>
      <c r="E144" s="3478" t="s">
        <v>3399</v>
      </c>
      <c r="F144" s="3481">
        <v>40.380000000000003</v>
      </c>
      <c r="G144" s="3478"/>
    </row>
    <row r="145" spans="1:7" ht="20.100000000000001" customHeight="1">
      <c r="A145" s="3478">
        <v>144</v>
      </c>
      <c r="B145" s="3478" t="s">
        <v>3396</v>
      </c>
      <c r="C145" s="3478" t="s">
        <v>3397</v>
      </c>
      <c r="D145" s="3478" t="s">
        <v>3542</v>
      </c>
      <c r="E145" s="3478" t="s">
        <v>3399</v>
      </c>
      <c r="F145" s="3481">
        <v>40.380000000000003</v>
      </c>
      <c r="G145" s="3478"/>
    </row>
    <row r="146" spans="1:7" ht="20.100000000000001" customHeight="1">
      <c r="A146" s="3478">
        <v>145</v>
      </c>
      <c r="B146" s="3478" t="s">
        <v>3396</v>
      </c>
      <c r="C146" s="3478" t="s">
        <v>3397</v>
      </c>
      <c r="D146" s="3478" t="s">
        <v>3543</v>
      </c>
      <c r="E146" s="3478" t="s">
        <v>3399</v>
      </c>
      <c r="F146" s="3481">
        <v>47.13</v>
      </c>
      <c r="G146" s="3478"/>
    </row>
    <row r="147" spans="1:7" ht="20.100000000000001" customHeight="1">
      <c r="A147" s="3478">
        <v>146</v>
      </c>
      <c r="B147" s="3478" t="s">
        <v>3396</v>
      </c>
      <c r="C147" s="3478" t="s">
        <v>3397</v>
      </c>
      <c r="D147" s="3478" t="s">
        <v>3544</v>
      </c>
      <c r="E147" s="3478" t="s">
        <v>3399</v>
      </c>
      <c r="F147" s="3481">
        <v>45.24</v>
      </c>
      <c r="G147" s="3478"/>
    </row>
    <row r="148" spans="1:7" ht="20.100000000000001" customHeight="1">
      <c r="A148" s="3478">
        <v>147</v>
      </c>
      <c r="B148" s="3478" t="s">
        <v>3396</v>
      </c>
      <c r="C148" s="3478" t="s">
        <v>3397</v>
      </c>
      <c r="D148" s="3478" t="s">
        <v>3545</v>
      </c>
      <c r="E148" s="3478" t="s">
        <v>3399</v>
      </c>
      <c r="F148" s="3481">
        <v>45.24</v>
      </c>
      <c r="G148" s="3478"/>
    </row>
    <row r="149" spans="1:7" ht="20.100000000000001" customHeight="1">
      <c r="A149" s="3478">
        <v>148</v>
      </c>
      <c r="B149" s="3478" t="s">
        <v>3396</v>
      </c>
      <c r="C149" s="3478" t="s">
        <v>3397</v>
      </c>
      <c r="D149" s="3478" t="s">
        <v>3546</v>
      </c>
      <c r="E149" s="3478" t="s">
        <v>3399</v>
      </c>
      <c r="F149" s="3481">
        <v>45.24</v>
      </c>
      <c r="G149" s="3478"/>
    </row>
    <row r="150" spans="1:7" ht="20.100000000000001" customHeight="1">
      <c r="A150" s="3478">
        <v>149</v>
      </c>
      <c r="B150" s="3478" t="s">
        <v>3396</v>
      </c>
      <c r="C150" s="3478" t="s">
        <v>3397</v>
      </c>
      <c r="D150" s="3478" t="s">
        <v>3547</v>
      </c>
      <c r="E150" s="3478" t="s">
        <v>3399</v>
      </c>
      <c r="F150" s="3481">
        <v>41.47</v>
      </c>
      <c r="G150" s="3478"/>
    </row>
    <row r="151" spans="1:7" ht="20.100000000000001" customHeight="1">
      <c r="A151" s="3478">
        <v>150</v>
      </c>
      <c r="B151" s="3478" t="s">
        <v>3396</v>
      </c>
      <c r="C151" s="3478" t="s">
        <v>3397</v>
      </c>
      <c r="D151" s="3478" t="s">
        <v>3548</v>
      </c>
      <c r="E151" s="3478" t="s">
        <v>3399</v>
      </c>
      <c r="F151" s="3481">
        <v>45.24</v>
      </c>
      <c r="G151" s="3478"/>
    </row>
    <row r="152" spans="1:7" ht="20.100000000000001" customHeight="1">
      <c r="A152" s="3478">
        <v>151</v>
      </c>
      <c r="B152" s="3478" t="s">
        <v>3396</v>
      </c>
      <c r="C152" s="3478" t="s">
        <v>3397</v>
      </c>
      <c r="D152" s="3478" t="s">
        <v>3549</v>
      </c>
      <c r="E152" s="3478" t="s">
        <v>3399</v>
      </c>
      <c r="F152" s="3481">
        <v>47.05</v>
      </c>
      <c r="G152" s="3478"/>
    </row>
    <row r="153" spans="1:7" ht="20.100000000000001" customHeight="1">
      <c r="A153" s="3478">
        <v>152</v>
      </c>
      <c r="B153" s="3478" t="s">
        <v>3396</v>
      </c>
      <c r="C153" s="3478" t="s">
        <v>3397</v>
      </c>
      <c r="D153" s="3478" t="s">
        <v>3550</v>
      </c>
      <c r="E153" s="3478" t="s">
        <v>3399</v>
      </c>
      <c r="F153" s="3481">
        <v>47.05</v>
      </c>
      <c r="G153" s="3478"/>
    </row>
    <row r="154" spans="1:7" ht="20.100000000000001" customHeight="1">
      <c r="A154" s="3478">
        <v>153</v>
      </c>
      <c r="B154" s="3478" t="s">
        <v>3396</v>
      </c>
      <c r="C154" s="3478" t="s">
        <v>3397</v>
      </c>
      <c r="D154" s="3478" t="s">
        <v>3551</v>
      </c>
      <c r="E154" s="3478" t="s">
        <v>3399</v>
      </c>
      <c r="F154" s="3481">
        <v>47.05</v>
      </c>
      <c r="G154" s="3478"/>
    </row>
    <row r="155" spans="1:7" ht="20.100000000000001" customHeight="1">
      <c r="A155" s="3478">
        <v>154</v>
      </c>
      <c r="B155" s="3478" t="s">
        <v>3396</v>
      </c>
      <c r="C155" s="3478" t="s">
        <v>3397</v>
      </c>
      <c r="D155" s="3478" t="s">
        <v>3552</v>
      </c>
      <c r="E155" s="3478" t="s">
        <v>3399</v>
      </c>
      <c r="F155" s="3481">
        <v>45.09</v>
      </c>
      <c r="G155" s="3478"/>
    </row>
    <row r="156" spans="1:7" ht="20.100000000000001" customHeight="1">
      <c r="A156" s="3478">
        <v>155</v>
      </c>
      <c r="B156" s="3478" t="s">
        <v>3396</v>
      </c>
      <c r="C156" s="3478" t="s">
        <v>3397</v>
      </c>
      <c r="D156" s="3478" t="s">
        <v>3553</v>
      </c>
      <c r="E156" s="3478" t="s">
        <v>3399</v>
      </c>
      <c r="F156" s="3481">
        <v>47.05</v>
      </c>
      <c r="G156" s="3478"/>
    </row>
    <row r="157" spans="1:7" ht="20.100000000000001" customHeight="1">
      <c r="A157" s="3478">
        <v>156</v>
      </c>
      <c r="B157" s="3478" t="s">
        <v>3396</v>
      </c>
      <c r="C157" s="3478" t="s">
        <v>3397</v>
      </c>
      <c r="D157" s="3478" t="s">
        <v>3554</v>
      </c>
      <c r="E157" s="3478" t="s">
        <v>3399</v>
      </c>
      <c r="F157" s="3481">
        <v>47.05</v>
      </c>
      <c r="G157" s="3478"/>
    </row>
    <row r="158" spans="1:7" ht="20.100000000000001" customHeight="1">
      <c r="A158" s="3478">
        <v>157</v>
      </c>
      <c r="B158" s="3478" t="s">
        <v>3396</v>
      </c>
      <c r="C158" s="3478" t="s">
        <v>3397</v>
      </c>
      <c r="D158" s="3478" t="s">
        <v>3555</v>
      </c>
      <c r="E158" s="3478" t="s">
        <v>3399</v>
      </c>
      <c r="F158" s="3481">
        <v>45.09</v>
      </c>
      <c r="G158" s="3478"/>
    </row>
    <row r="159" spans="1:7" ht="20.100000000000001" customHeight="1">
      <c r="A159" s="3478">
        <v>158</v>
      </c>
      <c r="B159" s="3478" t="s">
        <v>3396</v>
      </c>
      <c r="C159" s="3478" t="s">
        <v>3397</v>
      </c>
      <c r="D159" s="3478" t="s">
        <v>3556</v>
      </c>
      <c r="E159" s="3478" t="s">
        <v>3399</v>
      </c>
      <c r="F159" s="3481">
        <v>47.05</v>
      </c>
      <c r="G159" s="3478"/>
    </row>
    <row r="160" spans="1:7" ht="20.100000000000001" customHeight="1">
      <c r="A160" s="3478">
        <v>159</v>
      </c>
      <c r="B160" s="3478" t="s">
        <v>3396</v>
      </c>
      <c r="C160" s="3478" t="s">
        <v>3397</v>
      </c>
      <c r="D160" s="3478" t="s">
        <v>3557</v>
      </c>
      <c r="E160" s="3478" t="s">
        <v>3399</v>
      </c>
      <c r="F160" s="3481">
        <v>47.05</v>
      </c>
      <c r="G160" s="3478"/>
    </row>
    <row r="161" spans="1:7" ht="20.100000000000001" customHeight="1">
      <c r="A161" s="3478">
        <v>160</v>
      </c>
      <c r="B161" s="3478" t="s">
        <v>3396</v>
      </c>
      <c r="C161" s="3478" t="s">
        <v>3397</v>
      </c>
      <c r="D161" s="3478" t="s">
        <v>3558</v>
      </c>
      <c r="E161" s="3478" t="s">
        <v>3399</v>
      </c>
      <c r="F161" s="3481">
        <v>45.09</v>
      </c>
      <c r="G161" s="3478"/>
    </row>
    <row r="162" spans="1:7" ht="20.100000000000001" customHeight="1">
      <c r="A162" s="3478">
        <v>161</v>
      </c>
      <c r="B162" s="3478" t="s">
        <v>3396</v>
      </c>
      <c r="C162" s="3478" t="s">
        <v>3397</v>
      </c>
      <c r="D162" s="3478" t="s">
        <v>3559</v>
      </c>
      <c r="E162" s="3478" t="s">
        <v>3399</v>
      </c>
      <c r="F162" s="3481">
        <v>47.05</v>
      </c>
      <c r="G162" s="3478"/>
    </row>
    <row r="163" spans="1:7" ht="20.100000000000001" customHeight="1">
      <c r="A163" s="3478">
        <v>162</v>
      </c>
      <c r="B163" s="3478" t="s">
        <v>3396</v>
      </c>
      <c r="C163" s="3478" t="s">
        <v>3397</v>
      </c>
      <c r="D163" s="3478" t="s">
        <v>3560</v>
      </c>
      <c r="E163" s="3478" t="s">
        <v>3399</v>
      </c>
      <c r="F163" s="3481">
        <v>47.05</v>
      </c>
      <c r="G163" s="3478"/>
    </row>
    <row r="164" spans="1:7" ht="20.100000000000001" customHeight="1">
      <c r="A164" s="3478">
        <v>163</v>
      </c>
      <c r="B164" s="3478" t="s">
        <v>3396</v>
      </c>
      <c r="C164" s="3478" t="s">
        <v>3397</v>
      </c>
      <c r="D164" s="3478" t="s">
        <v>3561</v>
      </c>
      <c r="E164" s="3478" t="s">
        <v>3399</v>
      </c>
      <c r="F164" s="3481">
        <v>45.09</v>
      </c>
      <c r="G164" s="3478"/>
    </row>
    <row r="165" spans="1:7" ht="20.100000000000001" customHeight="1">
      <c r="A165" s="3478">
        <v>164</v>
      </c>
      <c r="B165" s="3478" t="s">
        <v>3396</v>
      </c>
      <c r="C165" s="3478" t="s">
        <v>3397</v>
      </c>
      <c r="D165" s="3478" t="s">
        <v>3562</v>
      </c>
      <c r="E165" s="3478" t="s">
        <v>3399</v>
      </c>
      <c r="F165" s="3481">
        <v>47.05</v>
      </c>
      <c r="G165" s="3478"/>
    </row>
    <row r="166" spans="1:7" ht="20.100000000000001" customHeight="1">
      <c r="A166" s="3478">
        <v>165</v>
      </c>
      <c r="B166" s="3478" t="s">
        <v>3396</v>
      </c>
      <c r="C166" s="3478" t="s">
        <v>3397</v>
      </c>
      <c r="D166" s="3478" t="s">
        <v>3563</v>
      </c>
      <c r="E166" s="3478" t="s">
        <v>3399</v>
      </c>
      <c r="F166" s="3481">
        <v>45.24</v>
      </c>
      <c r="G166" s="3478"/>
    </row>
    <row r="167" spans="1:7" ht="20.100000000000001" customHeight="1">
      <c r="A167" s="3478">
        <v>166</v>
      </c>
      <c r="B167" s="3478" t="s">
        <v>3396</v>
      </c>
      <c r="C167" s="3478" t="s">
        <v>3397</v>
      </c>
      <c r="D167" s="3478" t="s">
        <v>3564</v>
      </c>
      <c r="E167" s="3478" t="s">
        <v>3399</v>
      </c>
      <c r="F167" s="3481">
        <v>45.24</v>
      </c>
      <c r="G167" s="3478"/>
    </row>
    <row r="168" spans="1:7" ht="20.100000000000001" customHeight="1">
      <c r="A168" s="3478">
        <v>167</v>
      </c>
      <c r="B168" s="3478" t="s">
        <v>3396</v>
      </c>
      <c r="C168" s="3478" t="s">
        <v>3397</v>
      </c>
      <c r="D168" s="3478" t="s">
        <v>3565</v>
      </c>
      <c r="E168" s="3478" t="s">
        <v>3399</v>
      </c>
      <c r="F168" s="3481">
        <v>45.24</v>
      </c>
      <c r="G168" s="3478"/>
    </row>
    <row r="169" spans="1:7" ht="20.100000000000001" customHeight="1">
      <c r="A169" s="3478">
        <v>168</v>
      </c>
      <c r="B169" s="3478" t="s">
        <v>3396</v>
      </c>
      <c r="C169" s="3478" t="s">
        <v>3397</v>
      </c>
      <c r="D169" s="3478" t="s">
        <v>3566</v>
      </c>
      <c r="E169" s="3478" t="s">
        <v>3399</v>
      </c>
      <c r="F169" s="3481">
        <v>45.24</v>
      </c>
      <c r="G169" s="3478"/>
    </row>
    <row r="170" spans="1:7" ht="20.100000000000001" customHeight="1">
      <c r="A170" s="3478">
        <v>169</v>
      </c>
      <c r="B170" s="3478" t="s">
        <v>3396</v>
      </c>
      <c r="C170" s="3478" t="s">
        <v>3397</v>
      </c>
      <c r="D170" s="3478" t="s">
        <v>3567</v>
      </c>
      <c r="E170" s="3478" t="s">
        <v>3399</v>
      </c>
      <c r="F170" s="3481">
        <v>45.24</v>
      </c>
      <c r="G170" s="3478"/>
    </row>
    <row r="171" spans="1:7" ht="20.100000000000001" customHeight="1">
      <c r="A171" s="3478">
        <v>170</v>
      </c>
      <c r="B171" s="3478" t="s">
        <v>3396</v>
      </c>
      <c r="C171" s="3478" t="s">
        <v>3397</v>
      </c>
      <c r="D171" s="3478" t="s">
        <v>3568</v>
      </c>
      <c r="E171" s="3478" t="s">
        <v>3399</v>
      </c>
      <c r="F171" s="3481">
        <v>45.24</v>
      </c>
      <c r="G171" s="3478"/>
    </row>
    <row r="172" spans="1:7" ht="20.100000000000001" customHeight="1">
      <c r="A172" s="3478">
        <v>171</v>
      </c>
      <c r="B172" s="3478" t="s">
        <v>3396</v>
      </c>
      <c r="C172" s="3478" t="s">
        <v>3397</v>
      </c>
      <c r="D172" s="3478" t="s">
        <v>3569</v>
      </c>
      <c r="E172" s="3478" t="s">
        <v>3399</v>
      </c>
      <c r="F172" s="3481">
        <v>45.24</v>
      </c>
      <c r="G172" s="3478"/>
    </row>
    <row r="173" spans="1:7" ht="20.100000000000001" customHeight="1">
      <c r="A173" s="3478">
        <v>172</v>
      </c>
      <c r="B173" s="3478" t="s">
        <v>3396</v>
      </c>
      <c r="C173" s="3478" t="s">
        <v>3397</v>
      </c>
      <c r="D173" s="3478" t="s">
        <v>3570</v>
      </c>
      <c r="E173" s="3478" t="s">
        <v>3399</v>
      </c>
      <c r="F173" s="3481">
        <v>45.24</v>
      </c>
      <c r="G173" s="3478"/>
    </row>
    <row r="174" spans="1:7" ht="20.100000000000001" customHeight="1">
      <c r="A174" s="3478">
        <v>173</v>
      </c>
      <c r="B174" s="3478" t="s">
        <v>3396</v>
      </c>
      <c r="C174" s="3478" t="s">
        <v>3397</v>
      </c>
      <c r="D174" s="3478" t="s">
        <v>3571</v>
      </c>
      <c r="E174" s="3478" t="s">
        <v>3399</v>
      </c>
      <c r="F174" s="3481">
        <v>45.24</v>
      </c>
      <c r="G174" s="3478"/>
    </row>
    <row r="175" spans="1:7" ht="20.100000000000001" customHeight="1">
      <c r="A175" s="3478">
        <v>174</v>
      </c>
      <c r="B175" s="3478" t="s">
        <v>3396</v>
      </c>
      <c r="C175" s="3478" t="s">
        <v>3397</v>
      </c>
      <c r="D175" s="3478" t="s">
        <v>3572</v>
      </c>
      <c r="E175" s="3478" t="s">
        <v>3399</v>
      </c>
      <c r="F175" s="3481">
        <v>45.24</v>
      </c>
      <c r="G175" s="3478"/>
    </row>
    <row r="176" spans="1:7" ht="20.100000000000001" customHeight="1">
      <c r="A176" s="3478">
        <v>175</v>
      </c>
      <c r="B176" s="3478" t="s">
        <v>3396</v>
      </c>
      <c r="C176" s="3478" t="s">
        <v>3397</v>
      </c>
      <c r="D176" s="3478" t="s">
        <v>3573</v>
      </c>
      <c r="E176" s="3478" t="s">
        <v>3399</v>
      </c>
      <c r="F176" s="3481">
        <v>45.24</v>
      </c>
      <c r="G176" s="3478"/>
    </row>
    <row r="177" spans="1:7" ht="20.100000000000001" customHeight="1">
      <c r="A177" s="3478">
        <v>176</v>
      </c>
      <c r="B177" s="3478" t="s">
        <v>3396</v>
      </c>
      <c r="C177" s="3478" t="s">
        <v>3397</v>
      </c>
      <c r="D177" s="3478" t="s">
        <v>3574</v>
      </c>
      <c r="E177" s="3478" t="s">
        <v>3399</v>
      </c>
      <c r="F177" s="3481">
        <v>45.24</v>
      </c>
      <c r="G177" s="3478"/>
    </row>
    <row r="178" spans="1:7" ht="20.100000000000001" customHeight="1">
      <c r="A178" s="3478">
        <v>177</v>
      </c>
      <c r="B178" s="3478" t="s">
        <v>3396</v>
      </c>
      <c r="C178" s="3478" t="s">
        <v>3397</v>
      </c>
      <c r="D178" s="3478" t="s">
        <v>3575</v>
      </c>
      <c r="E178" s="3478" t="s">
        <v>3399</v>
      </c>
      <c r="F178" s="3481">
        <v>47.96</v>
      </c>
      <c r="G178" s="3478"/>
    </row>
    <row r="179" spans="1:7" ht="20.100000000000001" customHeight="1">
      <c r="A179" s="3478">
        <v>178</v>
      </c>
      <c r="B179" s="3478" t="s">
        <v>3396</v>
      </c>
      <c r="C179" s="3478" t="s">
        <v>3397</v>
      </c>
      <c r="D179" s="3478" t="s">
        <v>3576</v>
      </c>
      <c r="E179" s="3478" t="s">
        <v>3399</v>
      </c>
      <c r="F179" s="3481">
        <v>47.96</v>
      </c>
      <c r="G179" s="3478"/>
    </row>
    <row r="180" spans="1:7" ht="20.100000000000001" customHeight="1">
      <c r="A180" s="3478">
        <v>179</v>
      </c>
      <c r="B180" s="3478" t="s">
        <v>3396</v>
      </c>
      <c r="C180" s="3478" t="s">
        <v>3397</v>
      </c>
      <c r="D180" s="3478" t="s">
        <v>3577</v>
      </c>
      <c r="E180" s="3478" t="s">
        <v>3399</v>
      </c>
      <c r="F180" s="3481">
        <v>47.96</v>
      </c>
      <c r="G180" s="3478"/>
    </row>
    <row r="181" spans="1:7" ht="20.100000000000001" customHeight="1">
      <c r="A181" s="3478">
        <v>180</v>
      </c>
      <c r="B181" s="3478" t="s">
        <v>3396</v>
      </c>
      <c r="C181" s="3478" t="s">
        <v>3397</v>
      </c>
      <c r="D181" s="3478" t="s">
        <v>3578</v>
      </c>
      <c r="E181" s="3478" t="s">
        <v>3399</v>
      </c>
      <c r="F181" s="3481">
        <v>47.96</v>
      </c>
      <c r="G181" s="3478"/>
    </row>
    <row r="182" spans="1:7" ht="20.100000000000001" customHeight="1">
      <c r="A182" s="3478">
        <v>181</v>
      </c>
      <c r="B182" s="3478" t="s">
        <v>3396</v>
      </c>
      <c r="C182" s="3478" t="s">
        <v>3397</v>
      </c>
      <c r="D182" s="3478" t="s">
        <v>3579</v>
      </c>
      <c r="E182" s="3478" t="s">
        <v>3399</v>
      </c>
      <c r="F182" s="3481">
        <v>47.96</v>
      </c>
      <c r="G182" s="3478"/>
    </row>
    <row r="183" spans="1:7" ht="20.100000000000001" customHeight="1">
      <c r="A183" s="3478">
        <v>182</v>
      </c>
      <c r="B183" s="3478" t="s">
        <v>3396</v>
      </c>
      <c r="C183" s="3478" t="s">
        <v>3397</v>
      </c>
      <c r="D183" s="3478" t="s">
        <v>3580</v>
      </c>
      <c r="E183" s="3478" t="s">
        <v>3399</v>
      </c>
      <c r="F183" s="3481">
        <v>47.96</v>
      </c>
      <c r="G183" s="3478"/>
    </row>
    <row r="184" spans="1:7" ht="20.100000000000001" customHeight="1">
      <c r="A184" s="3478">
        <v>183</v>
      </c>
      <c r="B184" s="3478" t="s">
        <v>3396</v>
      </c>
      <c r="C184" s="3478" t="s">
        <v>3397</v>
      </c>
      <c r="D184" s="3478" t="s">
        <v>3581</v>
      </c>
      <c r="E184" s="3478" t="s">
        <v>3399</v>
      </c>
      <c r="F184" s="3481">
        <v>47.96</v>
      </c>
      <c r="G184" s="3478"/>
    </row>
    <row r="185" spans="1:7" ht="20.100000000000001" customHeight="1">
      <c r="A185" s="3478">
        <v>184</v>
      </c>
      <c r="B185" s="3478" t="s">
        <v>3396</v>
      </c>
      <c r="C185" s="3478" t="s">
        <v>3397</v>
      </c>
      <c r="D185" s="3478" t="s">
        <v>3582</v>
      </c>
      <c r="E185" s="3478" t="s">
        <v>3399</v>
      </c>
      <c r="F185" s="3481">
        <v>47.96</v>
      </c>
      <c r="G185" s="3478"/>
    </row>
    <row r="186" spans="1:7" ht="20.100000000000001" customHeight="1">
      <c r="A186" s="3478">
        <v>185</v>
      </c>
      <c r="B186" s="3478" t="s">
        <v>3396</v>
      </c>
      <c r="C186" s="3478" t="s">
        <v>3397</v>
      </c>
      <c r="D186" s="3478" t="s">
        <v>3583</v>
      </c>
      <c r="E186" s="3478" t="s">
        <v>3399</v>
      </c>
      <c r="F186" s="3481">
        <v>47.96</v>
      </c>
      <c r="G186" s="3478"/>
    </row>
    <row r="187" spans="1:7" ht="20.100000000000001" customHeight="1">
      <c r="A187" s="3478">
        <v>186</v>
      </c>
      <c r="B187" s="3478" t="s">
        <v>3396</v>
      </c>
      <c r="C187" s="3478" t="s">
        <v>3397</v>
      </c>
      <c r="D187" s="3478" t="s">
        <v>3584</v>
      </c>
      <c r="E187" s="3478" t="s">
        <v>3399</v>
      </c>
      <c r="F187" s="3481">
        <v>47.96</v>
      </c>
      <c r="G187" s="3478"/>
    </row>
    <row r="188" spans="1:7" ht="20.100000000000001" customHeight="1">
      <c r="A188" s="3478">
        <v>187</v>
      </c>
      <c r="B188" s="3478" t="s">
        <v>3396</v>
      </c>
      <c r="C188" s="3478" t="s">
        <v>3397</v>
      </c>
      <c r="D188" s="3478" t="s">
        <v>3585</v>
      </c>
      <c r="E188" s="3478" t="s">
        <v>3399</v>
      </c>
      <c r="F188" s="3481">
        <v>47.96</v>
      </c>
      <c r="G188" s="3478"/>
    </row>
    <row r="189" spans="1:7" ht="20.100000000000001" customHeight="1">
      <c r="A189" s="3478">
        <v>188</v>
      </c>
      <c r="B189" s="3478" t="s">
        <v>3396</v>
      </c>
      <c r="C189" s="3478" t="s">
        <v>3397</v>
      </c>
      <c r="D189" s="3478" t="s">
        <v>3586</v>
      </c>
      <c r="E189" s="3478" t="s">
        <v>3399</v>
      </c>
      <c r="F189" s="3481">
        <v>47.96</v>
      </c>
      <c r="G189" s="3478"/>
    </row>
    <row r="190" spans="1:7" ht="20.100000000000001" customHeight="1">
      <c r="A190" s="3478">
        <v>189</v>
      </c>
      <c r="B190" s="3478" t="s">
        <v>3396</v>
      </c>
      <c r="C190" s="3478" t="s">
        <v>3397</v>
      </c>
      <c r="D190" s="3478" t="s">
        <v>3587</v>
      </c>
      <c r="E190" s="3478" t="s">
        <v>3399</v>
      </c>
      <c r="F190" s="3481">
        <v>46.15</v>
      </c>
      <c r="G190" s="3478"/>
    </row>
    <row r="191" spans="1:7" ht="20.100000000000001" customHeight="1">
      <c r="A191" s="3478">
        <v>190</v>
      </c>
      <c r="B191" s="3478" t="s">
        <v>3396</v>
      </c>
      <c r="C191" s="3478" t="s">
        <v>3397</v>
      </c>
      <c r="D191" s="3478" t="s">
        <v>3588</v>
      </c>
      <c r="E191" s="3478" t="s">
        <v>3399</v>
      </c>
      <c r="F191" s="3481">
        <v>46.15</v>
      </c>
      <c r="G191" s="3478"/>
    </row>
    <row r="192" spans="1:7" ht="20.100000000000001" customHeight="1">
      <c r="A192" s="3478">
        <v>191</v>
      </c>
      <c r="B192" s="3478" t="s">
        <v>3396</v>
      </c>
      <c r="C192" s="3478" t="s">
        <v>3397</v>
      </c>
      <c r="D192" s="3478" t="s">
        <v>3589</v>
      </c>
      <c r="E192" s="3478" t="s">
        <v>3399</v>
      </c>
      <c r="F192" s="3481">
        <v>46.11</v>
      </c>
      <c r="G192" s="3478"/>
    </row>
    <row r="193" spans="1:7" ht="20.100000000000001" customHeight="1">
      <c r="A193" s="3478">
        <v>192</v>
      </c>
      <c r="B193" s="3478" t="s">
        <v>3396</v>
      </c>
      <c r="C193" s="3478" t="s">
        <v>3397</v>
      </c>
      <c r="D193" s="3478" t="s">
        <v>3590</v>
      </c>
      <c r="E193" s="3478" t="s">
        <v>3399</v>
      </c>
      <c r="F193" s="3481">
        <v>43.36</v>
      </c>
      <c r="G193" s="3478"/>
    </row>
    <row r="194" spans="1:7" ht="20.100000000000001" customHeight="1">
      <c r="A194" s="3478">
        <v>193</v>
      </c>
      <c r="B194" s="3478" t="s">
        <v>3396</v>
      </c>
      <c r="C194" s="3478" t="s">
        <v>3397</v>
      </c>
      <c r="D194" s="3478" t="s">
        <v>3591</v>
      </c>
      <c r="E194" s="3478" t="s">
        <v>3399</v>
      </c>
      <c r="F194" s="3481">
        <v>44.34</v>
      </c>
      <c r="G194" s="3478"/>
    </row>
    <row r="195" spans="1:7" ht="20.100000000000001" customHeight="1">
      <c r="A195" s="3478">
        <v>194</v>
      </c>
      <c r="B195" s="3478" t="s">
        <v>3396</v>
      </c>
      <c r="C195" s="3478" t="s">
        <v>3397</v>
      </c>
      <c r="D195" s="3478" t="s">
        <v>3592</v>
      </c>
      <c r="E195" s="3478" t="s">
        <v>3399</v>
      </c>
      <c r="F195" s="3481">
        <v>42.49</v>
      </c>
      <c r="G195" s="3478"/>
    </row>
    <row r="196" spans="1:7" ht="20.100000000000001" customHeight="1">
      <c r="A196" s="3478">
        <v>195</v>
      </c>
      <c r="B196" s="3478" t="s">
        <v>3396</v>
      </c>
      <c r="C196" s="3478" t="s">
        <v>3397</v>
      </c>
      <c r="D196" s="3478" t="s">
        <v>3593</v>
      </c>
      <c r="E196" s="3478" t="s">
        <v>3399</v>
      </c>
      <c r="F196" s="3481">
        <v>44.34</v>
      </c>
      <c r="G196" s="3478"/>
    </row>
    <row r="197" spans="1:7" ht="20.100000000000001" customHeight="1">
      <c r="A197" s="3478">
        <v>196</v>
      </c>
      <c r="B197" s="3478" t="s">
        <v>3396</v>
      </c>
      <c r="C197" s="3478" t="s">
        <v>3397</v>
      </c>
      <c r="D197" s="3478" t="s">
        <v>3594</v>
      </c>
      <c r="E197" s="3478" t="s">
        <v>3399</v>
      </c>
      <c r="F197" s="3481">
        <v>44.34</v>
      </c>
      <c r="G197" s="3478"/>
    </row>
    <row r="198" spans="1:7" ht="20.100000000000001" customHeight="1">
      <c r="A198" s="3478">
        <v>197</v>
      </c>
      <c r="B198" s="3478" t="s">
        <v>3396</v>
      </c>
      <c r="C198" s="3478" t="s">
        <v>3397</v>
      </c>
      <c r="D198" s="3478" t="s">
        <v>3595</v>
      </c>
      <c r="E198" s="3478" t="s">
        <v>3399</v>
      </c>
      <c r="F198" s="3481">
        <v>42.49</v>
      </c>
      <c r="G198" s="3478"/>
    </row>
    <row r="199" spans="1:7" ht="20.100000000000001" customHeight="1">
      <c r="A199" s="3478">
        <v>198</v>
      </c>
      <c r="B199" s="3478" t="s">
        <v>3396</v>
      </c>
      <c r="C199" s="3478" t="s">
        <v>3397</v>
      </c>
      <c r="D199" s="3478" t="s">
        <v>3596</v>
      </c>
      <c r="E199" s="3478" t="s">
        <v>3399</v>
      </c>
      <c r="F199" s="3481">
        <v>44.34</v>
      </c>
      <c r="G199" s="3478"/>
    </row>
    <row r="200" spans="1:7" ht="20.100000000000001" customHeight="1">
      <c r="A200" s="3478">
        <v>199</v>
      </c>
      <c r="B200" s="3478" t="s">
        <v>3396</v>
      </c>
      <c r="C200" s="3478" t="s">
        <v>3397</v>
      </c>
      <c r="D200" s="3478" t="s">
        <v>3597</v>
      </c>
      <c r="E200" s="3478" t="s">
        <v>3399</v>
      </c>
      <c r="F200" s="3481">
        <v>44.34</v>
      </c>
      <c r="G200" s="3478"/>
    </row>
    <row r="201" spans="1:7" ht="20.100000000000001" customHeight="1">
      <c r="A201" s="3478">
        <v>200</v>
      </c>
      <c r="B201" s="3478" t="s">
        <v>3396</v>
      </c>
      <c r="C201" s="3478" t="s">
        <v>3397</v>
      </c>
      <c r="D201" s="3478" t="s">
        <v>3598</v>
      </c>
      <c r="E201" s="3478" t="s">
        <v>3399</v>
      </c>
      <c r="F201" s="3481">
        <v>44.34</v>
      </c>
      <c r="G201" s="3478"/>
    </row>
    <row r="202" spans="1:7" ht="20.100000000000001" customHeight="1">
      <c r="A202" s="3478">
        <v>201</v>
      </c>
      <c r="B202" s="3478" t="s">
        <v>3396</v>
      </c>
      <c r="C202" s="3478" t="s">
        <v>3397</v>
      </c>
      <c r="D202" s="3478" t="s">
        <v>3599</v>
      </c>
      <c r="E202" s="3478" t="s">
        <v>3399</v>
      </c>
      <c r="F202" s="3481">
        <v>44.34</v>
      </c>
      <c r="G202" s="3478"/>
    </row>
    <row r="203" spans="1:7" ht="20.100000000000001" customHeight="1">
      <c r="A203" s="3478">
        <v>202</v>
      </c>
      <c r="B203" s="3478" t="s">
        <v>3396</v>
      </c>
      <c r="C203" s="3478" t="s">
        <v>3397</v>
      </c>
      <c r="D203" s="3478" t="s">
        <v>3600</v>
      </c>
      <c r="E203" s="3478" t="s">
        <v>3399</v>
      </c>
      <c r="F203" s="3481">
        <v>44.34</v>
      </c>
      <c r="G203" s="3478"/>
    </row>
    <row r="204" spans="1:7" ht="20.100000000000001" customHeight="1">
      <c r="A204" s="3478">
        <v>203</v>
      </c>
      <c r="B204" s="3478" t="s">
        <v>3396</v>
      </c>
      <c r="C204" s="3478" t="s">
        <v>3397</v>
      </c>
      <c r="D204" s="3478" t="s">
        <v>3601</v>
      </c>
      <c r="E204" s="3478" t="s">
        <v>3399</v>
      </c>
      <c r="F204" s="3481">
        <v>42.49</v>
      </c>
      <c r="G204" s="3478"/>
    </row>
    <row r="205" spans="1:7" ht="20.100000000000001" customHeight="1">
      <c r="A205" s="3478">
        <v>204</v>
      </c>
      <c r="B205" s="3478" t="s">
        <v>3396</v>
      </c>
      <c r="C205" s="3478" t="s">
        <v>3397</v>
      </c>
      <c r="D205" s="3478" t="s">
        <v>3602</v>
      </c>
      <c r="E205" s="3478" t="s">
        <v>3399</v>
      </c>
      <c r="F205" s="3481">
        <v>44.34</v>
      </c>
      <c r="G205" s="3478"/>
    </row>
    <row r="206" spans="1:7" ht="20.100000000000001" customHeight="1">
      <c r="A206" s="3478">
        <v>205</v>
      </c>
      <c r="B206" s="3478" t="s">
        <v>3396</v>
      </c>
      <c r="C206" s="3478" t="s">
        <v>3397</v>
      </c>
      <c r="D206" s="3478" t="s">
        <v>3603</v>
      </c>
      <c r="E206" s="3478" t="s">
        <v>3399</v>
      </c>
      <c r="F206" s="3481">
        <v>44.34</v>
      </c>
      <c r="G206" s="3478"/>
    </row>
    <row r="207" spans="1:7" ht="20.100000000000001" customHeight="1">
      <c r="A207" s="3478">
        <v>206</v>
      </c>
      <c r="B207" s="3478" t="s">
        <v>3396</v>
      </c>
      <c r="C207" s="3478" t="s">
        <v>3397</v>
      </c>
      <c r="D207" s="3478" t="s">
        <v>3604</v>
      </c>
      <c r="E207" s="3478" t="s">
        <v>3399</v>
      </c>
      <c r="F207" s="3481">
        <v>44.34</v>
      </c>
      <c r="G207" s="3478"/>
    </row>
    <row r="208" spans="1:7" ht="20.100000000000001" customHeight="1">
      <c r="A208" s="3478">
        <v>207</v>
      </c>
      <c r="B208" s="3478" t="s">
        <v>3396</v>
      </c>
      <c r="C208" s="3478" t="s">
        <v>3397</v>
      </c>
      <c r="D208" s="3478" t="s">
        <v>3605</v>
      </c>
      <c r="E208" s="3478" t="s">
        <v>3399</v>
      </c>
      <c r="F208" s="3481">
        <v>44.34</v>
      </c>
      <c r="G208" s="3478"/>
    </row>
    <row r="209" spans="1:7" ht="20.100000000000001" customHeight="1">
      <c r="A209" s="3478">
        <v>208</v>
      </c>
      <c r="B209" s="3478" t="s">
        <v>3396</v>
      </c>
      <c r="C209" s="3478" t="s">
        <v>3397</v>
      </c>
      <c r="D209" s="3478" t="s">
        <v>3606</v>
      </c>
      <c r="E209" s="3478" t="s">
        <v>3399</v>
      </c>
      <c r="F209" s="3481">
        <v>45.24</v>
      </c>
      <c r="G209" s="3478"/>
    </row>
    <row r="210" spans="1:7" ht="20.100000000000001" customHeight="1">
      <c r="A210" s="3478">
        <v>209</v>
      </c>
      <c r="B210" s="3478" t="s">
        <v>3396</v>
      </c>
      <c r="C210" s="3478" t="s">
        <v>3397</v>
      </c>
      <c r="D210" s="3478" t="s">
        <v>3607</v>
      </c>
      <c r="E210" s="3478" t="s">
        <v>3399</v>
      </c>
      <c r="F210" s="3481">
        <v>45.24</v>
      </c>
      <c r="G210" s="3478"/>
    </row>
    <row r="211" spans="1:7" ht="20.100000000000001" customHeight="1">
      <c r="A211" s="3478">
        <v>210</v>
      </c>
      <c r="B211" s="3478" t="s">
        <v>3396</v>
      </c>
      <c r="C211" s="3478" t="s">
        <v>3397</v>
      </c>
      <c r="D211" s="3478" t="s">
        <v>3608</v>
      </c>
      <c r="E211" s="3478" t="s">
        <v>3399</v>
      </c>
      <c r="F211" s="3481">
        <v>45.24</v>
      </c>
      <c r="G211" s="3478"/>
    </row>
    <row r="212" spans="1:7" ht="20.100000000000001" customHeight="1">
      <c r="A212" s="3478">
        <v>211</v>
      </c>
      <c r="B212" s="3478" t="s">
        <v>3396</v>
      </c>
      <c r="C212" s="3478" t="s">
        <v>3397</v>
      </c>
      <c r="D212" s="3478" t="s">
        <v>3609</v>
      </c>
      <c r="E212" s="3478" t="s">
        <v>3399</v>
      </c>
      <c r="F212" s="3481">
        <v>45.24</v>
      </c>
      <c r="G212" s="3478"/>
    </row>
    <row r="213" spans="1:7" ht="20.100000000000001" customHeight="1">
      <c r="A213" s="3478">
        <v>212</v>
      </c>
      <c r="B213" s="3478" t="s">
        <v>3396</v>
      </c>
      <c r="C213" s="3478" t="s">
        <v>3397</v>
      </c>
      <c r="D213" s="3478" t="s">
        <v>3610</v>
      </c>
      <c r="E213" s="3478" t="s">
        <v>3399</v>
      </c>
      <c r="F213" s="3481">
        <v>45.24</v>
      </c>
      <c r="G213" s="3478"/>
    </row>
    <row r="214" spans="1:7" ht="20.100000000000001" customHeight="1">
      <c r="A214" s="3478">
        <v>213</v>
      </c>
      <c r="B214" s="3478" t="s">
        <v>3396</v>
      </c>
      <c r="C214" s="3478" t="s">
        <v>3397</v>
      </c>
      <c r="D214" s="3478" t="s">
        <v>3611</v>
      </c>
      <c r="E214" s="3478" t="s">
        <v>3399</v>
      </c>
      <c r="F214" s="3481">
        <v>45.24</v>
      </c>
      <c r="G214" s="3478"/>
    </row>
    <row r="215" spans="1:7" ht="20.100000000000001" customHeight="1">
      <c r="A215" s="3478">
        <v>214</v>
      </c>
      <c r="B215" s="3478" t="s">
        <v>3396</v>
      </c>
      <c r="C215" s="3478" t="s">
        <v>3397</v>
      </c>
      <c r="D215" s="3478" t="s">
        <v>3612</v>
      </c>
      <c r="E215" s="3478" t="s">
        <v>3399</v>
      </c>
      <c r="F215" s="3481">
        <v>45.24</v>
      </c>
      <c r="G215" s="3478"/>
    </row>
    <row r="216" spans="1:7" ht="20.100000000000001" customHeight="1">
      <c r="A216" s="3478">
        <v>215</v>
      </c>
      <c r="B216" s="3478" t="s">
        <v>3396</v>
      </c>
      <c r="C216" s="3478" t="s">
        <v>3397</v>
      </c>
      <c r="D216" s="3478" t="s">
        <v>3613</v>
      </c>
      <c r="E216" s="3478" t="s">
        <v>3399</v>
      </c>
      <c r="F216" s="3481">
        <v>45.24</v>
      </c>
      <c r="G216" s="3478"/>
    </row>
    <row r="217" spans="1:7" ht="20.100000000000001" customHeight="1">
      <c r="A217" s="3478">
        <v>216</v>
      </c>
      <c r="B217" s="3478" t="s">
        <v>3396</v>
      </c>
      <c r="C217" s="3478" t="s">
        <v>3397</v>
      </c>
      <c r="D217" s="3478" t="s">
        <v>3614</v>
      </c>
      <c r="E217" s="3478" t="s">
        <v>3399</v>
      </c>
      <c r="F217" s="3481">
        <v>45.24</v>
      </c>
      <c r="G217" s="3478"/>
    </row>
    <row r="218" spans="1:7" ht="20.100000000000001" customHeight="1">
      <c r="A218" s="3478">
        <v>217</v>
      </c>
      <c r="B218" s="3478" t="s">
        <v>3396</v>
      </c>
      <c r="C218" s="3478" t="s">
        <v>3397</v>
      </c>
      <c r="D218" s="3478" t="s">
        <v>3615</v>
      </c>
      <c r="E218" s="3478" t="s">
        <v>3399</v>
      </c>
      <c r="F218" s="3481">
        <v>45.24</v>
      </c>
      <c r="G218" s="3478"/>
    </row>
    <row r="219" spans="1:7" ht="20.100000000000001" customHeight="1">
      <c r="A219" s="3478">
        <v>218</v>
      </c>
      <c r="B219" s="3478" t="s">
        <v>3396</v>
      </c>
      <c r="C219" s="3478" t="s">
        <v>3397</v>
      </c>
      <c r="D219" s="3478" t="s">
        <v>3616</v>
      </c>
      <c r="E219" s="3478" t="s">
        <v>3399</v>
      </c>
      <c r="F219" s="3481">
        <v>45.24</v>
      </c>
      <c r="G219" s="3478"/>
    </row>
    <row r="220" spans="1:7" ht="20.100000000000001" customHeight="1">
      <c r="A220" s="3478">
        <v>219</v>
      </c>
      <c r="B220" s="3478" t="s">
        <v>3396</v>
      </c>
      <c r="C220" s="3478" t="s">
        <v>3397</v>
      </c>
      <c r="D220" s="3478" t="s">
        <v>3617</v>
      </c>
      <c r="E220" s="3478" t="s">
        <v>3399</v>
      </c>
      <c r="F220" s="3481">
        <v>45.24</v>
      </c>
      <c r="G220" s="3478"/>
    </row>
    <row r="221" spans="1:7" ht="20.100000000000001" customHeight="1">
      <c r="A221" s="3478">
        <v>220</v>
      </c>
      <c r="B221" s="3478" t="s">
        <v>3396</v>
      </c>
      <c r="C221" s="3478" t="s">
        <v>3397</v>
      </c>
      <c r="D221" s="3478" t="s">
        <v>3618</v>
      </c>
      <c r="E221" s="3478" t="s">
        <v>3399</v>
      </c>
      <c r="F221" s="3481">
        <v>46.6</v>
      </c>
      <c r="G221" s="3478"/>
    </row>
    <row r="222" spans="1:7" ht="20.100000000000001" customHeight="1">
      <c r="A222" s="3478">
        <v>221</v>
      </c>
      <c r="B222" s="3478" t="s">
        <v>3396</v>
      </c>
      <c r="C222" s="3478" t="s">
        <v>3397</v>
      </c>
      <c r="D222" s="3478" t="s">
        <v>3619</v>
      </c>
      <c r="E222" s="3478" t="s">
        <v>3399</v>
      </c>
      <c r="F222" s="3481">
        <v>46.6</v>
      </c>
      <c r="G222" s="3478"/>
    </row>
    <row r="223" spans="1:7" ht="20.100000000000001" customHeight="1">
      <c r="A223" s="3478">
        <v>222</v>
      </c>
      <c r="B223" s="3478" t="s">
        <v>3396</v>
      </c>
      <c r="C223" s="3478" t="s">
        <v>3397</v>
      </c>
      <c r="D223" s="3478" t="s">
        <v>3620</v>
      </c>
      <c r="E223" s="3478" t="s">
        <v>3399</v>
      </c>
      <c r="F223" s="3481">
        <v>46.6</v>
      </c>
      <c r="G223" s="3478"/>
    </row>
    <row r="224" spans="1:7" ht="20.100000000000001" customHeight="1">
      <c r="A224" s="3478">
        <v>223</v>
      </c>
      <c r="B224" s="3478" t="s">
        <v>3396</v>
      </c>
      <c r="C224" s="3478" t="s">
        <v>3397</v>
      </c>
      <c r="D224" s="3478" t="s">
        <v>3621</v>
      </c>
      <c r="E224" s="3478" t="s">
        <v>3399</v>
      </c>
      <c r="F224" s="3481">
        <v>46.6</v>
      </c>
      <c r="G224" s="3478"/>
    </row>
    <row r="225" spans="1:7" ht="20.100000000000001" customHeight="1">
      <c r="A225" s="3478">
        <v>224</v>
      </c>
      <c r="B225" s="3478" t="s">
        <v>3396</v>
      </c>
      <c r="C225" s="3478" t="s">
        <v>3397</v>
      </c>
      <c r="D225" s="3478" t="s">
        <v>3622</v>
      </c>
      <c r="E225" s="3478" t="s">
        <v>3399</v>
      </c>
      <c r="F225" s="3481">
        <v>46.6</v>
      </c>
      <c r="G225" s="3478"/>
    </row>
    <row r="226" spans="1:7" ht="20.100000000000001" customHeight="1">
      <c r="A226" s="3478">
        <v>225</v>
      </c>
      <c r="B226" s="3478" t="s">
        <v>3396</v>
      </c>
      <c r="C226" s="3478" t="s">
        <v>3397</v>
      </c>
      <c r="D226" s="3478" t="s">
        <v>3623</v>
      </c>
      <c r="E226" s="3478" t="s">
        <v>3399</v>
      </c>
      <c r="F226" s="3481">
        <v>46.6</v>
      </c>
      <c r="G226" s="3478"/>
    </row>
    <row r="227" spans="1:7" ht="20.100000000000001" customHeight="1">
      <c r="A227" s="3478">
        <v>226</v>
      </c>
      <c r="B227" s="3478" t="s">
        <v>3396</v>
      </c>
      <c r="C227" s="3478" t="s">
        <v>3397</v>
      </c>
      <c r="D227" s="3478" t="s">
        <v>3624</v>
      </c>
      <c r="E227" s="3478" t="s">
        <v>3399</v>
      </c>
      <c r="F227" s="3481">
        <v>46.6</v>
      </c>
      <c r="G227" s="3478"/>
    </row>
    <row r="228" spans="1:7" ht="20.100000000000001" customHeight="1">
      <c r="A228" s="3478">
        <v>227</v>
      </c>
      <c r="B228" s="3478" t="s">
        <v>3396</v>
      </c>
      <c r="C228" s="3478" t="s">
        <v>3397</v>
      </c>
      <c r="D228" s="3478" t="s">
        <v>3625</v>
      </c>
      <c r="E228" s="3478" t="s">
        <v>3399</v>
      </c>
      <c r="F228" s="3481">
        <v>46.6</v>
      </c>
      <c r="G228" s="3478"/>
    </row>
    <row r="229" spans="1:7" ht="20.100000000000001" customHeight="1">
      <c r="A229" s="3478">
        <v>228</v>
      </c>
      <c r="B229" s="3478" t="s">
        <v>3396</v>
      </c>
      <c r="C229" s="3478" t="s">
        <v>3397</v>
      </c>
      <c r="D229" s="3478" t="s">
        <v>3626</v>
      </c>
      <c r="E229" s="3478" t="s">
        <v>3399</v>
      </c>
      <c r="F229" s="3481">
        <v>46.6</v>
      </c>
      <c r="G229" s="3478"/>
    </row>
    <row r="230" spans="1:7" ht="20.100000000000001" customHeight="1">
      <c r="A230" s="3478">
        <v>229</v>
      </c>
      <c r="B230" s="3478" t="s">
        <v>3396</v>
      </c>
      <c r="C230" s="3478" t="s">
        <v>3397</v>
      </c>
      <c r="D230" s="3478" t="s">
        <v>3627</v>
      </c>
      <c r="E230" s="3478" t="s">
        <v>3399</v>
      </c>
      <c r="F230" s="3481">
        <v>46.6</v>
      </c>
      <c r="G230" s="3478"/>
    </row>
    <row r="231" spans="1:7" ht="20.100000000000001" customHeight="1">
      <c r="A231" s="3478">
        <v>230</v>
      </c>
      <c r="B231" s="3478" t="s">
        <v>3396</v>
      </c>
      <c r="C231" s="3478" t="s">
        <v>3397</v>
      </c>
      <c r="D231" s="3478" t="s">
        <v>3628</v>
      </c>
      <c r="E231" s="3478" t="s">
        <v>3399</v>
      </c>
      <c r="F231" s="3481">
        <v>46.6</v>
      </c>
      <c r="G231" s="3478"/>
    </row>
    <row r="232" spans="1:7" ht="20.100000000000001" customHeight="1">
      <c r="A232" s="3478">
        <v>231</v>
      </c>
      <c r="B232" s="3478" t="s">
        <v>3396</v>
      </c>
      <c r="C232" s="3478" t="s">
        <v>3397</v>
      </c>
      <c r="D232" s="3478" t="s">
        <v>3629</v>
      </c>
      <c r="E232" s="3478" t="s">
        <v>3399</v>
      </c>
      <c r="F232" s="3481">
        <v>46.6</v>
      </c>
      <c r="G232" s="3478"/>
    </row>
    <row r="233" spans="1:7" ht="20.100000000000001" customHeight="1">
      <c r="A233" s="3478">
        <v>232</v>
      </c>
      <c r="B233" s="3478" t="s">
        <v>3396</v>
      </c>
      <c r="C233" s="3478" t="s">
        <v>3397</v>
      </c>
      <c r="D233" s="3478" t="s">
        <v>3630</v>
      </c>
      <c r="E233" s="3478" t="s">
        <v>3399</v>
      </c>
      <c r="F233" s="3481">
        <v>45.24</v>
      </c>
      <c r="G233" s="3478"/>
    </row>
    <row r="234" spans="1:7" ht="20.100000000000001" customHeight="1">
      <c r="A234" s="3478">
        <v>233</v>
      </c>
      <c r="B234" s="3478" t="s">
        <v>3396</v>
      </c>
      <c r="C234" s="3478" t="s">
        <v>3397</v>
      </c>
      <c r="D234" s="3478" t="s">
        <v>3631</v>
      </c>
      <c r="E234" s="3478" t="s">
        <v>3399</v>
      </c>
      <c r="F234" s="3481">
        <v>45.24</v>
      </c>
      <c r="G234" s="3478"/>
    </row>
    <row r="235" spans="1:7" ht="20.100000000000001" customHeight="1">
      <c r="A235" s="3478">
        <v>234</v>
      </c>
      <c r="B235" s="3478" t="s">
        <v>3396</v>
      </c>
      <c r="C235" s="3478" t="s">
        <v>3397</v>
      </c>
      <c r="D235" s="3478" t="s">
        <v>3632</v>
      </c>
      <c r="E235" s="3478" t="s">
        <v>3399</v>
      </c>
      <c r="F235" s="3481">
        <v>45.24</v>
      </c>
      <c r="G235" s="3478"/>
    </row>
    <row r="236" spans="1:7" ht="20.100000000000001" customHeight="1">
      <c r="A236" s="3478">
        <v>235</v>
      </c>
      <c r="B236" s="3478" t="s">
        <v>3396</v>
      </c>
      <c r="C236" s="3478" t="s">
        <v>3397</v>
      </c>
      <c r="D236" s="3478" t="s">
        <v>3633</v>
      </c>
      <c r="E236" s="3478" t="s">
        <v>3399</v>
      </c>
      <c r="F236" s="3481">
        <v>47.13</v>
      </c>
      <c r="G236" s="3478"/>
    </row>
    <row r="237" spans="1:7" ht="20.100000000000001" customHeight="1">
      <c r="A237" s="3478">
        <v>236</v>
      </c>
      <c r="B237" s="3478" t="s">
        <v>3396</v>
      </c>
      <c r="C237" s="3478" t="s">
        <v>3397</v>
      </c>
      <c r="D237" s="3478" t="s">
        <v>3634</v>
      </c>
      <c r="E237" s="3478" t="s">
        <v>3399</v>
      </c>
      <c r="F237" s="3481">
        <v>47.13</v>
      </c>
      <c r="G237" s="3478"/>
    </row>
    <row r="238" spans="1:7" ht="20.100000000000001" customHeight="1">
      <c r="A238" s="3478">
        <v>237</v>
      </c>
      <c r="B238" s="3478" t="s">
        <v>3396</v>
      </c>
      <c r="C238" s="3478" t="s">
        <v>3397</v>
      </c>
      <c r="D238" s="3478" t="s">
        <v>3635</v>
      </c>
      <c r="E238" s="3478" t="s">
        <v>3399</v>
      </c>
      <c r="F238" s="3481">
        <v>43.36</v>
      </c>
      <c r="G238" s="3478"/>
    </row>
    <row r="239" spans="1:7" ht="20.100000000000001" customHeight="1">
      <c r="A239" s="3478">
        <v>238</v>
      </c>
      <c r="B239" s="3478" t="s">
        <v>3396</v>
      </c>
      <c r="C239" s="3478" t="s">
        <v>3397</v>
      </c>
      <c r="D239" s="3481" t="s">
        <v>3636</v>
      </c>
      <c r="E239" s="3478" t="s">
        <v>3399</v>
      </c>
      <c r="F239" s="3481">
        <v>43.36</v>
      </c>
      <c r="G239" s="3478"/>
    </row>
    <row r="240" spans="1:7" ht="20.100000000000001" customHeight="1">
      <c r="A240" s="3478">
        <v>239</v>
      </c>
      <c r="B240" s="3478" t="s">
        <v>3396</v>
      </c>
      <c r="C240" s="3478" t="s">
        <v>3397</v>
      </c>
      <c r="D240" s="3478" t="s">
        <v>3637</v>
      </c>
      <c r="E240" s="3478" t="s">
        <v>3399</v>
      </c>
      <c r="F240" s="3481">
        <v>46.15</v>
      </c>
      <c r="G240" s="3478"/>
    </row>
    <row r="241" spans="1:7" ht="20.100000000000001" customHeight="1">
      <c r="A241" s="3478">
        <v>240</v>
      </c>
      <c r="B241" s="3478" t="s">
        <v>3396</v>
      </c>
      <c r="C241" s="3478" t="s">
        <v>3397</v>
      </c>
      <c r="D241" s="3478" t="s">
        <v>3638</v>
      </c>
      <c r="E241" s="3478" t="s">
        <v>3399</v>
      </c>
      <c r="F241" s="3481">
        <v>46.15</v>
      </c>
      <c r="G241" s="3478"/>
    </row>
    <row r="242" spans="1:7" ht="20.100000000000001" customHeight="1">
      <c r="A242" s="3478">
        <v>241</v>
      </c>
      <c r="B242" s="3478" t="s">
        <v>3396</v>
      </c>
      <c r="C242" s="3478" t="s">
        <v>3397</v>
      </c>
      <c r="D242" s="3478" t="s">
        <v>3639</v>
      </c>
      <c r="E242" s="3478" t="s">
        <v>3399</v>
      </c>
      <c r="F242" s="3481">
        <v>46.15</v>
      </c>
      <c r="G242" s="3478"/>
    </row>
    <row r="243" spans="1:7" ht="20.100000000000001" customHeight="1">
      <c r="A243" s="3478">
        <v>242</v>
      </c>
      <c r="B243" s="3478" t="s">
        <v>3396</v>
      </c>
      <c r="C243" s="3478" t="s">
        <v>3397</v>
      </c>
      <c r="D243" s="3478" t="s">
        <v>3640</v>
      </c>
      <c r="E243" s="3478" t="s">
        <v>3399</v>
      </c>
      <c r="F243" s="3481">
        <v>46.15</v>
      </c>
      <c r="G243" s="3478"/>
    </row>
    <row r="244" spans="1:7" ht="20.100000000000001" customHeight="1">
      <c r="A244" s="3478">
        <v>243</v>
      </c>
      <c r="B244" s="3478" t="s">
        <v>3396</v>
      </c>
      <c r="C244" s="3478" t="s">
        <v>3397</v>
      </c>
      <c r="D244" s="3478" t="s">
        <v>3641</v>
      </c>
      <c r="E244" s="3478" t="s">
        <v>3399</v>
      </c>
      <c r="F244" s="3481">
        <v>46.15</v>
      </c>
      <c r="G244" s="3478"/>
    </row>
    <row r="245" spans="1:7" ht="20.100000000000001" customHeight="1">
      <c r="A245" s="3478">
        <v>244</v>
      </c>
      <c r="B245" s="3478" t="s">
        <v>3396</v>
      </c>
      <c r="C245" s="3478" t="s">
        <v>3397</v>
      </c>
      <c r="D245" s="3478" t="s">
        <v>3642</v>
      </c>
      <c r="E245" s="3478" t="s">
        <v>3399</v>
      </c>
      <c r="F245" s="3481">
        <v>46.15</v>
      </c>
      <c r="G245" s="3478"/>
    </row>
    <row r="246" spans="1:7" ht="20.100000000000001" customHeight="1">
      <c r="A246" s="3478">
        <v>245</v>
      </c>
      <c r="B246" s="3478" t="s">
        <v>3396</v>
      </c>
      <c r="C246" s="3478" t="s">
        <v>3397</v>
      </c>
      <c r="D246" s="3478" t="s">
        <v>3643</v>
      </c>
      <c r="E246" s="3478" t="s">
        <v>3399</v>
      </c>
      <c r="F246" s="3481">
        <v>46.15</v>
      </c>
      <c r="G246" s="3478"/>
    </row>
    <row r="247" spans="1:7" ht="20.100000000000001" customHeight="1">
      <c r="A247" s="3478">
        <v>246</v>
      </c>
      <c r="B247" s="3478" t="s">
        <v>3396</v>
      </c>
      <c r="C247" s="3478" t="s">
        <v>3397</v>
      </c>
      <c r="D247" s="3478" t="s">
        <v>3644</v>
      </c>
      <c r="E247" s="3478" t="s">
        <v>3399</v>
      </c>
      <c r="F247" s="3481">
        <v>46.15</v>
      </c>
      <c r="G247" s="3478"/>
    </row>
    <row r="248" spans="1:7" ht="20.100000000000001" customHeight="1">
      <c r="A248" s="3478">
        <v>247</v>
      </c>
      <c r="B248" s="3478" t="s">
        <v>3396</v>
      </c>
      <c r="C248" s="3478" t="s">
        <v>3397</v>
      </c>
      <c r="D248" s="3478" t="s">
        <v>3645</v>
      </c>
      <c r="E248" s="3478" t="s">
        <v>3399</v>
      </c>
      <c r="F248" s="3481">
        <v>48.07</v>
      </c>
      <c r="G248" s="3478"/>
    </row>
    <row r="249" spans="1:7" ht="20.100000000000001" customHeight="1">
      <c r="A249" s="3478">
        <v>248</v>
      </c>
      <c r="B249" s="3478" t="s">
        <v>3396</v>
      </c>
      <c r="C249" s="3478" t="s">
        <v>3397</v>
      </c>
      <c r="D249" s="3478" t="s">
        <v>3646</v>
      </c>
      <c r="E249" s="3478" t="s">
        <v>3399</v>
      </c>
      <c r="F249" s="3481">
        <v>46.15</v>
      </c>
      <c r="G249" s="3478"/>
    </row>
    <row r="250" spans="1:7" ht="20.100000000000001" customHeight="1">
      <c r="A250" s="3478">
        <v>249</v>
      </c>
      <c r="B250" s="3478" t="s">
        <v>3396</v>
      </c>
      <c r="C250" s="3478" t="s">
        <v>3397</v>
      </c>
      <c r="D250" s="3478" t="s">
        <v>3647</v>
      </c>
      <c r="E250" s="3478" t="s">
        <v>3399</v>
      </c>
      <c r="F250" s="3481">
        <v>46.15</v>
      </c>
      <c r="G250" s="3478"/>
    </row>
    <row r="251" spans="1:7" ht="20.100000000000001" customHeight="1">
      <c r="A251" s="3478">
        <v>250</v>
      </c>
      <c r="B251" s="3478" t="s">
        <v>3396</v>
      </c>
      <c r="C251" s="3478" t="s">
        <v>3397</v>
      </c>
      <c r="D251" s="3478" t="s">
        <v>3648</v>
      </c>
      <c r="E251" s="3478" t="s">
        <v>3399</v>
      </c>
      <c r="F251" s="3481">
        <v>46.15</v>
      </c>
      <c r="G251" s="3478"/>
    </row>
    <row r="252" spans="1:7" ht="20.100000000000001" customHeight="1">
      <c r="A252" s="3478">
        <v>251</v>
      </c>
      <c r="B252" s="3478" t="s">
        <v>3396</v>
      </c>
      <c r="C252" s="3478" t="s">
        <v>3397</v>
      </c>
      <c r="D252" s="3478" t="s">
        <v>3649</v>
      </c>
      <c r="E252" s="3478" t="s">
        <v>3399</v>
      </c>
      <c r="F252" s="3481">
        <v>46.15</v>
      </c>
      <c r="G252" s="3478"/>
    </row>
    <row r="253" spans="1:7" ht="20.100000000000001" customHeight="1">
      <c r="A253" s="3478">
        <v>252</v>
      </c>
      <c r="B253" s="3478" t="s">
        <v>3396</v>
      </c>
      <c r="C253" s="3478" t="s">
        <v>3397</v>
      </c>
      <c r="D253" s="3478" t="s">
        <v>3650</v>
      </c>
      <c r="E253" s="3478" t="s">
        <v>3399</v>
      </c>
      <c r="F253" s="3481">
        <v>46.15</v>
      </c>
      <c r="G253" s="3478"/>
    </row>
    <row r="254" spans="1:7" ht="20.100000000000001" customHeight="1">
      <c r="A254" s="3478">
        <v>253</v>
      </c>
      <c r="B254" s="3478" t="s">
        <v>3396</v>
      </c>
      <c r="C254" s="3478" t="s">
        <v>3397</v>
      </c>
      <c r="D254" s="3478" t="s">
        <v>3651</v>
      </c>
      <c r="E254" s="3478" t="s">
        <v>3399</v>
      </c>
      <c r="F254" s="3481">
        <v>46.15</v>
      </c>
      <c r="G254" s="3478"/>
    </row>
    <row r="255" spans="1:7" ht="20.100000000000001" customHeight="1">
      <c r="A255" s="3478">
        <v>254</v>
      </c>
      <c r="B255" s="3478" t="s">
        <v>3396</v>
      </c>
      <c r="C255" s="3478" t="s">
        <v>3397</v>
      </c>
      <c r="D255" s="3478" t="s">
        <v>3652</v>
      </c>
      <c r="E255" s="3478" t="s">
        <v>3399</v>
      </c>
      <c r="F255" s="3481">
        <v>46.15</v>
      </c>
      <c r="G255" s="3478"/>
    </row>
    <row r="256" spans="1:7" ht="20.100000000000001" customHeight="1">
      <c r="A256" s="3478">
        <v>255</v>
      </c>
      <c r="B256" s="3478" t="s">
        <v>3396</v>
      </c>
      <c r="C256" s="3478" t="s">
        <v>3397</v>
      </c>
      <c r="D256" s="3478" t="s">
        <v>3653</v>
      </c>
      <c r="E256" s="3478" t="s">
        <v>3399</v>
      </c>
      <c r="F256" s="3481">
        <v>46.15</v>
      </c>
      <c r="G256" s="3478"/>
    </row>
    <row r="257" spans="1:7" ht="20.100000000000001" customHeight="1">
      <c r="A257" s="3478">
        <v>256</v>
      </c>
      <c r="B257" s="3478" t="s">
        <v>3396</v>
      </c>
      <c r="C257" s="3478" t="s">
        <v>3397</v>
      </c>
      <c r="D257" s="3478" t="s">
        <v>3654</v>
      </c>
      <c r="E257" s="3478" t="s">
        <v>3399</v>
      </c>
      <c r="F257" s="3481">
        <v>46.15</v>
      </c>
      <c r="G257" s="3478"/>
    </row>
    <row r="258" spans="1:7" ht="20.100000000000001" customHeight="1">
      <c r="A258" s="3478">
        <v>257</v>
      </c>
      <c r="B258" s="3478" t="s">
        <v>3396</v>
      </c>
      <c r="C258" s="3478" t="s">
        <v>3397</v>
      </c>
      <c r="D258" s="3478" t="s">
        <v>3655</v>
      </c>
      <c r="E258" s="3478" t="s">
        <v>3399</v>
      </c>
      <c r="F258" s="3481">
        <v>46.15</v>
      </c>
      <c r="G258" s="3478"/>
    </row>
    <row r="259" spans="1:7" ht="20.100000000000001" customHeight="1">
      <c r="A259" s="3478">
        <v>258</v>
      </c>
      <c r="B259" s="3478" t="s">
        <v>3396</v>
      </c>
      <c r="C259" s="3478" t="s">
        <v>3397</v>
      </c>
      <c r="D259" s="3478" t="s">
        <v>3656</v>
      </c>
      <c r="E259" s="3478" t="s">
        <v>3399</v>
      </c>
      <c r="F259" s="3481">
        <v>46.15</v>
      </c>
      <c r="G259" s="3478"/>
    </row>
    <row r="260" spans="1:7" ht="20.100000000000001" customHeight="1">
      <c r="A260" s="3478">
        <v>259</v>
      </c>
      <c r="B260" s="3478" t="s">
        <v>3396</v>
      </c>
      <c r="C260" s="3478" t="s">
        <v>3397</v>
      </c>
      <c r="D260" s="3478" t="s">
        <v>3657</v>
      </c>
      <c r="E260" s="3478" t="s">
        <v>3399</v>
      </c>
      <c r="F260" s="3481">
        <v>46.15</v>
      </c>
      <c r="G260" s="3478"/>
    </row>
    <row r="261" spans="1:7" ht="20.100000000000001" customHeight="1">
      <c r="A261" s="3478">
        <v>260</v>
      </c>
      <c r="B261" s="3478" t="s">
        <v>3396</v>
      </c>
      <c r="C261" s="3478" t="s">
        <v>3397</v>
      </c>
      <c r="D261" s="3478" t="s">
        <v>3658</v>
      </c>
      <c r="E261" s="3478" t="s">
        <v>3399</v>
      </c>
      <c r="F261" s="3481">
        <v>46.15</v>
      </c>
      <c r="G261" s="3478"/>
    </row>
    <row r="262" spans="1:7" ht="20.100000000000001" customHeight="1">
      <c r="A262" s="3478" t="s">
        <v>3659</v>
      </c>
      <c r="B262" s="3478"/>
      <c r="C262" s="3478"/>
      <c r="D262" s="3478"/>
      <c r="E262" s="3478"/>
      <c r="F262" s="3481">
        <f>SUM(F2:F261)</f>
        <v>11869.359999999982</v>
      </c>
      <c r="G262" s="3478"/>
    </row>
    <row r="278" spans="1:4" ht="20.100000000000001" customHeight="1">
      <c r="B278" s="3477" t="s">
        <v>4219</v>
      </c>
      <c r="C278" s="3477" t="s">
        <v>4220</v>
      </c>
      <c r="D278" s="3477" t="s">
        <v>4221</v>
      </c>
    </row>
    <row r="279" spans="1:4" ht="20.100000000000001" customHeight="1">
      <c r="A279" s="3477" t="s">
        <v>4217</v>
      </c>
      <c r="B279">
        <v>2852.38</v>
      </c>
      <c r="C279">
        <v>2182.4499999999998</v>
      </c>
      <c r="D279">
        <v>669.93</v>
      </c>
    </row>
    <row r="280" spans="1:4" ht="20.100000000000001" customHeight="1">
      <c r="A280" s="3477" t="s">
        <v>4218</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631" t="s">
        <v>4222</v>
      </c>
      <c r="C284" s="3631">
        <f>B281</f>
        <v>5979.5300000000007</v>
      </c>
      <c r="D284" s="3631"/>
    </row>
    <row r="285" spans="1:4" ht="20.100000000000001" customHeight="1">
      <c r="B285" s="3631" t="s">
        <v>4223</v>
      </c>
      <c r="C285" s="3640">
        <v>608100</v>
      </c>
      <c r="D285" s="3640" t="s">
        <v>4224</v>
      </c>
    </row>
    <row r="286" spans="1:4" ht="20.100000000000001" customHeight="1">
      <c r="B286" s="3631" t="s">
        <v>4225</v>
      </c>
      <c r="C286" s="3631">
        <v>76848.83</v>
      </c>
      <c r="D286" s="3631"/>
    </row>
    <row r="287" spans="1:4" ht="20.100000000000001" customHeight="1">
      <c r="B287" s="3631" t="s">
        <v>4226</v>
      </c>
      <c r="C287" s="3631">
        <f>ROUND(C286*C284/C285,2)</f>
        <v>755.66</v>
      </c>
      <c r="D287" s="3631"/>
    </row>
    <row r="289" spans="5:5" ht="20.100000000000001" customHeight="1">
      <c r="E289" s="3477"/>
    </row>
  </sheetData>
  <phoneticPr fontId="134"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G36:H3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726" t="s">
        <v>1129</v>
      </c>
      <c r="B2" s="3726"/>
      <c r="C2" s="3726"/>
      <c r="D2" s="793" t="s">
        <v>1105</v>
      </c>
      <c r="E2" s="1636" t="s">
        <v>1106</v>
      </c>
      <c r="F2" s="2654"/>
      <c r="G2" s="2645"/>
      <c r="H2" s="2646"/>
      <c r="I2" s="2322" t="s">
        <v>1130</v>
      </c>
      <c r="J2" s="2654"/>
      <c r="K2" s="2654"/>
      <c r="L2" s="2654"/>
      <c r="M2" s="2654"/>
      <c r="N2" s="2656"/>
      <c r="O2" s="2654"/>
      <c r="P2" s="2654"/>
    </row>
    <row r="3" spans="1:16" ht="15.75" thickBot="1">
      <c r="A3" s="3727" t="s">
        <v>1103</v>
      </c>
      <c r="B3" s="3727"/>
      <c r="C3" s="3727"/>
      <c r="D3" s="43">
        <f>'数据-基础表'!AY6</f>
        <v>755.66</v>
      </c>
      <c r="E3" s="43">
        <f>'数据-基础表'!AZ5</f>
        <v>5979.5300000000007</v>
      </c>
      <c r="F3" s="2654"/>
      <c r="G3" s="1142"/>
      <c r="H3" s="1023" t="s">
        <v>1104</v>
      </c>
      <c r="I3" s="852">
        <f>ROUND('数据-基础表'!B3/'数据-基础表'!A3,2)</f>
        <v>7.91</v>
      </c>
      <c r="J3" s="2654"/>
      <c r="K3" s="2654"/>
      <c r="L3" s="2654"/>
      <c r="M3" s="2654"/>
      <c r="N3" s="2656"/>
      <c r="O3" s="2654"/>
      <c r="P3" s="2654"/>
    </row>
    <row r="4" spans="1:16" ht="15">
      <c r="A4" s="3728"/>
      <c r="B4" s="3729"/>
      <c r="C4" s="3730"/>
      <c r="D4" s="1638" t="s">
        <v>1105</v>
      </c>
      <c r="E4" s="1639" t="s">
        <v>1106</v>
      </c>
      <c r="F4" s="2654"/>
      <c r="G4" s="2647" t="s">
        <v>1131</v>
      </c>
      <c r="H4" s="1023" t="s">
        <v>1111</v>
      </c>
      <c r="I4" s="852">
        <f>ROUND(SUMIF('数据-基础表'!I9:AS9,"地上",'数据-基础表'!I5:AS5)/'数据-基础表'!A3,2)</f>
        <v>0</v>
      </c>
      <c r="J4" s="2654"/>
      <c r="K4" s="2654"/>
      <c r="L4" s="2654"/>
      <c r="M4" s="2654"/>
      <c r="N4" s="2656"/>
      <c r="O4" s="2654"/>
      <c r="P4" s="2654"/>
    </row>
    <row r="5" spans="1:16">
      <c r="A5" s="44" t="s">
        <v>1107</v>
      </c>
      <c r="B5" s="3731" t="s">
        <v>1108</v>
      </c>
      <c r="C5" s="3731"/>
      <c r="D5" s="45">
        <f>ROUND($D$3*E5/$E$3,2)</f>
        <v>0</v>
      </c>
      <c r="E5" s="46">
        <f>SUMIF('数据-基础表'!$11:$11,"住宅",'数据-基础表'!$5:$5)</f>
        <v>0</v>
      </c>
      <c r="F5" s="2654"/>
      <c r="G5" s="1142"/>
      <c r="H5" s="1023" t="s">
        <v>1104</v>
      </c>
      <c r="I5" s="852">
        <f>ROUND(E31/D31,2)</f>
        <v>7.91</v>
      </c>
      <c r="J5" s="2654"/>
      <c r="K5" s="2654"/>
      <c r="L5" s="2654"/>
      <c r="M5" s="2654"/>
      <c r="N5" s="2654"/>
      <c r="O5" s="2654"/>
      <c r="P5" s="2654"/>
    </row>
    <row r="6" spans="1:16" ht="15" thickBot="1">
      <c r="A6" s="1641"/>
      <c r="B6" s="3731" t="s">
        <v>1109</v>
      </c>
      <c r="C6" s="3731"/>
      <c r="D6" s="45">
        <f>ROUND($D$3*E6/$E$3,2)</f>
        <v>755.66</v>
      </c>
      <c r="E6" s="46">
        <f>E3-E5</f>
        <v>5979.5300000000007</v>
      </c>
      <c r="F6" s="2654"/>
      <c r="G6" s="2648" t="s">
        <v>1110</v>
      </c>
      <c r="H6" s="1143" t="s">
        <v>1111</v>
      </c>
      <c r="I6" s="2649">
        <f>ROUND(F31/D31,2)</f>
        <v>0</v>
      </c>
      <c r="J6" s="2654"/>
      <c r="K6" s="2654"/>
      <c r="L6" s="2654"/>
      <c r="M6" s="2654"/>
      <c r="N6" s="2654"/>
      <c r="O6" s="2654"/>
      <c r="P6" s="2654"/>
    </row>
    <row r="7" spans="1:16" ht="15.75" thickBot="1">
      <c r="A7" s="3723"/>
      <c r="B7" s="3724"/>
      <c r="C7" s="3725"/>
      <c r="D7" s="1638" t="s">
        <v>1105</v>
      </c>
      <c r="E7" s="1642" t="s">
        <v>1112</v>
      </c>
      <c r="F7" s="2654"/>
      <c r="G7" s="2650" t="s">
        <v>1113</v>
      </c>
      <c r="H7" s="2651"/>
      <c r="I7" s="2652">
        <v>2.5</v>
      </c>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0</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755.66</v>
      </c>
      <c r="E10" s="48">
        <f>SUMPRODUCT(('数据-基础表'!BB10:BK10="地下")*('数据-基础表'!BB11:BK11="商业")*('数据-基础表'!BB5:BK5))</f>
        <v>5979.5300000000007</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755.66</v>
      </c>
      <c r="E16" s="50">
        <f>SUM(E8:E15)</f>
        <v>5979.5300000000007</v>
      </c>
      <c r="F16" s="2654"/>
      <c r="G16" s="2655"/>
      <c r="H16" s="1645" t="s">
        <v>1133</v>
      </c>
      <c r="I16" s="1646"/>
      <c r="J16" s="1136"/>
      <c r="K16" s="3720" t="s">
        <v>1133</v>
      </c>
      <c r="L16" s="3721"/>
      <c r="M16" s="3721"/>
      <c r="N16" s="3721"/>
      <c r="O16" s="3721"/>
      <c r="P16" s="3722"/>
    </row>
    <row r="17" spans="1:19" ht="15">
      <c r="A17" s="1647" t="s">
        <v>1134</v>
      </c>
      <c r="B17" s="1648" t="s">
        <v>1135</v>
      </c>
      <c r="C17" s="1649" t="s">
        <v>1136</v>
      </c>
      <c r="D17" s="1650" t="s">
        <v>1124</v>
      </c>
      <c r="E17" s="1651" t="s">
        <v>1125</v>
      </c>
      <c r="F17" s="1652"/>
      <c r="G17" s="1653"/>
      <c r="H17" s="1654" t="s">
        <v>1137</v>
      </c>
      <c r="I17" s="1655" t="s">
        <v>1122</v>
      </c>
      <c r="J17" s="1136"/>
      <c r="K17" s="3717" t="s">
        <v>1138</v>
      </c>
      <c r="L17" s="3718"/>
      <c r="M17" s="3719"/>
      <c r="N17" s="3717" t="s">
        <v>1139</v>
      </c>
      <c r="O17" s="3718"/>
      <c r="P17" s="3719"/>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2" t="s">
        <v>4229</v>
      </c>
      <c r="D19" s="45">
        <f>ROUND($D$3*E19/$E$3,2)</f>
        <v>360.47</v>
      </c>
      <c r="E19" s="53">
        <f t="shared" ref="E19:E26" si="1">SUM(F19:G19)</f>
        <v>2852.38</v>
      </c>
      <c r="F19" s="2790"/>
      <c r="G19" s="2791">
        <f>'数据-基础表'!I13</f>
        <v>2852.38</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360.47</v>
      </c>
      <c r="S19" s="1024">
        <f t="shared" si="5"/>
        <v>2852.38</v>
      </c>
    </row>
    <row r="20" spans="1:19">
      <c r="A20" s="1667"/>
      <c r="B20" s="47" t="s">
        <v>1151</v>
      </c>
      <c r="C20" s="3412" t="s">
        <v>4231</v>
      </c>
      <c r="D20" s="45">
        <f t="shared" ref="D20:D26" si="6">ROUND($D$3*E20/$E$3,2)</f>
        <v>395.19</v>
      </c>
      <c r="E20" s="53">
        <f t="shared" si="1"/>
        <v>3127.15</v>
      </c>
      <c r="F20" s="2790"/>
      <c r="G20" s="2791">
        <f>'数据-基础表'!K13</f>
        <v>3127.15</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395.19</v>
      </c>
      <c r="S20" s="1024">
        <f t="shared" si="5"/>
        <v>3127.15</v>
      </c>
    </row>
    <row r="21" spans="1:19">
      <c r="A21" s="1667"/>
      <c r="B21" s="47" t="s">
        <v>1151</v>
      </c>
      <c r="C21" s="3412"/>
      <c r="D21" s="45">
        <f t="shared" si="6"/>
        <v>0</v>
      </c>
      <c r="E21" s="53">
        <f t="shared" si="1"/>
        <v>0</v>
      </c>
      <c r="F21" s="2790"/>
      <c r="G21" s="2791"/>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13"/>
      <c r="D22" s="45">
        <f t="shared" si="6"/>
        <v>0</v>
      </c>
      <c r="E22" s="53">
        <f t="shared" si="1"/>
        <v>0</v>
      </c>
      <c r="F22" s="2792"/>
      <c r="G22" s="2793"/>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13"/>
      <c r="D23" s="45">
        <f>ROUND($D$3*E23/$E$3,2)</f>
        <v>0</v>
      </c>
      <c r="E23" s="53">
        <f>SUM(F23:G23)</f>
        <v>0</v>
      </c>
      <c r="F23" s="2792"/>
      <c r="G23" s="2793"/>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3"/>
      <c r="D24" s="45">
        <f>ROUND($D$3*E24/$E$3,2)</f>
        <v>0</v>
      </c>
      <c r="E24" s="53">
        <f>SUM(F24:G24)</f>
        <v>0</v>
      </c>
      <c r="F24" s="2792"/>
      <c r="G24" s="2793"/>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755.66000000000008</v>
      </c>
      <c r="E27" s="1138">
        <f>IF(SUM(E19:E26)='数据-基础表'!BA5,SUM(E19:E26),IF(F27="地上面积有误","面积有误","地下面积有误"))</f>
        <v>5979.5300000000007</v>
      </c>
      <c r="F27" s="1137">
        <f>IF(SUM(F19:F26)=E8,SUM(F19:F26),"地上面积有误")</f>
        <v>0</v>
      </c>
      <c r="G27" s="1139">
        <f>SUM(G19:G26)</f>
        <v>5979.5300000000007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755.66000000000008</v>
      </c>
      <c r="S27" s="1023">
        <f>IF(SUM(S19:S26)=$E$3,SUM(S19:S26),SUM(S19:S26)&amp;"误差"&amp;ROUND(SUM(S19:S26)-E3,2))</f>
        <v>5979.5300000000007</v>
      </c>
    </row>
    <row r="28" spans="1:19">
      <c r="A28" s="1667"/>
      <c r="B28" s="47" t="s">
        <v>1153</v>
      </c>
      <c r="C28" s="1035"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1156</v>
      </c>
      <c r="D31" s="676">
        <f>D27+D30</f>
        <v>755.66000000000008</v>
      </c>
      <c r="E31" s="676">
        <f>E27+E30</f>
        <v>5979.5300000000007</v>
      </c>
      <c r="F31" s="677">
        <f>F27+F30</f>
        <v>0</v>
      </c>
      <c r="G31" s="678">
        <f>G27+G30</f>
        <v>5979.5300000000007</v>
      </c>
      <c r="H31" s="2654"/>
      <c r="I31" s="2654"/>
      <c r="J31" s="2654"/>
      <c r="K31" s="2654"/>
      <c r="L31" s="2654"/>
      <c r="M31" s="2654"/>
      <c r="N31" s="2654"/>
      <c r="O31" s="2654"/>
      <c r="P31" s="2654"/>
    </row>
    <row r="32" spans="1:19">
      <c r="A32" s="1640"/>
      <c r="B32" s="1640" t="s">
        <v>1157</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6.75" style="1679" customWidth="1"/>
    <col min="24" max="24" width="8.375" style="1679" customWidth="1"/>
    <col min="25"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2">
        <f>项目基本情况!D3</f>
        <v>45189</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3663</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负2层商业</v>
      </c>
      <c r="B6" s="1710" t="str">
        <f>IF(A6=0,"","经营性")</f>
        <v>经营性</v>
      </c>
      <c r="C6" s="1711" t="s">
        <v>671</v>
      </c>
      <c r="D6" s="855">
        <f>SUMIF(项目基本情况!C$12:I$12,C6,项目基本情况!C$14:I$14)</f>
        <v>40</v>
      </c>
      <c r="E6" s="854">
        <f>IF(B6="","",SUMIF(项目基本情况!C$12:I$12,C6,项目基本情况!C$13:I$13))</f>
        <v>55156</v>
      </c>
      <c r="F6" s="64">
        <f>SUMIF(项目基本情况!C$12:I$12,C6,项目基本情况!C$15:I$15)</f>
        <v>27.3</v>
      </c>
      <c r="G6" s="65">
        <f>IF(ISERROR(ROUND(POWER(1+H6,D6-F6)*(POWER(1+H6,F6)-1)/(POWER(1+H6,D6)-1),3)),0,ROUND(POWER(1+H6,D6-F6)*(POWER(1+H6,F6)-1)/(POWER(1+H6,D6)-1),3))</f>
        <v>0.87</v>
      </c>
      <c r="H6" s="732">
        <v>5.5E-2</v>
      </c>
      <c r="I6" s="732">
        <v>5.5E-2</v>
      </c>
      <c r="J6" s="66">
        <v>7.4999999999999997E-2</v>
      </c>
      <c r="K6" s="1027">
        <f>SUMIF('数据-汇总表'!C$19:C$33,A6,'数据-汇总表'!E$19:E$33)</f>
        <v>2852.38</v>
      </c>
      <c r="L6" s="733">
        <v>5000</v>
      </c>
      <c r="M6" s="67">
        <f t="shared" ref="M6:M14" si="0">ROUND(K6*L6/10000,0)</f>
        <v>1426</v>
      </c>
      <c r="N6" s="731">
        <f>ROUND(1-(1-0%)*(2023-N19)/60,2)</f>
        <v>0.88</v>
      </c>
      <c r="O6" s="67" t="str">
        <f>IF($N$5="成新度","——",ROUND(M6*N6,0))</f>
        <v>——</v>
      </c>
      <c r="P6" s="68" t="str">
        <f>IF($N$5="成新度","——",M6-O6)</f>
        <v>——</v>
      </c>
      <c r="Q6" s="734">
        <v>0.2</v>
      </c>
      <c r="R6" s="69">
        <f ca="1">SUMIF('数据-汇总表'!C$19:C$33,A6,'数据-汇总表'!R$19:R$27)</f>
        <v>360.47</v>
      </c>
      <c r="S6" s="51">
        <f>IF('数据-汇总表'!$I$17="按面积比例",SUMIF('数据-汇总表'!C$19:C$33,A6,'数据-汇总表'!K$19:K$33),SUMIF('数据-汇总表'!C$19:C$33,A6,'数据-汇总表'!N$19:N$33))</f>
        <v>0</v>
      </c>
      <c r="T6" s="1169">
        <f>ROUND($L$14*S6/10000,0)</f>
        <v>0</v>
      </c>
      <c r="U6" s="3643">
        <v>3.8</v>
      </c>
      <c r="V6" s="3644">
        <v>0.02</v>
      </c>
      <c r="W6" s="70">
        <v>0.1</v>
      </c>
      <c r="X6" s="1037"/>
      <c r="Y6" s="71">
        <f>N6</f>
        <v>0.88</v>
      </c>
      <c r="Z6" s="72"/>
      <c r="AA6" s="66"/>
      <c r="AB6" s="66"/>
      <c r="AC6" s="1037"/>
      <c r="AD6" s="73"/>
      <c r="AE6" s="1038">
        <f ca="1">IF(AN6="",0,SUMIF(INDIRECT("'"&amp;AN6&amp;"'"&amp;"!E:E"),$AE$5,INDIRECT("'"&amp;AN6&amp;"'"&amp;"!F:F")))</f>
        <v>27.3</v>
      </c>
      <c r="AF6" s="1345"/>
      <c r="AG6" s="138">
        <f>IF(AF6="",0,AE6-AF6)</f>
        <v>0</v>
      </c>
      <c r="AH6" s="74"/>
      <c r="AI6" s="76">
        <v>365</v>
      </c>
      <c r="AJ6" s="77"/>
      <c r="AK6" s="78">
        <v>5.0000000000000001E-3</v>
      </c>
      <c r="AL6" s="79">
        <v>1E-3</v>
      </c>
      <c r="AM6" s="80">
        <v>0.01</v>
      </c>
      <c r="AN6" s="1712" t="s">
        <v>4235</v>
      </c>
      <c r="AO6" s="52">
        <f ca="1">SUMIF(INDIRECT("'"&amp;AN6&amp;"'"&amp;"!A:A"),"总价",INDIRECT("'"&amp;AN6&amp;"'"&amp;"!B:B"))</f>
        <v>4932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负3层商业</v>
      </c>
      <c r="B7" s="1710" t="str">
        <f t="shared" ref="B7:B13" si="1">IF(A7=0,"","经营性")</f>
        <v>经营性</v>
      </c>
      <c r="C7" s="1711" t="s">
        <v>671</v>
      </c>
      <c r="D7" s="855">
        <f>SUMIF(项目基本情况!C$12:I$12,C7,项目基本情况!C$14:I$14)</f>
        <v>40</v>
      </c>
      <c r="E7" s="854">
        <f>IF(B7="","",SUMIF(项目基本情况!C$12:I$12,C7,项目基本情况!C$13:I$13))</f>
        <v>55156</v>
      </c>
      <c r="F7" s="64">
        <f>SUMIF(项目基本情况!C$12:I$12,C7,项目基本情况!C$15:I$15)</f>
        <v>27.3</v>
      </c>
      <c r="G7" s="65">
        <f t="shared" ref="G7:G11" si="2">IF(ISERROR(ROUND(POWER(1+H7,D7-F7)*(POWER(1+H7,F7)-1)/(POWER(1+H7,D7)-1),3)),0,ROUND(POWER(1+H7,D7-F7)*(POWER(1+H7,F7)-1)/(POWER(1+H7,D7)-1),3))</f>
        <v>0.87</v>
      </c>
      <c r="H7" s="732">
        <f>H6</f>
        <v>5.5E-2</v>
      </c>
      <c r="I7" s="732">
        <f>I6</f>
        <v>5.5E-2</v>
      </c>
      <c r="J7" s="66">
        <f>J6</f>
        <v>7.4999999999999997E-2</v>
      </c>
      <c r="K7" s="1027">
        <f>SUMIF('数据-汇总表'!C$19:C$33,A7,'数据-汇总表'!E$19:E$33)</f>
        <v>3127.15</v>
      </c>
      <c r="L7" s="733">
        <v>5000</v>
      </c>
      <c r="M7" s="67">
        <f t="shared" si="0"/>
        <v>1564</v>
      </c>
      <c r="N7" s="731">
        <f>N6</f>
        <v>0.88</v>
      </c>
      <c r="O7" s="67" t="str">
        <f t="shared" ref="O7:O14" si="3">IF($N$5="成新度","——",ROUND(M7*N7,0))</f>
        <v>——</v>
      </c>
      <c r="P7" s="68" t="str">
        <f t="shared" ref="P7:P14" si="4">IF($N$5="成新度","——",M7-O7)</f>
        <v>——</v>
      </c>
      <c r="Q7" s="734">
        <v>0.2</v>
      </c>
      <c r="R7" s="69">
        <f ca="1">SUMIF('数据-汇总表'!C$19:C$33,A7,'数据-汇总表'!R$19:R$27)</f>
        <v>395.19</v>
      </c>
      <c r="S7" s="51">
        <f>IF('数据-汇总表'!$I$17="按面积比例",SUMIF('数据-汇总表'!C$19:C$33,A7,'数据-汇总表'!K$19:K$33),SUMIF('数据-汇总表'!C$19:C$33,A7,'数据-汇总表'!N$19:N$33))</f>
        <v>0</v>
      </c>
      <c r="T7" s="1169">
        <f t="shared" ref="T7:T13" si="5">ROUND($L$14*S7/10000,0)</f>
        <v>0</v>
      </c>
      <c r="U7" s="3643">
        <v>3</v>
      </c>
      <c r="V7" s="3644">
        <v>0.02</v>
      </c>
      <c r="W7" s="70">
        <v>0.1</v>
      </c>
      <c r="X7" s="1037"/>
      <c r="Y7" s="71">
        <f>N7</f>
        <v>0.88</v>
      </c>
      <c r="Z7" s="72"/>
      <c r="AA7" s="66"/>
      <c r="AB7" s="66"/>
      <c r="AC7" s="1037"/>
      <c r="AD7" s="73"/>
      <c r="AE7" s="1038">
        <f t="shared" ref="AE7:AE13" ca="1" si="6">IF(AN7="",0,SUMIF(INDIRECT("'"&amp;AN7&amp;"'"&amp;"!E:E"),$AE$5,INDIRECT("'"&amp;AN7&amp;"'"&amp;"!F:F")))</f>
        <v>27.3</v>
      </c>
      <c r="AF7" s="1345"/>
      <c r="AG7" s="138">
        <f t="shared" ref="AG7:AG13" si="7">IF(AF7="",0,AE7-AF7)</f>
        <v>0</v>
      </c>
      <c r="AH7" s="74"/>
      <c r="AI7" s="76">
        <v>365</v>
      </c>
      <c r="AJ7" s="77"/>
      <c r="AK7" s="78">
        <v>5.0000000000000001E-3</v>
      </c>
      <c r="AL7" s="79">
        <v>1E-3</v>
      </c>
      <c r="AM7" s="80">
        <v>0.01</v>
      </c>
      <c r="AN7" s="1712" t="s">
        <v>4240</v>
      </c>
      <c r="AO7" s="52">
        <f t="shared" ref="AO7:AO13" ca="1" si="8">SUMIF(INDIRECT("'"&amp;AN7&amp;"'"&amp;"!A:A"),"总价",INDIRECT("'"&amp;AN7&amp;"'"&amp;"!B:B"))</f>
        <v>4238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4"/>
      <c r="V8" s="735"/>
      <c r="W8" s="735"/>
      <c r="X8" s="1037"/>
      <c r="Y8" s="71"/>
      <c r="Z8" s="72"/>
      <c r="AA8" s="66"/>
      <c r="AB8" s="66"/>
      <c r="AC8" s="1037"/>
      <c r="AD8" s="73"/>
      <c r="AE8" s="1038">
        <f t="shared" ca="1" si="6"/>
        <v>0</v>
      </c>
      <c r="AF8" s="1345"/>
      <c r="AG8" s="138">
        <f t="shared" si="7"/>
        <v>0</v>
      </c>
      <c r="AH8" s="736"/>
      <c r="AI8" s="76">
        <v>365</v>
      </c>
      <c r="AJ8" s="77"/>
      <c r="AK8" s="78"/>
      <c r="AL8" s="79"/>
      <c r="AM8" s="80"/>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0.87</v>
      </c>
      <c r="H16" s="90">
        <f>ROUND(SUMPRODUCT(H6:H13,K6:K13)/SUMPRODUCT((H6:H13&gt;0)*(K6:K13)),3)</f>
        <v>5.5E-2</v>
      </c>
      <c r="I16" s="91"/>
      <c r="J16" s="91"/>
      <c r="K16" s="92">
        <f>SUM(K6:K15)</f>
        <v>5979.5300000000007</v>
      </c>
      <c r="L16" s="93">
        <f>ROUND(M16*10000/SUM(K6:K14),0)</f>
        <v>5000</v>
      </c>
      <c r="M16" s="93">
        <f>SUM(M6:M14)</f>
        <v>2990</v>
      </c>
      <c r="N16" s="94">
        <f>ROUND(SUMPRODUCT(M6:M14,N6:N14)/M16,3)</f>
        <v>0.88</v>
      </c>
      <c r="O16" s="93">
        <f>SUM(O6:O14)</f>
        <v>0</v>
      </c>
      <c r="P16" s="93">
        <f>SUM(P6:P14)</f>
        <v>0</v>
      </c>
      <c r="Q16" s="95">
        <f>ROUND(SUMPRODUCT(Q6:Q13,K6:K13)/SUMPRODUCT((Q6:Q13&gt;0)*(K6:K13)),2)</f>
        <v>0.2</v>
      </c>
      <c r="R16" s="1031">
        <f ca="1">SUM(R6:R13)</f>
        <v>755.66000000000008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2300</v>
      </c>
      <c r="D19" s="2671"/>
      <c r="E19" s="2668"/>
      <c r="F19" s="2668"/>
      <c r="G19" s="2668"/>
      <c r="H19" s="2668"/>
      <c r="I19" s="2668"/>
      <c r="J19" s="2668"/>
      <c r="K19" s="2667"/>
      <c r="L19" s="2667"/>
      <c r="M19" s="2666" t="s">
        <v>4198</v>
      </c>
      <c r="N19" s="2666">
        <v>2016</v>
      </c>
      <c r="O19" s="2666"/>
      <c r="P19" s="2666"/>
      <c r="Q19" s="2666"/>
      <c r="R19" s="2666"/>
      <c r="S19" s="2666"/>
      <c r="T19" s="2666"/>
      <c r="U19" s="2667"/>
      <c r="V19" s="3479" t="s">
        <v>3669</v>
      </c>
      <c r="W19" s="3479" t="s">
        <v>3670</v>
      </c>
      <c r="X19" s="3479" t="s">
        <v>3671</v>
      </c>
      <c r="Y19" s="2667"/>
      <c r="Z19" s="2667"/>
      <c r="AA19" s="3479" t="s">
        <v>4232</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3</v>
      </c>
      <c r="C20" s="2795" t="s">
        <v>2298</v>
      </c>
      <c r="D20" s="2671"/>
      <c r="E20" s="2668"/>
      <c r="F20" s="2668"/>
      <c r="G20" s="2668"/>
      <c r="H20" s="2668"/>
      <c r="I20" s="2668"/>
      <c r="J20" s="2668"/>
      <c r="K20" s="2667"/>
      <c r="L20" s="2667"/>
      <c r="M20" s="2666" t="s">
        <v>4199</v>
      </c>
      <c r="N20" s="2666">
        <v>2018</v>
      </c>
      <c r="O20" s="2666"/>
      <c r="P20" s="2666"/>
      <c r="Q20" s="2666"/>
      <c r="R20" s="2666"/>
      <c r="S20" s="2666"/>
      <c r="T20" s="2666"/>
      <c r="U20" s="2667" t="s">
        <v>3664</v>
      </c>
      <c r="V20" s="2667">
        <v>1</v>
      </c>
      <c r="W20" s="2667">
        <v>9</v>
      </c>
      <c r="X20" s="2667"/>
      <c r="Y20" s="2667"/>
      <c r="Z20" s="2667"/>
      <c r="AA20" s="2667"/>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v>3</v>
      </c>
      <c r="C21" s="2668"/>
      <c r="D21" s="2671"/>
      <c r="E21" s="2668"/>
      <c r="F21" s="2668"/>
      <c r="G21" s="2668"/>
      <c r="H21" s="2668"/>
      <c r="I21" s="2668"/>
      <c r="J21" s="2668"/>
      <c r="K21" s="2667"/>
      <c r="L21" s="2667"/>
      <c r="M21" s="2666"/>
      <c r="N21" s="2666"/>
      <c r="O21" s="2666"/>
      <c r="P21" s="2666"/>
      <c r="Q21" s="2666"/>
      <c r="R21" s="2666"/>
      <c r="S21" s="2666"/>
      <c r="T21" s="2666"/>
      <c r="U21" s="2667" t="s">
        <v>3665</v>
      </c>
      <c r="V21" s="2667">
        <v>0.75</v>
      </c>
      <c r="W21" s="2667">
        <f>W20*V21</f>
        <v>6.75</v>
      </c>
      <c r="X21" s="2667"/>
      <c r="Y21" s="2667"/>
      <c r="Z21" s="2667"/>
      <c r="AA21" s="2667"/>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3</v>
      </c>
      <c r="C22" s="2668"/>
      <c r="D22" s="2671"/>
      <c r="E22" s="2668"/>
      <c r="F22" s="2668"/>
      <c r="G22" s="2668"/>
      <c r="H22" s="2668"/>
      <c r="I22" s="2668"/>
      <c r="J22" s="2668"/>
      <c r="K22" s="2667"/>
      <c r="L22" s="2667"/>
      <c r="M22" s="2666"/>
      <c r="N22" s="2666"/>
      <c r="O22" s="2666"/>
      <c r="P22" s="2666"/>
      <c r="Q22" s="2666"/>
      <c r="R22" s="2666"/>
      <c r="S22" s="2666"/>
      <c r="T22" s="2666"/>
      <c r="U22" s="2667" t="s">
        <v>3666</v>
      </c>
      <c r="V22" s="2667">
        <v>0.6</v>
      </c>
      <c r="W22" s="2667">
        <f>W20*V22</f>
        <v>5.3999999999999995</v>
      </c>
      <c r="X22" s="2667"/>
      <c r="Y22" s="2667"/>
      <c r="Z22" s="2667"/>
      <c r="AA22" s="2667"/>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3</v>
      </c>
      <c r="C23" s="2668"/>
      <c r="D23" s="2671"/>
      <c r="E23" s="2668"/>
      <c r="F23" s="2668"/>
      <c r="G23" s="2668"/>
      <c r="H23" s="2668"/>
      <c r="I23" s="2668"/>
      <c r="J23" s="2668"/>
      <c r="K23" s="2667"/>
      <c r="L23" s="2667"/>
      <c r="M23" s="2666"/>
      <c r="N23" s="2666"/>
      <c r="O23" s="2666"/>
      <c r="P23" s="2666"/>
      <c r="Q23" s="2666"/>
      <c r="R23" s="2666"/>
      <c r="S23" s="2666"/>
      <c r="T23" s="2666"/>
      <c r="U23" s="2667" t="s">
        <v>3667</v>
      </c>
      <c r="V23" s="2667">
        <v>0.4</v>
      </c>
      <c r="W23" s="2667">
        <f>ROUND(W20*V23,1)</f>
        <v>3.6</v>
      </c>
      <c r="X23" s="2667">
        <v>2852.38</v>
      </c>
      <c r="Y23" s="2667">
        <f>X23*W23</f>
        <v>10268.568000000001</v>
      </c>
      <c r="Z23" s="2667"/>
      <c r="AA23" s="2667">
        <v>4.5</v>
      </c>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0</v>
      </c>
      <c r="C24" s="2668"/>
      <c r="D24" s="2671"/>
      <c r="E24" s="2668"/>
      <c r="F24" s="2668"/>
      <c r="G24" s="2668"/>
      <c r="H24" s="2668"/>
      <c r="I24" s="2668"/>
      <c r="J24" s="2668"/>
      <c r="K24" s="2667"/>
      <c r="L24" s="2667"/>
      <c r="M24" s="2666"/>
      <c r="N24" s="2666"/>
      <c r="O24" s="2666"/>
      <c r="P24" s="2666"/>
      <c r="Q24" s="2666"/>
      <c r="R24" s="2666"/>
      <c r="S24" s="2666"/>
      <c r="T24" s="2666"/>
      <c r="U24" s="2667" t="s">
        <v>3668</v>
      </c>
      <c r="V24" s="2667">
        <v>0.35</v>
      </c>
      <c r="W24" s="3480">
        <f>ROUND(W20*V24,1)</f>
        <v>3.2</v>
      </c>
      <c r="X24" s="2667">
        <v>3127.15</v>
      </c>
      <c r="Y24" s="2667">
        <f>X24*W24</f>
        <v>10006.880000000001</v>
      </c>
      <c r="Z24" s="2667"/>
      <c r="AA24" s="2667"/>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7"/>
      <c r="V25" s="2667"/>
      <c r="W25" s="3480">
        <f>ROUND(Y25/X25,1)</f>
        <v>3.4</v>
      </c>
      <c r="X25" s="2667">
        <f>X23+X24</f>
        <v>5979.5300000000007</v>
      </c>
      <c r="Y25" s="2667">
        <f>Y23+Y24</f>
        <v>20275.448000000004</v>
      </c>
      <c r="Z25" s="2667"/>
      <c r="AA25" s="2667"/>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160</v>
      </c>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'成本法-负2层'!C10+'成本法-负3层'!C10</f>
        <v>120</v>
      </c>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0.03</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0.03</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3</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303</v>
      </c>
      <c r="C53" s="2656" t="s">
        <v>1244</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2" customFormat="1" ht="18.75" thickBot="1">
      <c r="A1" s="3732" t="s">
        <v>2281</v>
      </c>
      <c r="B1" s="3733"/>
      <c r="C1" s="3733"/>
      <c r="D1" s="3733"/>
      <c r="E1" s="3733"/>
      <c r="F1" s="3733"/>
      <c r="G1" s="373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3" t="s">
        <v>2249</v>
      </c>
      <c r="C4" s="2463" t="s">
        <v>2250</v>
      </c>
      <c r="D4" s="2460"/>
      <c r="E4" s="2464"/>
      <c r="F4" s="1370" t="s">
        <v>2251</v>
      </c>
      <c r="G4" s="2465" t="s">
        <v>2252</v>
      </c>
      <c r="H4" s="796"/>
      <c r="I4" s="796"/>
      <c r="J4" s="796"/>
      <c r="K4" s="796"/>
      <c r="L4" s="796"/>
      <c r="M4" s="796"/>
      <c r="N4" s="796"/>
      <c r="O4" s="796"/>
      <c r="P4" s="796"/>
      <c r="Q4" s="796"/>
      <c r="R4" s="796"/>
    </row>
    <row r="5" spans="1:29" ht="36.75">
      <c r="A5" s="2437"/>
      <c r="B5" s="323" t="s">
        <v>2253</v>
      </c>
      <c r="C5" s="2463" t="s">
        <v>2254</v>
      </c>
      <c r="D5" s="2460"/>
      <c r="E5" s="2464"/>
      <c r="F5" s="323" t="s">
        <v>2255</v>
      </c>
      <c r="G5" s="2465" t="s">
        <v>2256</v>
      </c>
      <c r="H5" s="796"/>
      <c r="I5" s="796"/>
      <c r="J5" s="796"/>
      <c r="K5" s="796"/>
      <c r="L5" s="796"/>
      <c r="M5" s="796"/>
      <c r="N5" s="796"/>
      <c r="O5" s="796"/>
      <c r="P5" s="796"/>
      <c r="Q5" s="796"/>
      <c r="R5" s="796"/>
    </row>
    <row r="6" spans="1:29" ht="36">
      <c r="A6" s="2437"/>
      <c r="B6" s="323" t="s">
        <v>2257</v>
      </c>
      <c r="C6" s="2465" t="s">
        <v>2252</v>
      </c>
      <c r="D6" s="2460"/>
      <c r="E6" s="2464"/>
      <c r="F6" s="323" t="s">
        <v>2258</v>
      </c>
      <c r="G6" s="2465" t="s">
        <v>2259</v>
      </c>
      <c r="H6" s="796"/>
      <c r="I6" s="796"/>
      <c r="J6" s="796"/>
      <c r="K6" s="796"/>
      <c r="L6" s="796"/>
      <c r="M6" s="796"/>
      <c r="N6" s="796"/>
      <c r="O6" s="796"/>
      <c r="P6" s="796"/>
      <c r="Q6" s="796"/>
      <c r="R6" s="796"/>
    </row>
    <row r="7" spans="1:29" ht="24.75" thickBot="1">
      <c r="A7" s="2437"/>
      <c r="B7" s="323" t="s">
        <v>2255</v>
      </c>
      <c r="C7" s="2465" t="s">
        <v>2256</v>
      </c>
      <c r="D7" s="2466"/>
      <c r="E7" s="2467"/>
      <c r="F7" s="2468" t="s">
        <v>2260</v>
      </c>
      <c r="G7" s="2469" t="s">
        <v>2261</v>
      </c>
      <c r="H7" s="796"/>
      <c r="I7" s="796"/>
      <c r="J7" s="796"/>
      <c r="K7" s="796"/>
      <c r="L7" s="796"/>
      <c r="M7" s="796"/>
      <c r="N7" s="796"/>
      <c r="O7" s="796"/>
      <c r="P7" s="796"/>
      <c r="Q7" s="796"/>
      <c r="R7" s="796"/>
    </row>
    <row r="8" spans="1:29">
      <c r="A8" s="2437"/>
      <c r="B8" s="323" t="s">
        <v>2258</v>
      </c>
      <c r="C8" s="2465" t="s">
        <v>2259</v>
      </c>
      <c r="D8" s="2466"/>
      <c r="E8" s="2466"/>
      <c r="F8" s="2470"/>
      <c r="G8" s="2470"/>
      <c r="H8" s="796"/>
      <c r="I8" s="796"/>
      <c r="J8" s="796"/>
      <c r="K8" s="796"/>
      <c r="L8" s="796"/>
      <c r="M8" s="796"/>
      <c r="N8" s="796"/>
      <c r="O8" s="796"/>
      <c r="P8" s="796"/>
      <c r="Q8" s="796"/>
      <c r="R8" s="796"/>
    </row>
    <row r="9" spans="1:29" ht="24">
      <c r="A9" s="2437"/>
      <c r="B9" s="323"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3"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3" t="s">
        <v>2258</v>
      </c>
      <c r="G20" s="2498" t="str">
        <f>G6</f>
        <v>估价对象所在区域基础设施水平</v>
      </c>
    </row>
    <row r="21" spans="1:18" ht="25.5">
      <c r="A21" s="2441"/>
      <c r="B21" s="323" t="s">
        <v>2255</v>
      </c>
      <c r="C21" s="2498" t="str">
        <f>C7</f>
        <v>估价对象所在区域公共配套设施齐备情况</v>
      </c>
      <c r="D21" s="2460"/>
      <c r="E21" s="2442"/>
      <c r="F21" s="2497" t="s">
        <v>2273</v>
      </c>
      <c r="G21" s="2500"/>
    </row>
    <row r="22" spans="1:18" ht="13.5" customHeight="1">
      <c r="A22" s="2441"/>
      <c r="B22" s="323" t="s">
        <v>2258</v>
      </c>
      <c r="C22" s="2498" t="str">
        <f>C8</f>
        <v>估价对象所在区域基础设施水平</v>
      </c>
      <c r="D22" s="2460"/>
      <c r="E22" s="2442"/>
      <c r="F22" s="2497" t="s">
        <v>2264</v>
      </c>
      <c r="G22" s="2499"/>
    </row>
    <row r="23" spans="1:18" s="796" customFormat="1" ht="15" thickBot="1">
      <c r="A23" s="2441"/>
      <c r="B23" s="2497" t="s">
        <v>2273</v>
      </c>
      <c r="C23" s="2500"/>
      <c r="D23" s="1738"/>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8"/>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7"/>
  <sheetViews>
    <sheetView workbookViewId="0">
      <selection activeCell="F4" sqref="F4"/>
    </sheetView>
  </sheetViews>
  <sheetFormatPr defaultColWidth="9" defaultRowHeight="13.5"/>
  <cols>
    <col min="1" max="1" width="9" style="3632"/>
    <col min="2" max="2" width="18.625" style="3632" customWidth="1"/>
    <col min="3" max="3" width="12.5" style="3632" customWidth="1"/>
    <col min="4" max="5" width="9" style="3632"/>
    <col min="6" max="6" width="9.75" style="3632" customWidth="1"/>
    <col min="7" max="7" width="7.125" style="3632" customWidth="1"/>
    <col min="8" max="8" width="12.5" style="3632" customWidth="1"/>
    <col min="9" max="9" width="12.25" style="3632" customWidth="1"/>
    <col min="10" max="10" width="12.375" style="3632" customWidth="1"/>
    <col min="11" max="11" width="9" style="3632"/>
    <col min="12" max="12" width="9.625" style="3632" customWidth="1"/>
    <col min="13" max="16384" width="9" style="3632"/>
  </cols>
  <sheetData>
    <row r="3" spans="2:12">
      <c r="B3" s="3632" t="s">
        <v>4200</v>
      </c>
      <c r="C3" s="3632" t="s">
        <v>4203</v>
      </c>
      <c r="D3" s="3632" t="s">
        <v>4202</v>
      </c>
      <c r="E3" s="3632" t="s">
        <v>4204</v>
      </c>
      <c r="F3" s="3632" t="s">
        <v>4201</v>
      </c>
      <c r="G3" s="3632" t="s">
        <v>4189</v>
      </c>
      <c r="H3" s="3734" t="s">
        <v>4206</v>
      </c>
      <c r="I3" s="3734"/>
      <c r="J3" s="3632" t="s">
        <v>4209</v>
      </c>
      <c r="K3" s="3632" t="s">
        <v>4184</v>
      </c>
      <c r="L3" s="3632" t="s">
        <v>4207</v>
      </c>
    </row>
    <row r="4" spans="2:12" ht="27">
      <c r="B4" s="3633" t="s">
        <v>4178</v>
      </c>
      <c r="C4" s="3633" t="s">
        <v>4205</v>
      </c>
      <c r="D4" s="3632">
        <v>2852.38</v>
      </c>
      <c r="E4" s="3632">
        <v>2182.4499999999998</v>
      </c>
      <c r="F4" s="3632">
        <v>3060</v>
      </c>
      <c r="G4" s="3632" t="s">
        <v>3781</v>
      </c>
      <c r="H4" s="3634">
        <v>44562</v>
      </c>
      <c r="I4" s="3634">
        <v>44926</v>
      </c>
      <c r="J4" s="3632">
        <v>5026050</v>
      </c>
      <c r="K4" s="3636">
        <f>J4/$F$4/365</f>
        <v>4.5</v>
      </c>
      <c r="L4" s="3633" t="s">
        <v>3783</v>
      </c>
    </row>
    <row r="5" spans="2:12" ht="27">
      <c r="C5" s="3633" t="s">
        <v>4215</v>
      </c>
      <c r="D5" s="3632">
        <v>275.54000000000002</v>
      </c>
      <c r="E5" s="3632">
        <v>223.71</v>
      </c>
      <c r="H5" s="3634">
        <v>44927</v>
      </c>
      <c r="I5" s="3634">
        <v>45291</v>
      </c>
      <c r="J5" s="3632">
        <v>5026050</v>
      </c>
      <c r="K5" s="3636">
        <f t="shared" ref="K5:K13" si="0">J5/$F$4/365</f>
        <v>4.5</v>
      </c>
      <c r="L5" s="3635">
        <f>(J6-J5)/J5</f>
        <v>5.1111111111111114E-2</v>
      </c>
    </row>
    <row r="6" spans="2:12">
      <c r="D6" s="3632">
        <f>SUM(D4:D5)</f>
        <v>3127.92</v>
      </c>
      <c r="H6" s="3634">
        <v>45292</v>
      </c>
      <c r="I6" s="3634">
        <v>45657</v>
      </c>
      <c r="J6" s="3632">
        <v>5282937</v>
      </c>
      <c r="K6" s="3636">
        <f t="shared" si="0"/>
        <v>4.7300000000000004</v>
      </c>
    </row>
    <row r="7" spans="2:12" ht="27">
      <c r="B7" s="3633" t="s">
        <v>4210</v>
      </c>
      <c r="H7" s="3634">
        <v>45658</v>
      </c>
      <c r="I7" s="3634">
        <v>46022</v>
      </c>
      <c r="J7" s="3632">
        <v>5282937</v>
      </c>
      <c r="K7" s="3636">
        <f t="shared" si="0"/>
        <v>4.7300000000000004</v>
      </c>
    </row>
    <row r="8" spans="2:12">
      <c r="H8" s="3634">
        <v>46023</v>
      </c>
      <c r="I8" s="3634">
        <v>46387</v>
      </c>
      <c r="J8" s="3637">
        <v>5550993</v>
      </c>
      <c r="K8" s="3636">
        <f t="shared" si="0"/>
        <v>4.97</v>
      </c>
    </row>
    <row r="9" spans="2:12">
      <c r="H9" s="3634">
        <v>46388</v>
      </c>
      <c r="I9" s="3634">
        <v>46752</v>
      </c>
      <c r="J9" s="3637">
        <v>5550993</v>
      </c>
      <c r="K9" s="3636">
        <f t="shared" si="0"/>
        <v>4.97</v>
      </c>
    </row>
    <row r="10" spans="2:12">
      <c r="H10" s="3634">
        <v>46753</v>
      </c>
      <c r="I10" s="3634">
        <v>47118</v>
      </c>
      <c r="J10" s="3637">
        <v>5819049</v>
      </c>
      <c r="K10" s="3636">
        <f t="shared" si="0"/>
        <v>5.21</v>
      </c>
    </row>
    <row r="11" spans="2:12">
      <c r="H11" s="3634">
        <v>47119</v>
      </c>
      <c r="I11" s="3634">
        <v>47483</v>
      </c>
      <c r="J11" s="3637">
        <v>5819049</v>
      </c>
      <c r="K11" s="3636">
        <f t="shared" si="0"/>
        <v>5.21</v>
      </c>
    </row>
    <row r="12" spans="2:12">
      <c r="H12" s="3634">
        <v>47484</v>
      </c>
      <c r="I12" s="3634">
        <v>47848</v>
      </c>
      <c r="J12" s="3637">
        <v>6109443</v>
      </c>
      <c r="K12" s="3636">
        <f t="shared" si="0"/>
        <v>5.47</v>
      </c>
    </row>
    <row r="13" spans="2:12">
      <c r="H13" s="3634">
        <v>47849</v>
      </c>
      <c r="I13" s="3634">
        <v>48213</v>
      </c>
      <c r="J13" s="3637">
        <v>6109443</v>
      </c>
      <c r="K13" s="3636">
        <f t="shared" si="0"/>
        <v>5.47</v>
      </c>
    </row>
    <row r="17" spans="2:12">
      <c r="B17" s="3632" t="s">
        <v>4200</v>
      </c>
      <c r="C17" s="3632" t="s">
        <v>4203</v>
      </c>
      <c r="D17" s="3632" t="s">
        <v>4202</v>
      </c>
      <c r="E17" s="3632" t="s">
        <v>4204</v>
      </c>
      <c r="F17" s="3632" t="s">
        <v>4201</v>
      </c>
      <c r="G17" s="3632" t="s">
        <v>4189</v>
      </c>
      <c r="H17" s="3734" t="s">
        <v>4206</v>
      </c>
      <c r="I17" s="3734"/>
    </row>
    <row r="18" spans="2:12" ht="148.5">
      <c r="B18" s="3633" t="s">
        <v>4212</v>
      </c>
      <c r="C18" s="3633" t="s">
        <v>4213</v>
      </c>
      <c r="D18" s="3632">
        <v>3127.15</v>
      </c>
      <c r="E18" s="3632">
        <v>2392.69</v>
      </c>
      <c r="F18" s="3632">
        <v>2228</v>
      </c>
      <c r="G18" s="3632" t="s">
        <v>4214</v>
      </c>
      <c r="H18" s="3634">
        <v>44743</v>
      </c>
      <c r="I18" s="3634">
        <v>47118</v>
      </c>
      <c r="J18" s="3633" t="s">
        <v>4216</v>
      </c>
      <c r="K18" s="3636"/>
    </row>
    <row r="19" spans="2:12">
      <c r="C19" s="3633"/>
      <c r="H19" s="3634"/>
      <c r="I19" s="3634"/>
      <c r="K19" s="3636"/>
      <c r="L19" s="3635"/>
    </row>
    <row r="20" spans="2:12">
      <c r="H20" s="3634"/>
      <c r="I20" s="3634"/>
      <c r="K20" s="3636"/>
    </row>
    <row r="21" spans="2:12">
      <c r="H21" s="3634"/>
      <c r="I21" s="3634"/>
      <c r="K21" s="3636"/>
    </row>
    <row r="22" spans="2:12">
      <c r="H22" s="3634"/>
      <c r="I22" s="3634"/>
      <c r="J22" s="3637"/>
      <c r="K22" s="3636"/>
    </row>
    <row r="23" spans="2:12">
      <c r="H23" s="3634"/>
      <c r="I23" s="3634"/>
      <c r="J23" s="3637"/>
      <c r="K23" s="3636"/>
    </row>
    <row r="24" spans="2:12">
      <c r="H24" s="3634"/>
      <c r="I24" s="3634"/>
      <c r="J24" s="3637"/>
      <c r="K24" s="3636"/>
    </row>
    <row r="25" spans="2:12">
      <c r="H25" s="3634"/>
      <c r="I25" s="3634"/>
      <c r="J25" s="3637"/>
      <c r="K25" s="3636"/>
    </row>
    <row r="26" spans="2:12">
      <c r="H26" s="3634"/>
      <c r="I26" s="3634"/>
      <c r="J26" s="3637"/>
      <c r="K26" s="3636"/>
    </row>
    <row r="27" spans="2:12">
      <c r="H27" s="3634"/>
      <c r="I27" s="3634"/>
      <c r="J27" s="3637"/>
      <c r="K27" s="3636"/>
    </row>
  </sheetData>
  <mergeCells count="2">
    <mergeCell ref="H3:I3"/>
    <mergeCell ref="H17:I17"/>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234"/>
  <sheetViews>
    <sheetView zoomScale="60" zoomScaleNormal="60" workbookViewId="0">
      <pane xSplit="6" ySplit="3" topLeftCell="G4" activePane="bottomRight" state="frozen"/>
      <selection pane="topRight" activeCell="G1" sqref="G1"/>
      <selection pane="bottomLeft" activeCell="A3" sqref="A3"/>
      <selection pane="bottomRight" activeCell="A87" sqref="A87:XFD87"/>
    </sheetView>
  </sheetViews>
  <sheetFormatPr defaultColWidth="11" defaultRowHeight="14.25"/>
  <cols>
    <col min="1" max="1" width="5.75" style="3596" customWidth="1"/>
    <col min="2" max="2" width="21.75" style="3597" customWidth="1"/>
    <col min="3" max="3" width="13.75" style="3483" customWidth="1"/>
    <col min="4" max="4" width="17" style="3483" customWidth="1"/>
    <col min="5" max="5" width="11" style="3483"/>
    <col min="6" max="6" width="13" style="3483" customWidth="1"/>
    <col min="7" max="7" width="19.625" style="3483" customWidth="1"/>
    <col min="8" max="8" width="16.125" style="3483" customWidth="1"/>
    <col min="9" max="9" width="16.25" style="3483" bestFit="1" customWidth="1"/>
    <col min="10" max="10" width="11" style="3483"/>
    <col min="11" max="11" width="11.625" style="3598" bestFit="1" customWidth="1"/>
    <col min="12" max="12" width="11.625" style="3599" bestFit="1" customWidth="1"/>
    <col min="13" max="14" width="11" style="3596"/>
    <col min="15" max="15" width="11.75" style="3596" bestFit="1" customWidth="1"/>
    <col min="16" max="16" width="11.75" style="3598" bestFit="1" customWidth="1"/>
    <col min="17" max="17" width="13.375" style="3600" customWidth="1"/>
    <col min="18" max="18" width="13.375" style="3596" customWidth="1"/>
    <col min="19" max="19" width="16.125" style="3596" customWidth="1"/>
    <col min="20" max="21" width="13.875" style="3483" bestFit="1" customWidth="1"/>
    <col min="22" max="22" width="11.625" style="3483" bestFit="1" customWidth="1"/>
    <col min="23" max="26" width="11" style="3483"/>
    <col min="27" max="31" width="16.125" style="3483" bestFit="1" customWidth="1"/>
    <col min="32" max="33" width="13.875" style="3483" bestFit="1" customWidth="1"/>
    <col min="34" max="16384" width="11" style="3483"/>
  </cols>
  <sheetData>
    <row r="2" spans="1:21" ht="22.15" customHeight="1">
      <c r="A2" s="3735" t="s">
        <v>3697</v>
      </c>
      <c r="B2" s="3735"/>
      <c r="C2" s="3735"/>
      <c r="D2" s="3735"/>
      <c r="E2" s="3735"/>
      <c r="F2" s="3735"/>
      <c r="G2" s="3735"/>
      <c r="H2" s="3735"/>
      <c r="I2" s="3735"/>
      <c r="J2" s="3735"/>
      <c r="K2" s="3735"/>
      <c r="L2" s="3735"/>
      <c r="M2" s="3735"/>
      <c r="N2" s="3735"/>
      <c r="O2" s="3735"/>
      <c r="P2" s="3735"/>
      <c r="Q2" s="3735"/>
      <c r="R2" s="3735"/>
      <c r="S2" s="3735"/>
      <c r="T2" s="3482"/>
      <c r="U2" s="3482"/>
    </row>
    <row r="3" spans="1:21" ht="25.15" customHeight="1">
      <c r="A3" s="3484" t="s">
        <v>3390</v>
      </c>
      <c r="B3" s="3484" t="s">
        <v>3698</v>
      </c>
      <c r="C3" s="3484" t="s">
        <v>3699</v>
      </c>
      <c r="D3" s="3484" t="s">
        <v>3700</v>
      </c>
      <c r="E3" s="3484" t="s">
        <v>3701</v>
      </c>
      <c r="F3" s="3484" t="s">
        <v>3702</v>
      </c>
      <c r="G3" s="3484" t="s">
        <v>3703</v>
      </c>
      <c r="H3" s="3484" t="s">
        <v>3704</v>
      </c>
      <c r="I3" s="3484" t="s">
        <v>3705</v>
      </c>
      <c r="J3" s="3484" t="s">
        <v>3706</v>
      </c>
      <c r="K3" s="3485" t="s">
        <v>3707</v>
      </c>
      <c r="L3" s="3485" t="s">
        <v>3708</v>
      </c>
      <c r="M3" s="3486" t="s">
        <v>3709</v>
      </c>
      <c r="N3" s="3484" t="s">
        <v>3710</v>
      </c>
      <c r="O3" s="3484" t="s">
        <v>3711</v>
      </c>
      <c r="P3" s="3485" t="s">
        <v>3712</v>
      </c>
      <c r="Q3" s="3487"/>
      <c r="R3" s="3484" t="s">
        <v>3713</v>
      </c>
      <c r="S3" s="3484" t="s">
        <v>3714</v>
      </c>
      <c r="T3" s="3482" t="s">
        <v>3715</v>
      </c>
      <c r="U3" s="3482" t="s">
        <v>3716</v>
      </c>
    </row>
    <row r="4" spans="1:21" ht="18.75" hidden="1" customHeight="1">
      <c r="A4" s="3484">
        <v>1</v>
      </c>
      <c r="B4" s="3487" t="s">
        <v>3717</v>
      </c>
      <c r="C4" s="3488" t="s">
        <v>3718</v>
      </c>
      <c r="D4" s="3489">
        <v>10267</v>
      </c>
      <c r="E4" s="3490">
        <v>1.40999999199457</v>
      </c>
      <c r="F4" s="3490">
        <v>0.49000000266847799</v>
      </c>
      <c r="G4" s="3490">
        <v>5283911.5199999996</v>
      </c>
      <c r="H4" s="3490">
        <v>1836252.96</v>
      </c>
      <c r="I4" s="3490">
        <v>7120164.4800000004</v>
      </c>
      <c r="J4" s="3491">
        <f>F4+E4</f>
        <v>1.8999999946630481</v>
      </c>
      <c r="K4" s="3492">
        <v>42917</v>
      </c>
      <c r="L4" s="3493">
        <v>43738</v>
      </c>
      <c r="M4" s="3494" t="s">
        <v>3719</v>
      </c>
      <c r="N4" s="3495" t="s">
        <v>3720</v>
      </c>
      <c r="O4" s="3492" t="s">
        <v>3721</v>
      </c>
      <c r="P4" s="3485">
        <v>44194</v>
      </c>
      <c r="Q4" s="3496" t="s">
        <v>3722</v>
      </c>
      <c r="R4" s="3497">
        <v>0.02</v>
      </c>
      <c r="S4" s="3498" t="s">
        <v>3723</v>
      </c>
      <c r="T4" s="3482" t="s">
        <v>3724</v>
      </c>
      <c r="U4" s="3482" t="s">
        <v>3724</v>
      </c>
    </row>
    <row r="5" spans="1:21" ht="18.75" hidden="1" customHeight="1">
      <c r="A5" s="3484">
        <v>2</v>
      </c>
      <c r="B5" s="3487" t="s">
        <v>3717</v>
      </c>
      <c r="C5" s="3488" t="s">
        <v>3725</v>
      </c>
      <c r="D5" s="3489"/>
      <c r="E5" s="3490">
        <v>39.450000000000003</v>
      </c>
      <c r="F5" s="3490"/>
      <c r="G5" s="3490">
        <v>144000</v>
      </c>
      <c r="H5" s="3490"/>
      <c r="I5" s="3490">
        <v>144000</v>
      </c>
      <c r="J5" s="3491">
        <v>39.450000000000003</v>
      </c>
      <c r="K5" s="3492">
        <v>42917</v>
      </c>
      <c r="L5" s="3493">
        <v>43738</v>
      </c>
      <c r="M5" s="3494" t="s">
        <v>3719</v>
      </c>
      <c r="N5" s="3495" t="s">
        <v>3720</v>
      </c>
      <c r="O5" s="3492" t="s">
        <v>3721</v>
      </c>
      <c r="P5" s="3485">
        <v>44164</v>
      </c>
      <c r="Q5" s="3496" t="s">
        <v>3726</v>
      </c>
      <c r="R5" s="3497" t="s">
        <v>3727</v>
      </c>
      <c r="S5" s="3498" t="s">
        <v>3723</v>
      </c>
      <c r="T5" s="3482" t="s">
        <v>3724</v>
      </c>
      <c r="U5" s="3482" t="s">
        <v>3724</v>
      </c>
    </row>
    <row r="6" spans="1:21" ht="18.75" hidden="1" customHeight="1">
      <c r="A6" s="3484">
        <v>3</v>
      </c>
      <c r="B6" s="3487" t="s">
        <v>3717</v>
      </c>
      <c r="C6" s="3488" t="s">
        <v>3728</v>
      </c>
      <c r="D6" s="3489">
        <v>26</v>
      </c>
      <c r="E6" s="3490">
        <v>6</v>
      </c>
      <c r="F6" s="3490"/>
      <c r="G6" s="3490">
        <v>56940</v>
      </c>
      <c r="H6" s="3490"/>
      <c r="I6" s="3490">
        <v>56940</v>
      </c>
      <c r="J6" s="3491">
        <v>26</v>
      </c>
      <c r="K6" s="3492">
        <v>42917</v>
      </c>
      <c r="L6" s="3493">
        <v>43738</v>
      </c>
      <c r="M6" s="3494" t="s">
        <v>3719</v>
      </c>
      <c r="N6" s="3495" t="s">
        <v>3720</v>
      </c>
      <c r="O6" s="3492" t="s">
        <v>3721</v>
      </c>
      <c r="P6" s="3485">
        <v>43936</v>
      </c>
      <c r="Q6" s="3496" t="s">
        <v>3729</v>
      </c>
      <c r="R6" s="3497">
        <v>0.04</v>
      </c>
      <c r="S6" s="3498" t="s">
        <v>3723</v>
      </c>
      <c r="T6" s="3482" t="s">
        <v>3724</v>
      </c>
      <c r="U6" s="3482" t="s">
        <v>3724</v>
      </c>
    </row>
    <row r="7" spans="1:21" ht="18.75" hidden="1" customHeight="1">
      <c r="A7" s="3484">
        <v>4</v>
      </c>
      <c r="B7" s="3487" t="s">
        <v>3730</v>
      </c>
      <c r="C7" s="3488" t="s">
        <v>3731</v>
      </c>
      <c r="D7" s="3489">
        <v>598</v>
      </c>
      <c r="E7" s="3490">
        <v>6.9994520547945198</v>
      </c>
      <c r="F7" s="3490">
        <v>0.98630136986301398</v>
      </c>
      <c r="G7" s="3490">
        <v>1527770.4</v>
      </c>
      <c r="H7" s="3490">
        <v>215280</v>
      </c>
      <c r="I7" s="3490">
        <v>1743050.4</v>
      </c>
      <c r="J7" s="3491">
        <f t="shared" ref="J7:J50" si="0">F7+E7</f>
        <v>7.9857534246575339</v>
      </c>
      <c r="K7" s="3492">
        <v>42977</v>
      </c>
      <c r="L7" s="3499">
        <v>43555</v>
      </c>
      <c r="M7" s="3494" t="s">
        <v>3732</v>
      </c>
      <c r="N7" s="3495" t="s">
        <v>3733</v>
      </c>
      <c r="O7" s="3492" t="s">
        <v>3734</v>
      </c>
      <c r="P7" s="3485">
        <v>43678</v>
      </c>
      <c r="Q7" s="3496" t="s">
        <v>3735</v>
      </c>
      <c r="R7" s="3497">
        <v>0.05</v>
      </c>
      <c r="S7" s="3498" t="s">
        <v>3723</v>
      </c>
      <c r="T7" s="3482" t="s">
        <v>3724</v>
      </c>
      <c r="U7" s="3482" t="s">
        <v>3724</v>
      </c>
    </row>
    <row r="8" spans="1:21" ht="18.75" hidden="1" customHeight="1">
      <c r="A8" s="3484">
        <v>5</v>
      </c>
      <c r="B8" s="3487" t="s">
        <v>3736</v>
      </c>
      <c r="C8" s="3500" t="s">
        <v>3737</v>
      </c>
      <c r="D8" s="3489">
        <v>103</v>
      </c>
      <c r="E8" s="3490">
        <v>10.5001196967682</v>
      </c>
      <c r="F8" s="3490">
        <v>3.0016757547546198</v>
      </c>
      <c r="G8" s="3490">
        <v>394752</v>
      </c>
      <c r="H8" s="3490">
        <v>112848</v>
      </c>
      <c r="I8" s="3490">
        <v>507600</v>
      </c>
      <c r="J8" s="3491">
        <f t="shared" si="0"/>
        <v>13.50179545152282</v>
      </c>
      <c r="K8" s="3492">
        <v>43564</v>
      </c>
      <c r="L8" s="3501">
        <v>43830</v>
      </c>
      <c r="M8" s="3502" t="s">
        <v>3738</v>
      </c>
      <c r="N8" s="3495" t="s">
        <v>3739</v>
      </c>
      <c r="O8" s="3492" t="s">
        <v>3734</v>
      </c>
      <c r="P8" s="3485">
        <v>43678</v>
      </c>
      <c r="Q8" s="3496" t="s">
        <v>3735</v>
      </c>
      <c r="R8" s="3497">
        <v>0.05</v>
      </c>
      <c r="S8" s="3503" t="s">
        <v>3723</v>
      </c>
      <c r="T8" s="3482" t="s">
        <v>3724</v>
      </c>
      <c r="U8" s="3482" t="s">
        <v>3724</v>
      </c>
    </row>
    <row r="9" spans="1:21" s="3509" customFormat="1" ht="30" hidden="1" customHeight="1">
      <c r="A9" s="3484">
        <v>6</v>
      </c>
      <c r="B9" s="3487" t="s">
        <v>3740</v>
      </c>
      <c r="C9" s="3496" t="s">
        <v>3741</v>
      </c>
      <c r="D9" s="3504">
        <v>214.8</v>
      </c>
      <c r="E9" s="3490"/>
      <c r="F9" s="3505"/>
      <c r="G9" s="3490"/>
      <c r="H9" s="3490"/>
      <c r="I9" s="3506">
        <f t="shared" ref="I9:I71" si="1">G9+H9</f>
        <v>0</v>
      </c>
      <c r="J9" s="3491">
        <f t="shared" si="0"/>
        <v>0</v>
      </c>
      <c r="K9" s="3492">
        <v>44257</v>
      </c>
      <c r="L9" s="3499">
        <v>44323</v>
      </c>
      <c r="M9" s="3494" t="s">
        <v>3742</v>
      </c>
      <c r="N9" s="3507" t="s">
        <v>3743</v>
      </c>
      <c r="O9" s="3508" t="s">
        <v>3744</v>
      </c>
      <c r="P9" s="3492">
        <v>44682</v>
      </c>
      <c r="Q9" s="3487" t="s">
        <v>3745</v>
      </c>
      <c r="R9" s="3484"/>
      <c r="S9" s="3484" t="s">
        <v>3746</v>
      </c>
      <c r="T9" s="3482" t="s">
        <v>3747</v>
      </c>
      <c r="U9" s="3482" t="s">
        <v>3748</v>
      </c>
    </row>
    <row r="10" spans="1:21" s="3509" customFormat="1" ht="30" hidden="1" customHeight="1">
      <c r="A10" s="3484">
        <v>7</v>
      </c>
      <c r="B10" s="3510" t="s">
        <v>3749</v>
      </c>
      <c r="C10" s="3510" t="s">
        <v>3750</v>
      </c>
      <c r="D10" s="3504">
        <v>338</v>
      </c>
      <c r="E10" s="3490">
        <v>5.5</v>
      </c>
      <c r="F10" s="3505">
        <v>3</v>
      </c>
      <c r="G10" s="3511">
        <v>678535</v>
      </c>
      <c r="H10" s="3511">
        <v>370110</v>
      </c>
      <c r="I10" s="3506">
        <f t="shared" si="1"/>
        <v>1048645</v>
      </c>
      <c r="J10" s="3491">
        <f t="shared" si="0"/>
        <v>8.5</v>
      </c>
      <c r="K10" s="3485">
        <v>44266</v>
      </c>
      <c r="L10" s="3499">
        <v>44287</v>
      </c>
      <c r="M10" s="3494" t="s">
        <v>3719</v>
      </c>
      <c r="N10" s="3507" t="s">
        <v>3751</v>
      </c>
      <c r="O10" s="3508" t="s">
        <v>3752</v>
      </c>
      <c r="P10" s="3485">
        <v>44440</v>
      </c>
      <c r="Q10" s="3496" t="s">
        <v>3753</v>
      </c>
      <c r="R10" s="3512">
        <v>2.5000000000000001E-2</v>
      </c>
      <c r="S10" s="3484" t="s">
        <v>3746</v>
      </c>
      <c r="T10" s="3482" t="s">
        <v>3747</v>
      </c>
      <c r="U10" s="3482" t="s">
        <v>3748</v>
      </c>
    </row>
    <row r="11" spans="1:21" s="3509" customFormat="1" ht="30" hidden="1" customHeight="1">
      <c r="A11" s="3484">
        <v>8</v>
      </c>
      <c r="B11" s="3513" t="s">
        <v>3754</v>
      </c>
      <c r="C11" s="3510" t="s">
        <v>3755</v>
      </c>
      <c r="D11" s="3514">
        <v>827</v>
      </c>
      <c r="E11" s="3490"/>
      <c r="F11" s="3511">
        <v>4.5</v>
      </c>
      <c r="G11" s="3511"/>
      <c r="H11" s="3511">
        <v>1358347.5</v>
      </c>
      <c r="I11" s="3506">
        <f t="shared" si="1"/>
        <v>1358347.5</v>
      </c>
      <c r="J11" s="3491">
        <f t="shared" si="0"/>
        <v>4.5</v>
      </c>
      <c r="K11" s="3515">
        <v>44282</v>
      </c>
      <c r="L11" s="3516">
        <v>44323</v>
      </c>
      <c r="M11" s="3517" t="s">
        <v>3756</v>
      </c>
      <c r="N11" s="3507" t="s">
        <v>3751</v>
      </c>
      <c r="O11" s="3508" t="s">
        <v>3757</v>
      </c>
      <c r="P11" s="3516">
        <v>44501</v>
      </c>
      <c r="Q11" s="3496" t="s">
        <v>3753</v>
      </c>
      <c r="R11" s="3512">
        <v>2.5000000000000001E-2</v>
      </c>
      <c r="S11" s="3484" t="s">
        <v>3746</v>
      </c>
      <c r="T11" s="3482" t="s">
        <v>3748</v>
      </c>
      <c r="U11" s="3482" t="s">
        <v>3748</v>
      </c>
    </row>
    <row r="12" spans="1:21" s="3509" customFormat="1" ht="30" hidden="1" customHeight="1">
      <c r="A12" s="3484">
        <v>9</v>
      </c>
      <c r="B12" s="3518" t="s">
        <v>3758</v>
      </c>
      <c r="C12" s="3510" t="s">
        <v>3759</v>
      </c>
      <c r="D12" s="3514">
        <v>133</v>
      </c>
      <c r="E12" s="3490"/>
      <c r="F12" s="3511">
        <v>4.5</v>
      </c>
      <c r="G12" s="3511"/>
      <c r="H12" s="3511">
        <v>218452.5</v>
      </c>
      <c r="I12" s="3506">
        <f t="shared" si="1"/>
        <v>218452.5</v>
      </c>
      <c r="J12" s="3491">
        <f t="shared" si="0"/>
        <v>4.5</v>
      </c>
      <c r="K12" s="3515">
        <v>44282</v>
      </c>
      <c r="L12" s="3516">
        <v>44313</v>
      </c>
      <c r="M12" s="3517" t="s">
        <v>3756</v>
      </c>
      <c r="N12" s="3507" t="s">
        <v>3760</v>
      </c>
      <c r="O12" s="3508" t="s">
        <v>3744</v>
      </c>
      <c r="P12" s="3516">
        <v>44470</v>
      </c>
      <c r="Q12" s="3487" t="s">
        <v>3761</v>
      </c>
      <c r="R12" s="3484" t="s">
        <v>3762</v>
      </c>
      <c r="S12" s="3484" t="s">
        <v>3746</v>
      </c>
      <c r="T12" s="3482" t="s">
        <v>3748</v>
      </c>
      <c r="U12" s="3482" t="s">
        <v>3748</v>
      </c>
    </row>
    <row r="13" spans="1:21" s="3509" customFormat="1" ht="30" hidden="1" customHeight="1">
      <c r="A13" s="3484">
        <v>10</v>
      </c>
      <c r="B13" s="3510" t="s">
        <v>3763</v>
      </c>
      <c r="C13" s="3510" t="s">
        <v>3764</v>
      </c>
      <c r="D13" s="3514">
        <v>530</v>
      </c>
      <c r="E13" s="3490"/>
      <c r="F13" s="3511">
        <v>4.34</v>
      </c>
      <c r="G13" s="3511"/>
      <c r="H13" s="3511">
        <v>840000</v>
      </c>
      <c r="I13" s="3506">
        <f t="shared" si="1"/>
        <v>840000</v>
      </c>
      <c r="J13" s="3491">
        <f t="shared" si="0"/>
        <v>4.34</v>
      </c>
      <c r="K13" s="3515">
        <v>44281</v>
      </c>
      <c r="L13" s="3516">
        <v>44303</v>
      </c>
      <c r="M13" s="3517" t="s">
        <v>3756</v>
      </c>
      <c r="N13" s="3495" t="s">
        <v>3739</v>
      </c>
      <c r="O13" s="3508" t="s">
        <v>3744</v>
      </c>
      <c r="P13" s="3516">
        <v>44470</v>
      </c>
      <c r="Q13" s="3487" t="s">
        <v>3761</v>
      </c>
      <c r="R13" s="3484" t="s">
        <v>3762</v>
      </c>
      <c r="S13" s="3484" t="s">
        <v>3746</v>
      </c>
      <c r="T13" s="3482" t="s">
        <v>3748</v>
      </c>
      <c r="U13" s="3482" t="s">
        <v>3748</v>
      </c>
    </row>
    <row r="14" spans="1:21" s="3509" customFormat="1" ht="30" hidden="1" customHeight="1">
      <c r="A14" s="3484">
        <v>11</v>
      </c>
      <c r="B14" s="3510" t="s">
        <v>3765</v>
      </c>
      <c r="C14" s="3510" t="s">
        <v>3766</v>
      </c>
      <c r="D14" s="3514">
        <v>509</v>
      </c>
      <c r="E14" s="3490"/>
      <c r="F14" s="3511">
        <v>4.3</v>
      </c>
      <c r="G14" s="3511"/>
      <c r="H14" s="3511">
        <v>798875.5</v>
      </c>
      <c r="I14" s="3506">
        <f t="shared" si="1"/>
        <v>798875.5</v>
      </c>
      <c r="J14" s="3491">
        <f t="shared" si="0"/>
        <v>4.3</v>
      </c>
      <c r="K14" s="3515">
        <v>44281</v>
      </c>
      <c r="L14" s="3516">
        <v>44315</v>
      </c>
      <c r="M14" s="3517" t="s">
        <v>3756</v>
      </c>
      <c r="N14" s="3495" t="s">
        <v>3739</v>
      </c>
      <c r="O14" s="3508" t="s">
        <v>3752</v>
      </c>
      <c r="P14" s="3519">
        <v>44470</v>
      </c>
      <c r="Q14" s="3496" t="s">
        <v>3767</v>
      </c>
      <c r="R14" s="3512">
        <v>1.6E-2</v>
      </c>
      <c r="S14" s="3484" t="s">
        <v>3746</v>
      </c>
      <c r="T14" s="3482" t="s">
        <v>3748</v>
      </c>
      <c r="U14" s="3482" t="s">
        <v>3748</v>
      </c>
    </row>
    <row r="15" spans="1:21" s="3509" customFormat="1" ht="30" hidden="1" customHeight="1">
      <c r="A15" s="3484">
        <v>12</v>
      </c>
      <c r="B15" s="3513" t="s">
        <v>3768</v>
      </c>
      <c r="C15" s="3520" t="s">
        <v>3769</v>
      </c>
      <c r="D15" s="3521">
        <f>255-9</f>
        <v>246</v>
      </c>
      <c r="E15" s="3490"/>
      <c r="F15" s="3511">
        <v>5</v>
      </c>
      <c r="G15" s="3511"/>
      <c r="H15" s="3511">
        <v>448950</v>
      </c>
      <c r="I15" s="3506">
        <f t="shared" si="1"/>
        <v>448950</v>
      </c>
      <c r="J15" s="3491">
        <f t="shared" si="0"/>
        <v>5</v>
      </c>
      <c r="K15" s="3515">
        <v>44292</v>
      </c>
      <c r="L15" s="3516">
        <v>44394</v>
      </c>
      <c r="M15" s="3517" t="s">
        <v>3770</v>
      </c>
      <c r="N15" s="3522" t="s">
        <v>3771</v>
      </c>
      <c r="O15" s="3508" t="s">
        <v>3772</v>
      </c>
      <c r="P15" s="3516">
        <v>44378</v>
      </c>
      <c r="Q15" s="3496" t="s">
        <v>3735</v>
      </c>
      <c r="R15" s="3512">
        <v>0.05</v>
      </c>
      <c r="S15" s="3484" t="s">
        <v>3773</v>
      </c>
      <c r="T15" s="3482" t="s">
        <v>3774</v>
      </c>
      <c r="U15" s="3482" t="s">
        <v>3774</v>
      </c>
    </row>
    <row r="16" spans="1:21" s="3509" customFormat="1" ht="30" hidden="1" customHeight="1">
      <c r="A16" s="3484">
        <v>13</v>
      </c>
      <c r="B16" s="3513" t="s">
        <v>3775</v>
      </c>
      <c r="C16" s="3510" t="s">
        <v>3776</v>
      </c>
      <c r="D16" s="3504">
        <v>368</v>
      </c>
      <c r="E16" s="3490"/>
      <c r="F16" s="3505">
        <v>5</v>
      </c>
      <c r="G16" s="3511"/>
      <c r="H16" s="3511">
        <v>671600</v>
      </c>
      <c r="I16" s="3506">
        <f t="shared" si="1"/>
        <v>671600</v>
      </c>
      <c r="J16" s="3491">
        <f t="shared" si="0"/>
        <v>5</v>
      </c>
      <c r="K16" s="3485">
        <v>44309</v>
      </c>
      <c r="L16" s="3499">
        <v>44348</v>
      </c>
      <c r="M16" s="3494" t="s">
        <v>3719</v>
      </c>
      <c r="N16" s="3507" t="s">
        <v>3777</v>
      </c>
      <c r="O16" s="3508" t="s">
        <v>3772</v>
      </c>
      <c r="P16" s="3485">
        <v>44470</v>
      </c>
      <c r="Q16" s="3496" t="s">
        <v>3778</v>
      </c>
      <c r="R16" s="3497">
        <v>1.4999999999999999E-2</v>
      </c>
      <c r="S16" s="3484" t="s">
        <v>3773</v>
      </c>
      <c r="T16" s="3482" t="s">
        <v>3774</v>
      </c>
      <c r="U16" s="3482" t="s">
        <v>3774</v>
      </c>
    </row>
    <row r="17" spans="1:21" s="3509" customFormat="1" ht="30" hidden="1" customHeight="1">
      <c r="A17" s="3484">
        <v>14</v>
      </c>
      <c r="B17" s="3488" t="s">
        <v>3779</v>
      </c>
      <c r="C17" s="3496" t="s">
        <v>3780</v>
      </c>
      <c r="D17" s="3504">
        <v>214</v>
      </c>
      <c r="E17" s="3490">
        <v>12.56</v>
      </c>
      <c r="F17" s="3505">
        <v>3</v>
      </c>
      <c r="G17" s="3490">
        <v>738395</v>
      </c>
      <c r="H17" s="3490">
        <v>130305</v>
      </c>
      <c r="I17" s="3506">
        <f t="shared" si="1"/>
        <v>868700</v>
      </c>
      <c r="J17" s="3491">
        <f t="shared" si="0"/>
        <v>15.56</v>
      </c>
      <c r="K17" s="3485">
        <v>44315</v>
      </c>
      <c r="L17" s="3499">
        <v>44331</v>
      </c>
      <c r="M17" s="3494" t="s">
        <v>3719</v>
      </c>
      <c r="N17" s="3507" t="s">
        <v>3781</v>
      </c>
      <c r="O17" s="3508" t="s">
        <v>3782</v>
      </c>
      <c r="P17" s="3523">
        <v>44470</v>
      </c>
      <c r="Q17" s="3496" t="s">
        <v>3783</v>
      </c>
      <c r="R17" s="3497">
        <v>2.5000000000000001E-2</v>
      </c>
      <c r="S17" s="3484" t="s">
        <v>3773</v>
      </c>
      <c r="T17" s="3482" t="s">
        <v>3724</v>
      </c>
      <c r="U17" s="3482" t="s">
        <v>3774</v>
      </c>
    </row>
    <row r="18" spans="1:21" s="3509" customFormat="1" ht="30" hidden="1" customHeight="1">
      <c r="A18" s="3484">
        <v>15</v>
      </c>
      <c r="B18" s="3488" t="s">
        <v>3779</v>
      </c>
      <c r="C18" s="3496" t="s">
        <v>3780</v>
      </c>
      <c r="D18" s="3504">
        <v>98</v>
      </c>
      <c r="E18" s="3490">
        <v>10.98</v>
      </c>
      <c r="F18" s="3505">
        <v>3</v>
      </c>
      <c r="G18" s="3490">
        <v>392740</v>
      </c>
      <c r="H18" s="3490">
        <v>107310</v>
      </c>
      <c r="I18" s="3506">
        <f t="shared" si="1"/>
        <v>500050</v>
      </c>
      <c r="J18" s="3491">
        <f t="shared" si="0"/>
        <v>13.98</v>
      </c>
      <c r="K18" s="3485">
        <v>44315</v>
      </c>
      <c r="L18" s="3499">
        <v>44331</v>
      </c>
      <c r="M18" s="3494" t="s">
        <v>3719</v>
      </c>
      <c r="N18" s="3507" t="s">
        <v>3781</v>
      </c>
      <c r="O18" s="3508" t="s">
        <v>3784</v>
      </c>
      <c r="P18" s="3523">
        <v>44470</v>
      </c>
      <c r="Q18" s="3496" t="s">
        <v>3783</v>
      </c>
      <c r="R18" s="3497">
        <v>2.5000000000000001E-2</v>
      </c>
      <c r="S18" s="3484" t="s">
        <v>3773</v>
      </c>
      <c r="T18" s="3482" t="s">
        <v>3724</v>
      </c>
      <c r="U18" s="3482" t="s">
        <v>3774</v>
      </c>
    </row>
    <row r="19" spans="1:21" s="3509" customFormat="1" ht="30" hidden="1" customHeight="1">
      <c r="A19" s="3484">
        <v>16</v>
      </c>
      <c r="B19" s="3487" t="s">
        <v>3785</v>
      </c>
      <c r="C19" s="3496"/>
      <c r="D19" s="3504">
        <v>335</v>
      </c>
      <c r="E19" s="3490">
        <v>7</v>
      </c>
      <c r="F19" s="3505">
        <v>3</v>
      </c>
      <c r="G19" s="3490">
        <v>855925</v>
      </c>
      <c r="H19" s="3490">
        <v>366825</v>
      </c>
      <c r="I19" s="3506">
        <f t="shared" si="1"/>
        <v>1222750</v>
      </c>
      <c r="J19" s="3491">
        <f t="shared" si="0"/>
        <v>10</v>
      </c>
      <c r="K19" s="3485">
        <v>44323</v>
      </c>
      <c r="L19" s="3499">
        <v>44378</v>
      </c>
      <c r="M19" s="3494" t="s">
        <v>3742</v>
      </c>
      <c r="N19" s="3507" t="s">
        <v>3777</v>
      </c>
      <c r="O19" s="3508" t="s">
        <v>3786</v>
      </c>
      <c r="P19" s="3492">
        <v>44470</v>
      </c>
      <c r="Q19" s="3496" t="s">
        <v>3787</v>
      </c>
      <c r="R19" s="3497">
        <v>0.05</v>
      </c>
      <c r="S19" s="3484" t="s">
        <v>3773</v>
      </c>
      <c r="T19" s="3482" t="s">
        <v>3724</v>
      </c>
      <c r="U19" s="3482" t="s">
        <v>3774</v>
      </c>
    </row>
    <row r="20" spans="1:21" s="3540" customFormat="1" ht="30" customHeight="1">
      <c r="A20" s="3524">
        <v>17</v>
      </c>
      <c r="B20" s="3525" t="s">
        <v>3788</v>
      </c>
      <c r="C20" s="3526" t="s">
        <v>3789</v>
      </c>
      <c r="D20" s="3527">
        <v>3060</v>
      </c>
      <c r="E20" s="3528">
        <v>4.5</v>
      </c>
      <c r="F20" s="3529">
        <v>0</v>
      </c>
      <c r="G20" s="3528">
        <v>4685034.1500000004</v>
      </c>
      <c r="H20" s="3528">
        <v>0</v>
      </c>
      <c r="I20" s="3530">
        <f t="shared" si="1"/>
        <v>4685034.1500000004</v>
      </c>
      <c r="J20" s="3531">
        <f t="shared" si="0"/>
        <v>4.5</v>
      </c>
      <c r="K20" s="3532">
        <v>44324</v>
      </c>
      <c r="L20" s="3533">
        <v>44324</v>
      </c>
      <c r="M20" s="3534" t="s">
        <v>3719</v>
      </c>
      <c r="N20" s="3535" t="s">
        <v>3781</v>
      </c>
      <c r="O20" s="3536" t="s">
        <v>3790</v>
      </c>
      <c r="P20" s="3537">
        <v>44562</v>
      </c>
      <c r="Q20" s="3526" t="s">
        <v>3783</v>
      </c>
      <c r="R20" s="3538">
        <v>2.5000000000000001E-2</v>
      </c>
      <c r="S20" s="3524" t="s">
        <v>3773</v>
      </c>
      <c r="T20" s="3539" t="s">
        <v>3724</v>
      </c>
      <c r="U20" s="3539" t="s">
        <v>3724</v>
      </c>
    </row>
    <row r="21" spans="1:21" s="3509" customFormat="1" ht="30" hidden="1" customHeight="1">
      <c r="A21" s="3484">
        <v>18</v>
      </c>
      <c r="B21" s="3487" t="s">
        <v>3791</v>
      </c>
      <c r="C21" s="3496" t="s">
        <v>3792</v>
      </c>
      <c r="D21" s="3504">
        <v>413</v>
      </c>
      <c r="E21" s="3490">
        <v>3</v>
      </c>
      <c r="F21" s="3505">
        <v>3</v>
      </c>
      <c r="G21" s="3490">
        <v>452235</v>
      </c>
      <c r="H21" s="3490">
        <v>452235</v>
      </c>
      <c r="I21" s="3506">
        <f t="shared" si="1"/>
        <v>904470</v>
      </c>
      <c r="J21" s="3491">
        <f t="shared" si="0"/>
        <v>6</v>
      </c>
      <c r="K21" s="3485">
        <v>44326</v>
      </c>
      <c r="L21" s="3499">
        <v>44326</v>
      </c>
      <c r="M21" s="3494" t="s">
        <v>3793</v>
      </c>
      <c r="N21" s="3507" t="s">
        <v>3794</v>
      </c>
      <c r="O21" s="3508" t="s">
        <v>3795</v>
      </c>
      <c r="P21" s="3492">
        <v>44470</v>
      </c>
      <c r="Q21" s="3496" t="s">
        <v>3796</v>
      </c>
      <c r="R21" s="3497">
        <v>5.2999999999999999E-2</v>
      </c>
      <c r="S21" s="3484" t="s">
        <v>3773</v>
      </c>
      <c r="T21" s="3482" t="s">
        <v>3724</v>
      </c>
      <c r="U21" s="3482" t="s">
        <v>3774</v>
      </c>
    </row>
    <row r="22" spans="1:21" s="3509" customFormat="1" ht="30" hidden="1" customHeight="1">
      <c r="A22" s="3484">
        <v>19</v>
      </c>
      <c r="B22" s="3487" t="s">
        <v>3797</v>
      </c>
      <c r="C22" s="3496" t="s">
        <v>3792</v>
      </c>
      <c r="D22" s="3504"/>
      <c r="E22" s="3490"/>
      <c r="F22" s="3505"/>
      <c r="G22" s="3490">
        <v>30000</v>
      </c>
      <c r="H22" s="3490"/>
      <c r="I22" s="3506">
        <f t="shared" si="1"/>
        <v>30000</v>
      </c>
      <c r="J22" s="3491">
        <f t="shared" si="0"/>
        <v>0</v>
      </c>
      <c r="K22" s="3485">
        <v>44326</v>
      </c>
      <c r="L22" s="3499">
        <v>44326</v>
      </c>
      <c r="M22" s="3494"/>
      <c r="N22" s="3507" t="s">
        <v>3794</v>
      </c>
      <c r="O22" s="3508" t="s">
        <v>3790</v>
      </c>
      <c r="P22" s="3492"/>
      <c r="Q22" s="3487" t="s">
        <v>3726</v>
      </c>
      <c r="R22" s="3484" t="s">
        <v>3798</v>
      </c>
      <c r="S22" s="3484" t="s">
        <v>3773</v>
      </c>
      <c r="T22" s="3482" t="s">
        <v>3724</v>
      </c>
      <c r="U22" s="3482" t="s">
        <v>3774</v>
      </c>
    </row>
    <row r="23" spans="1:21" s="3509" customFormat="1" ht="30" hidden="1" customHeight="1">
      <c r="A23" s="3484">
        <v>20</v>
      </c>
      <c r="B23" s="3513" t="s">
        <v>3799</v>
      </c>
      <c r="C23" s="3496" t="s">
        <v>3800</v>
      </c>
      <c r="D23" s="3504">
        <v>718</v>
      </c>
      <c r="E23" s="3490">
        <v>4</v>
      </c>
      <c r="F23" s="3505">
        <v>3</v>
      </c>
      <c r="G23" s="3490">
        <v>1048280</v>
      </c>
      <c r="H23" s="3490">
        <v>786210</v>
      </c>
      <c r="I23" s="3506">
        <f t="shared" si="1"/>
        <v>1834490</v>
      </c>
      <c r="J23" s="3491">
        <f t="shared" si="0"/>
        <v>7</v>
      </c>
      <c r="K23" s="3485">
        <v>44326</v>
      </c>
      <c r="L23" s="3499">
        <v>44326</v>
      </c>
      <c r="M23" s="3494" t="s">
        <v>3793</v>
      </c>
      <c r="N23" s="3507" t="s">
        <v>3781</v>
      </c>
      <c r="O23" s="3508" t="s">
        <v>3801</v>
      </c>
      <c r="P23" s="3492">
        <v>44531</v>
      </c>
      <c r="Q23" s="3496" t="s">
        <v>3783</v>
      </c>
      <c r="R23" s="3541">
        <v>2.5000000000000001E-2</v>
      </c>
      <c r="S23" s="3484" t="s">
        <v>3773</v>
      </c>
      <c r="T23" s="3482" t="s">
        <v>3724</v>
      </c>
      <c r="U23" s="3482" t="s">
        <v>3774</v>
      </c>
    </row>
    <row r="24" spans="1:21" s="3509" customFormat="1" ht="30" hidden="1" customHeight="1">
      <c r="A24" s="3484">
        <v>21</v>
      </c>
      <c r="B24" s="3487" t="s">
        <v>3802</v>
      </c>
      <c r="C24" s="3496" t="s">
        <v>3803</v>
      </c>
      <c r="D24" s="3504">
        <v>377</v>
      </c>
      <c r="E24" s="3490">
        <v>5.5</v>
      </c>
      <c r="F24" s="3505">
        <v>3</v>
      </c>
      <c r="G24" s="3490">
        <v>756827.5</v>
      </c>
      <c r="H24" s="3490">
        <v>412815</v>
      </c>
      <c r="I24" s="3506">
        <f t="shared" si="1"/>
        <v>1169642.5</v>
      </c>
      <c r="J24" s="3491">
        <f t="shared" si="0"/>
        <v>8.5</v>
      </c>
      <c r="K24" s="3485">
        <v>44337</v>
      </c>
      <c r="L24" s="3499">
        <v>44348</v>
      </c>
      <c r="M24" s="3494" t="s">
        <v>3793</v>
      </c>
      <c r="N24" s="3507" t="s">
        <v>3794</v>
      </c>
      <c r="O24" s="3508" t="s">
        <v>3801</v>
      </c>
      <c r="P24" s="3492">
        <v>44531</v>
      </c>
      <c r="Q24" s="3496" t="s">
        <v>3783</v>
      </c>
      <c r="R24" s="3512">
        <v>2.5000000000000001E-2</v>
      </c>
      <c r="S24" s="3484" t="s">
        <v>3773</v>
      </c>
      <c r="T24" s="3482" t="s">
        <v>3724</v>
      </c>
      <c r="U24" s="3482" t="s">
        <v>3724</v>
      </c>
    </row>
    <row r="25" spans="1:21" s="3509" customFormat="1" ht="30" hidden="1" customHeight="1">
      <c r="A25" s="3484">
        <v>22</v>
      </c>
      <c r="B25" s="3487" t="s">
        <v>3804</v>
      </c>
      <c r="C25" s="3496" t="s">
        <v>3805</v>
      </c>
      <c r="D25" s="3504">
        <v>175</v>
      </c>
      <c r="E25" s="3490">
        <v>8</v>
      </c>
      <c r="F25" s="3505">
        <v>2</v>
      </c>
      <c r="G25" s="3490">
        <v>511000</v>
      </c>
      <c r="H25" s="3490">
        <v>127749.96</v>
      </c>
      <c r="I25" s="3506">
        <f t="shared" si="1"/>
        <v>638749.96</v>
      </c>
      <c r="J25" s="3491">
        <f t="shared" si="0"/>
        <v>10</v>
      </c>
      <c r="K25" s="3485">
        <v>44344</v>
      </c>
      <c r="L25" s="3499">
        <v>44378</v>
      </c>
      <c r="M25" s="3494" t="s">
        <v>3793</v>
      </c>
      <c r="N25" s="3507" t="s">
        <v>3777</v>
      </c>
      <c r="O25" s="3508" t="s">
        <v>3744</v>
      </c>
      <c r="P25" s="3492">
        <v>44470</v>
      </c>
      <c r="Q25" s="3496" t="s">
        <v>3787</v>
      </c>
      <c r="R25" s="3497">
        <v>0.05</v>
      </c>
      <c r="S25" s="3484" t="s">
        <v>3773</v>
      </c>
      <c r="T25" s="3482" t="s">
        <v>3724</v>
      </c>
      <c r="U25" s="3482" t="s">
        <v>3774</v>
      </c>
    </row>
    <row r="26" spans="1:21" s="3509" customFormat="1" ht="30" hidden="1" customHeight="1">
      <c r="A26" s="3484">
        <v>23</v>
      </c>
      <c r="B26" s="3513" t="s">
        <v>3806</v>
      </c>
      <c r="C26" s="3510" t="s">
        <v>3807</v>
      </c>
      <c r="D26" s="3504">
        <v>486</v>
      </c>
      <c r="E26" s="3490"/>
      <c r="F26" s="3505">
        <v>5</v>
      </c>
      <c r="G26" s="3490"/>
      <c r="H26" s="3490">
        <v>886950</v>
      </c>
      <c r="I26" s="3506">
        <f t="shared" si="1"/>
        <v>886950</v>
      </c>
      <c r="J26" s="3491">
        <f t="shared" si="0"/>
        <v>5</v>
      </c>
      <c r="K26" s="3515">
        <v>44356</v>
      </c>
      <c r="L26" s="3499">
        <v>44378</v>
      </c>
      <c r="M26" s="3494" t="s">
        <v>3793</v>
      </c>
      <c r="N26" s="3507" t="s">
        <v>3808</v>
      </c>
      <c r="O26" s="3508" t="s">
        <v>3786</v>
      </c>
      <c r="P26" s="3492">
        <v>44470</v>
      </c>
      <c r="Q26" s="3487" t="s">
        <v>3809</v>
      </c>
      <c r="R26" s="3512">
        <v>0.1</v>
      </c>
      <c r="S26" s="3484" t="s">
        <v>3773</v>
      </c>
      <c r="T26" s="3482" t="s">
        <v>3774</v>
      </c>
      <c r="U26" s="3482" t="s">
        <v>3774</v>
      </c>
    </row>
    <row r="27" spans="1:21" s="3509" customFormat="1" ht="30" hidden="1" customHeight="1">
      <c r="A27" s="3484">
        <v>24</v>
      </c>
      <c r="B27" s="3513" t="s">
        <v>3810</v>
      </c>
      <c r="C27" s="3542" t="s">
        <v>3811</v>
      </c>
      <c r="D27" s="3504">
        <v>97</v>
      </c>
      <c r="E27" s="3490">
        <v>12</v>
      </c>
      <c r="F27" s="3505">
        <v>3</v>
      </c>
      <c r="G27" s="3490">
        <v>424860</v>
      </c>
      <c r="H27" s="3490">
        <v>106215</v>
      </c>
      <c r="I27" s="3506">
        <f t="shared" si="1"/>
        <v>531075</v>
      </c>
      <c r="J27" s="3491">
        <f t="shared" si="0"/>
        <v>15</v>
      </c>
      <c r="K27" s="3485">
        <v>44375</v>
      </c>
      <c r="L27" s="3499">
        <v>44409</v>
      </c>
      <c r="M27" s="3494" t="s">
        <v>3742</v>
      </c>
      <c r="N27" s="3507" t="s">
        <v>3808</v>
      </c>
      <c r="O27" s="3508" t="s">
        <v>3795</v>
      </c>
      <c r="P27" s="3492">
        <v>44531</v>
      </c>
      <c r="Q27" s="3496" t="s">
        <v>3812</v>
      </c>
      <c r="R27" s="3512">
        <v>0.03</v>
      </c>
      <c r="S27" s="3484" t="s">
        <v>3773</v>
      </c>
      <c r="T27" s="3482" t="s">
        <v>3724</v>
      </c>
      <c r="U27" s="3482" t="s">
        <v>3774</v>
      </c>
    </row>
    <row r="28" spans="1:21" s="3509" customFormat="1" ht="30" hidden="1" customHeight="1">
      <c r="A28" s="3484">
        <v>25</v>
      </c>
      <c r="B28" s="3487" t="s">
        <v>3813</v>
      </c>
      <c r="C28" s="3496" t="s">
        <v>3814</v>
      </c>
      <c r="D28" s="3504">
        <v>1538</v>
      </c>
      <c r="E28" s="3490">
        <v>2.6</v>
      </c>
      <c r="F28" s="3505">
        <v>2</v>
      </c>
      <c r="G28" s="3490">
        <v>1459562</v>
      </c>
      <c r="H28" s="3490">
        <v>1122740</v>
      </c>
      <c r="I28" s="3506">
        <f t="shared" si="1"/>
        <v>2582302</v>
      </c>
      <c r="J28" s="3491">
        <f t="shared" si="0"/>
        <v>4.5999999999999996</v>
      </c>
      <c r="K28" s="3485">
        <v>44375</v>
      </c>
      <c r="L28" s="3499">
        <v>44378</v>
      </c>
      <c r="M28" s="3494" t="s">
        <v>3793</v>
      </c>
      <c r="N28" s="3507" t="s">
        <v>3781</v>
      </c>
      <c r="O28" s="3508" t="s">
        <v>3744</v>
      </c>
      <c r="P28" s="3492"/>
      <c r="Q28" s="3496" t="s">
        <v>3783</v>
      </c>
      <c r="R28" s="3512">
        <v>0.03</v>
      </c>
      <c r="S28" s="3484" t="s">
        <v>3773</v>
      </c>
      <c r="T28" s="3482" t="s">
        <v>3724</v>
      </c>
      <c r="U28" s="3482" t="s">
        <v>3724</v>
      </c>
    </row>
    <row r="29" spans="1:21" s="3509" customFormat="1" ht="30" hidden="1" customHeight="1">
      <c r="A29" s="3484">
        <v>26</v>
      </c>
      <c r="B29" s="3487" t="s">
        <v>3815</v>
      </c>
      <c r="C29" s="3496" t="s">
        <v>3816</v>
      </c>
      <c r="D29" s="3504">
        <v>106</v>
      </c>
      <c r="E29" s="3490">
        <v>12</v>
      </c>
      <c r="F29" s="3505">
        <v>3</v>
      </c>
      <c r="G29" s="3490">
        <v>464280</v>
      </c>
      <c r="H29" s="3490">
        <v>116070</v>
      </c>
      <c r="I29" s="3506">
        <f t="shared" si="1"/>
        <v>580350</v>
      </c>
      <c r="J29" s="3491">
        <f t="shared" si="0"/>
        <v>15</v>
      </c>
      <c r="K29" s="3485">
        <v>44380</v>
      </c>
      <c r="L29" s="3499">
        <v>44409</v>
      </c>
      <c r="M29" s="3494" t="s">
        <v>3793</v>
      </c>
      <c r="N29" s="3507" t="s">
        <v>3808</v>
      </c>
      <c r="O29" s="3508" t="s">
        <v>3744</v>
      </c>
      <c r="P29" s="3492">
        <v>44562</v>
      </c>
      <c r="Q29" s="3496" t="s">
        <v>3817</v>
      </c>
      <c r="R29" s="3512">
        <v>2.5000000000000001E-2</v>
      </c>
      <c r="S29" s="3484" t="s">
        <v>3773</v>
      </c>
      <c r="T29" s="3482" t="s">
        <v>3724</v>
      </c>
      <c r="U29" s="3482" t="s">
        <v>3724</v>
      </c>
    </row>
    <row r="30" spans="1:21" s="3509" customFormat="1" ht="30" hidden="1" customHeight="1">
      <c r="A30" s="3484">
        <v>27</v>
      </c>
      <c r="B30" s="3487" t="s">
        <v>3818</v>
      </c>
      <c r="C30" s="3496" t="s">
        <v>3819</v>
      </c>
      <c r="D30" s="3504">
        <v>17</v>
      </c>
      <c r="E30" s="3490">
        <v>12</v>
      </c>
      <c r="F30" s="3505">
        <v>3</v>
      </c>
      <c r="G30" s="3490">
        <v>74460</v>
      </c>
      <c r="H30" s="3490">
        <v>18615</v>
      </c>
      <c r="I30" s="3506">
        <f t="shared" si="1"/>
        <v>93075</v>
      </c>
      <c r="J30" s="3491">
        <f t="shared" si="0"/>
        <v>15</v>
      </c>
      <c r="K30" s="3485">
        <v>44382</v>
      </c>
      <c r="L30" s="3499">
        <v>44387</v>
      </c>
      <c r="M30" s="3494" t="s">
        <v>3719</v>
      </c>
      <c r="N30" s="3507" t="s">
        <v>3820</v>
      </c>
      <c r="O30" s="3508" t="s">
        <v>3821</v>
      </c>
      <c r="P30" s="3492">
        <v>44440</v>
      </c>
      <c r="Q30" s="3487" t="s">
        <v>3726</v>
      </c>
      <c r="R30" s="3484" t="s">
        <v>3798</v>
      </c>
      <c r="S30" s="3484" t="s">
        <v>3773</v>
      </c>
      <c r="T30" s="3482" t="s">
        <v>3724</v>
      </c>
      <c r="U30" s="3482" t="s">
        <v>3774</v>
      </c>
    </row>
    <row r="31" spans="1:21" s="3509" customFormat="1" ht="30" hidden="1" customHeight="1">
      <c r="A31" s="3484">
        <v>28</v>
      </c>
      <c r="B31" s="3487" t="s">
        <v>3822</v>
      </c>
      <c r="C31" s="3496" t="s">
        <v>3823</v>
      </c>
      <c r="D31" s="3504">
        <v>178</v>
      </c>
      <c r="E31" s="3490"/>
      <c r="F31" s="3505">
        <v>3</v>
      </c>
      <c r="G31" s="3490"/>
      <c r="H31" s="3490">
        <v>192240</v>
      </c>
      <c r="I31" s="3506">
        <f t="shared" si="1"/>
        <v>192240</v>
      </c>
      <c r="J31" s="3491">
        <f t="shared" si="0"/>
        <v>3</v>
      </c>
      <c r="K31" s="3485">
        <v>44384</v>
      </c>
      <c r="L31" s="3499">
        <v>44501</v>
      </c>
      <c r="M31" s="3494"/>
      <c r="N31" s="3507" t="s">
        <v>3824</v>
      </c>
      <c r="O31" s="3508" t="s">
        <v>3825</v>
      </c>
      <c r="P31" s="3492"/>
      <c r="Q31" s="3543" t="s">
        <v>3826</v>
      </c>
      <c r="R31" s="3497"/>
      <c r="S31" s="3484" t="s">
        <v>3773</v>
      </c>
      <c r="T31" s="3482" t="s">
        <v>3724</v>
      </c>
      <c r="U31" s="3482" t="s">
        <v>3724</v>
      </c>
    </row>
    <row r="32" spans="1:21" s="3509" customFormat="1" ht="30" hidden="1" customHeight="1">
      <c r="A32" s="3484">
        <v>29</v>
      </c>
      <c r="B32" s="3513" t="s">
        <v>3827</v>
      </c>
      <c r="C32" s="3496" t="s">
        <v>3828</v>
      </c>
      <c r="D32" s="3504">
        <v>230</v>
      </c>
      <c r="E32" s="3490">
        <v>5</v>
      </c>
      <c r="F32" s="3505">
        <v>3</v>
      </c>
      <c r="G32" s="3511">
        <v>419750</v>
      </c>
      <c r="H32" s="3511">
        <v>251850</v>
      </c>
      <c r="I32" s="3506">
        <f t="shared" si="1"/>
        <v>671600</v>
      </c>
      <c r="J32" s="3491">
        <f t="shared" si="0"/>
        <v>8</v>
      </c>
      <c r="K32" s="3485">
        <v>44391</v>
      </c>
      <c r="L32" s="3499">
        <v>44409</v>
      </c>
      <c r="M32" s="3494" t="s">
        <v>3793</v>
      </c>
      <c r="N32" s="3507" t="s">
        <v>3829</v>
      </c>
      <c r="O32" s="3508" t="s">
        <v>3801</v>
      </c>
      <c r="P32" s="3492">
        <v>44593</v>
      </c>
      <c r="Q32" s="3496" t="s">
        <v>3787</v>
      </c>
      <c r="R32" s="3497">
        <v>0.05</v>
      </c>
      <c r="S32" s="3484" t="s">
        <v>3773</v>
      </c>
      <c r="T32" s="3482" t="s">
        <v>3724</v>
      </c>
      <c r="U32" s="3482" t="s">
        <v>3774</v>
      </c>
    </row>
    <row r="33" spans="1:21" s="3509" customFormat="1" ht="30" hidden="1" customHeight="1">
      <c r="A33" s="3484">
        <v>30</v>
      </c>
      <c r="B33" s="3513" t="s">
        <v>3827</v>
      </c>
      <c r="C33" s="3496" t="s">
        <v>3830</v>
      </c>
      <c r="D33" s="3504"/>
      <c r="E33" s="3490"/>
      <c r="F33" s="3505"/>
      <c r="G33" s="3490">
        <v>30000</v>
      </c>
      <c r="H33" s="3490">
        <v>0</v>
      </c>
      <c r="I33" s="3506">
        <f t="shared" si="1"/>
        <v>30000</v>
      </c>
      <c r="J33" s="3491">
        <f t="shared" si="0"/>
        <v>0</v>
      </c>
      <c r="K33" s="3485">
        <v>44391</v>
      </c>
      <c r="L33" s="3499">
        <v>44409</v>
      </c>
      <c r="M33" s="3494" t="s">
        <v>3793</v>
      </c>
      <c r="N33" s="3507" t="s">
        <v>3829</v>
      </c>
      <c r="O33" s="3508" t="s">
        <v>3831</v>
      </c>
      <c r="P33" s="3492">
        <v>44783</v>
      </c>
      <c r="Q33" s="3487" t="s">
        <v>3726</v>
      </c>
      <c r="R33" s="3484" t="s">
        <v>3798</v>
      </c>
      <c r="S33" s="3484" t="s">
        <v>3773</v>
      </c>
      <c r="T33" s="3482" t="s">
        <v>3724</v>
      </c>
      <c r="U33" s="3482" t="s">
        <v>3774</v>
      </c>
    </row>
    <row r="34" spans="1:21" s="3509" customFormat="1" ht="30" hidden="1" customHeight="1">
      <c r="A34" s="3484">
        <v>31</v>
      </c>
      <c r="B34" s="3513" t="s">
        <v>3832</v>
      </c>
      <c r="C34" s="3490" t="s">
        <v>3833</v>
      </c>
      <c r="D34" s="3504">
        <v>16</v>
      </c>
      <c r="E34" s="3490">
        <v>17</v>
      </c>
      <c r="F34" s="3505">
        <v>3</v>
      </c>
      <c r="G34" s="3490">
        <v>99280</v>
      </c>
      <c r="H34" s="3490">
        <v>17520</v>
      </c>
      <c r="I34" s="3506">
        <f t="shared" si="1"/>
        <v>116800</v>
      </c>
      <c r="J34" s="3491">
        <f t="shared" si="0"/>
        <v>20</v>
      </c>
      <c r="K34" s="3485">
        <v>44393</v>
      </c>
      <c r="L34" s="3499">
        <v>44440</v>
      </c>
      <c r="M34" s="3494" t="s">
        <v>3793</v>
      </c>
      <c r="N34" s="3507" t="s">
        <v>3820</v>
      </c>
      <c r="O34" s="3508" t="s">
        <v>3793</v>
      </c>
      <c r="P34" s="3492">
        <v>44501</v>
      </c>
      <c r="Q34" s="3487" t="s">
        <v>3726</v>
      </c>
      <c r="R34" s="3484" t="s">
        <v>3798</v>
      </c>
      <c r="S34" s="3484" t="s">
        <v>3773</v>
      </c>
      <c r="T34" s="3482" t="s">
        <v>3724</v>
      </c>
      <c r="U34" s="3482" t="s">
        <v>3774</v>
      </c>
    </row>
    <row r="35" spans="1:21" s="3509" customFormat="1" ht="30" hidden="1" customHeight="1">
      <c r="A35" s="3484">
        <v>32</v>
      </c>
      <c r="B35" s="3513" t="s">
        <v>3832</v>
      </c>
      <c r="C35" s="3490" t="s">
        <v>3834</v>
      </c>
      <c r="D35" s="3504">
        <v>10</v>
      </c>
      <c r="E35" s="3490"/>
      <c r="F35" s="3505">
        <v>5</v>
      </c>
      <c r="G35" s="3490"/>
      <c r="H35" s="3511">
        <v>18250</v>
      </c>
      <c r="I35" s="3506">
        <f t="shared" si="1"/>
        <v>18250</v>
      </c>
      <c r="J35" s="3491">
        <f t="shared" si="0"/>
        <v>5</v>
      </c>
      <c r="K35" s="3485">
        <v>44393</v>
      </c>
      <c r="L35" s="3499">
        <v>44440</v>
      </c>
      <c r="M35" s="3494" t="s">
        <v>3793</v>
      </c>
      <c r="N35" s="3507" t="s">
        <v>3820</v>
      </c>
      <c r="O35" s="3508" t="s">
        <v>3793</v>
      </c>
      <c r="P35" s="3492">
        <v>44501</v>
      </c>
      <c r="Q35" s="3487" t="s">
        <v>3726</v>
      </c>
      <c r="R35" s="3484" t="s">
        <v>3798</v>
      </c>
      <c r="S35" s="3484" t="s">
        <v>3773</v>
      </c>
      <c r="T35" s="3482" t="s">
        <v>3774</v>
      </c>
      <c r="U35" s="3482" t="s">
        <v>3774</v>
      </c>
    </row>
    <row r="36" spans="1:21" s="3509" customFormat="1" ht="30" hidden="1" customHeight="1">
      <c r="A36" s="3484">
        <v>33</v>
      </c>
      <c r="B36" s="3513" t="s">
        <v>3835</v>
      </c>
      <c r="C36" s="3490" t="s">
        <v>3836</v>
      </c>
      <c r="D36" s="3504">
        <v>42</v>
      </c>
      <c r="E36" s="3490">
        <v>12</v>
      </c>
      <c r="F36" s="3505">
        <v>3</v>
      </c>
      <c r="G36" s="3490">
        <v>183960</v>
      </c>
      <c r="H36" s="3490">
        <v>45990</v>
      </c>
      <c r="I36" s="3506">
        <f t="shared" si="1"/>
        <v>229950</v>
      </c>
      <c r="J36" s="3491">
        <f t="shared" si="0"/>
        <v>15</v>
      </c>
      <c r="K36" s="3485">
        <v>44400</v>
      </c>
      <c r="L36" s="3499">
        <v>44409</v>
      </c>
      <c r="M36" s="3494" t="s">
        <v>3793</v>
      </c>
      <c r="N36" s="3507" t="s">
        <v>3837</v>
      </c>
      <c r="O36" s="3508" t="s">
        <v>3744</v>
      </c>
      <c r="P36" s="3492">
        <v>44562</v>
      </c>
      <c r="Q36" s="3496" t="s">
        <v>3838</v>
      </c>
      <c r="R36" s="3497">
        <v>0.06</v>
      </c>
      <c r="S36" s="3484" t="s">
        <v>3773</v>
      </c>
      <c r="T36" s="3482" t="s">
        <v>3724</v>
      </c>
      <c r="U36" s="3482" t="s">
        <v>3774</v>
      </c>
    </row>
    <row r="37" spans="1:21" s="3509" customFormat="1" ht="30" hidden="1" customHeight="1">
      <c r="A37" s="3484">
        <v>34</v>
      </c>
      <c r="B37" s="3487" t="s">
        <v>3839</v>
      </c>
      <c r="C37" s="3490" t="s">
        <v>3840</v>
      </c>
      <c r="D37" s="3504">
        <v>114</v>
      </c>
      <c r="E37" s="3490">
        <v>9</v>
      </c>
      <c r="F37" s="3505">
        <v>3</v>
      </c>
      <c r="G37" s="3490">
        <v>374490</v>
      </c>
      <c r="H37" s="3490">
        <v>124830</v>
      </c>
      <c r="I37" s="3506">
        <f t="shared" si="1"/>
        <v>499320</v>
      </c>
      <c r="J37" s="3491">
        <f t="shared" si="0"/>
        <v>12</v>
      </c>
      <c r="K37" s="3485">
        <v>44373</v>
      </c>
      <c r="L37" s="3499">
        <v>44409</v>
      </c>
      <c r="M37" s="3494" t="s">
        <v>3742</v>
      </c>
      <c r="N37" s="3507" t="s">
        <v>3794</v>
      </c>
      <c r="O37" s="3508" t="s">
        <v>3786</v>
      </c>
      <c r="P37" s="3492">
        <v>44593</v>
      </c>
      <c r="Q37" s="3496" t="s">
        <v>3841</v>
      </c>
      <c r="R37" s="3497">
        <v>0.04</v>
      </c>
      <c r="S37" s="3484" t="s">
        <v>3773</v>
      </c>
      <c r="T37" s="3482" t="s">
        <v>3724</v>
      </c>
      <c r="U37" s="3482" t="s">
        <v>3724</v>
      </c>
    </row>
    <row r="38" spans="1:21" s="3509" customFormat="1" ht="30" hidden="1" customHeight="1">
      <c r="A38" s="3484">
        <v>35</v>
      </c>
      <c r="B38" s="3513" t="s">
        <v>3842</v>
      </c>
      <c r="C38" s="3510" t="s">
        <v>3843</v>
      </c>
      <c r="D38" s="3504">
        <v>1436</v>
      </c>
      <c r="E38" s="3490"/>
      <c r="F38" s="3505">
        <v>4.5</v>
      </c>
      <c r="G38" s="3490"/>
      <c r="H38" s="3490">
        <v>2358630</v>
      </c>
      <c r="I38" s="3506">
        <f t="shared" si="1"/>
        <v>2358630</v>
      </c>
      <c r="J38" s="3491">
        <f t="shared" si="0"/>
        <v>4.5</v>
      </c>
      <c r="K38" s="3515">
        <v>44400</v>
      </c>
      <c r="L38" s="3486">
        <v>44440</v>
      </c>
      <c r="M38" s="3494" t="s">
        <v>3793</v>
      </c>
      <c r="N38" s="3507" t="s">
        <v>3781</v>
      </c>
      <c r="O38" s="3508" t="s">
        <v>3844</v>
      </c>
      <c r="P38" s="3516">
        <v>44652</v>
      </c>
      <c r="Q38" s="3544" t="s">
        <v>3845</v>
      </c>
      <c r="R38" s="3497">
        <v>5.5E-2</v>
      </c>
      <c r="S38" s="3484" t="s">
        <v>3773</v>
      </c>
      <c r="T38" s="3482" t="s">
        <v>3774</v>
      </c>
      <c r="U38" s="3482" t="s">
        <v>3774</v>
      </c>
    </row>
    <row r="39" spans="1:21" s="3509" customFormat="1" ht="30" hidden="1" customHeight="1">
      <c r="A39" s="3484">
        <v>36</v>
      </c>
      <c r="B39" s="3513" t="s">
        <v>3846</v>
      </c>
      <c r="C39" s="3490" t="s">
        <v>3847</v>
      </c>
      <c r="D39" s="3504">
        <v>45</v>
      </c>
      <c r="E39" s="3490">
        <v>20</v>
      </c>
      <c r="F39" s="3505">
        <v>3</v>
      </c>
      <c r="G39" s="3490">
        <v>328500</v>
      </c>
      <c r="H39" s="3490">
        <v>49275</v>
      </c>
      <c r="I39" s="3506">
        <f t="shared" si="1"/>
        <v>377775</v>
      </c>
      <c r="J39" s="3491">
        <f t="shared" si="0"/>
        <v>23</v>
      </c>
      <c r="K39" s="3485">
        <v>44407</v>
      </c>
      <c r="L39" s="3499">
        <v>44409</v>
      </c>
      <c r="M39" s="3494" t="s">
        <v>3793</v>
      </c>
      <c r="N39" s="3507" t="s">
        <v>3820</v>
      </c>
      <c r="O39" s="3508" t="s">
        <v>3786</v>
      </c>
      <c r="P39" s="3492">
        <v>44501</v>
      </c>
      <c r="Q39" s="3487" t="s">
        <v>3726</v>
      </c>
      <c r="R39" s="3484" t="s">
        <v>3798</v>
      </c>
      <c r="S39" s="3484" t="s">
        <v>3773</v>
      </c>
      <c r="T39" s="3482" t="s">
        <v>3724</v>
      </c>
      <c r="U39" s="3482" t="s">
        <v>3724</v>
      </c>
    </row>
    <row r="40" spans="1:21" s="3509" customFormat="1" ht="30" hidden="1" customHeight="1">
      <c r="A40" s="3484">
        <v>37</v>
      </c>
      <c r="B40" s="3513" t="s">
        <v>3848</v>
      </c>
      <c r="C40" s="3490" t="s">
        <v>3849</v>
      </c>
      <c r="D40" s="3504">
        <v>49</v>
      </c>
      <c r="E40" s="3490">
        <v>20.48</v>
      </c>
      <c r="F40" s="3505">
        <v>3</v>
      </c>
      <c r="G40" s="3490">
        <v>366345</v>
      </c>
      <c r="H40" s="3490">
        <v>53655</v>
      </c>
      <c r="I40" s="3506">
        <f t="shared" si="1"/>
        <v>420000</v>
      </c>
      <c r="J40" s="3491">
        <f t="shared" si="0"/>
        <v>23.48</v>
      </c>
      <c r="K40" s="3485">
        <v>44414</v>
      </c>
      <c r="L40" s="3499">
        <v>44440</v>
      </c>
      <c r="M40" s="3494" t="s">
        <v>3793</v>
      </c>
      <c r="N40" s="3507" t="s">
        <v>3820</v>
      </c>
      <c r="O40" s="3508" t="s">
        <v>3795</v>
      </c>
      <c r="P40" s="3492">
        <v>44562</v>
      </c>
      <c r="Q40" s="3487" t="s">
        <v>3726</v>
      </c>
      <c r="R40" s="3484" t="s">
        <v>3798</v>
      </c>
      <c r="S40" s="3484" t="s">
        <v>3773</v>
      </c>
      <c r="T40" s="3482" t="s">
        <v>3724</v>
      </c>
      <c r="U40" s="3482" t="s">
        <v>3774</v>
      </c>
    </row>
    <row r="41" spans="1:21" s="3509" customFormat="1" ht="30" hidden="1" customHeight="1">
      <c r="A41" s="3484">
        <v>38</v>
      </c>
      <c r="B41" s="3513" t="s">
        <v>3850</v>
      </c>
      <c r="C41" s="3510" t="s">
        <v>3851</v>
      </c>
      <c r="D41" s="3504">
        <v>192</v>
      </c>
      <c r="E41" s="3490"/>
      <c r="F41" s="3505">
        <v>5</v>
      </c>
      <c r="G41" s="3490"/>
      <c r="H41" s="3490">
        <v>350400</v>
      </c>
      <c r="I41" s="3506">
        <f t="shared" si="1"/>
        <v>350400</v>
      </c>
      <c r="J41" s="3491">
        <f t="shared" si="0"/>
        <v>5</v>
      </c>
      <c r="K41" s="3485">
        <v>44419</v>
      </c>
      <c r="L41" s="3499">
        <v>44418</v>
      </c>
      <c r="M41" s="3494" t="s">
        <v>3719</v>
      </c>
      <c r="N41" s="3507" t="s">
        <v>3837</v>
      </c>
      <c r="O41" s="3508" t="s">
        <v>3831</v>
      </c>
      <c r="P41" s="3492">
        <v>44479</v>
      </c>
      <c r="Q41" s="3487" t="s">
        <v>3852</v>
      </c>
      <c r="R41" s="3497">
        <v>0.1</v>
      </c>
      <c r="S41" s="3484" t="s">
        <v>3773</v>
      </c>
      <c r="T41" s="3482" t="s">
        <v>3774</v>
      </c>
      <c r="U41" s="3482" t="s">
        <v>3774</v>
      </c>
    </row>
    <row r="42" spans="1:21" s="3509" customFormat="1" ht="30" hidden="1" customHeight="1">
      <c r="A42" s="3484">
        <v>39</v>
      </c>
      <c r="B42" s="3513" t="s">
        <v>3853</v>
      </c>
      <c r="C42" s="3496" t="s">
        <v>3854</v>
      </c>
      <c r="D42" s="3504">
        <v>80</v>
      </c>
      <c r="E42" s="3490">
        <v>11</v>
      </c>
      <c r="F42" s="3505">
        <v>3</v>
      </c>
      <c r="G42" s="3490">
        <v>321200</v>
      </c>
      <c r="H42" s="3490">
        <v>87600</v>
      </c>
      <c r="I42" s="3506">
        <f t="shared" si="1"/>
        <v>408800</v>
      </c>
      <c r="J42" s="3491">
        <f t="shared" si="0"/>
        <v>14</v>
      </c>
      <c r="K42" s="3485">
        <v>44419</v>
      </c>
      <c r="L42" s="3499">
        <v>44423</v>
      </c>
      <c r="M42" s="3494" t="s">
        <v>3793</v>
      </c>
      <c r="N42" s="3507" t="s">
        <v>3808</v>
      </c>
      <c r="O42" s="3508" t="s">
        <v>3784</v>
      </c>
      <c r="P42" s="3492">
        <v>44562</v>
      </c>
      <c r="Q42" s="3496" t="s">
        <v>3855</v>
      </c>
      <c r="R42" s="3497">
        <v>3.5000000000000003E-2</v>
      </c>
      <c r="S42" s="3484" t="s">
        <v>3773</v>
      </c>
      <c r="T42" s="3482" t="s">
        <v>3724</v>
      </c>
      <c r="U42" s="3482" t="s">
        <v>3774</v>
      </c>
    </row>
    <row r="43" spans="1:21" s="3548" customFormat="1" ht="33.75" hidden="1" customHeight="1">
      <c r="A43" s="3484">
        <v>40</v>
      </c>
      <c r="B43" s="3513" t="s">
        <v>3856</v>
      </c>
      <c r="C43" s="3496" t="s">
        <v>3857</v>
      </c>
      <c r="D43" s="3504">
        <v>512</v>
      </c>
      <c r="E43" s="3490">
        <v>9</v>
      </c>
      <c r="F43" s="3490">
        <v>3</v>
      </c>
      <c r="G43" s="3490">
        <v>1681920</v>
      </c>
      <c r="H43" s="3490">
        <v>560640</v>
      </c>
      <c r="I43" s="3490">
        <f t="shared" si="1"/>
        <v>2242560</v>
      </c>
      <c r="J43" s="3490">
        <f t="shared" si="0"/>
        <v>12</v>
      </c>
      <c r="K43" s="3545">
        <v>44424</v>
      </c>
      <c r="L43" s="3545">
        <v>44440</v>
      </c>
      <c r="M43" s="3494" t="s">
        <v>3793</v>
      </c>
      <c r="N43" s="3507" t="s">
        <v>3858</v>
      </c>
      <c r="O43" s="3546" t="s">
        <v>3744</v>
      </c>
      <c r="P43" s="3503">
        <v>44696</v>
      </c>
      <c r="Q43" s="3496" t="s">
        <v>3783</v>
      </c>
      <c r="R43" s="3497">
        <v>2.5000000000000001E-2</v>
      </c>
      <c r="S43" s="3547" t="s">
        <v>3773</v>
      </c>
      <c r="T43" s="3482" t="s">
        <v>3724</v>
      </c>
      <c r="U43" s="3482" t="s">
        <v>3724</v>
      </c>
    </row>
    <row r="44" spans="1:21" s="3548" customFormat="1" ht="33.75" hidden="1" customHeight="1">
      <c r="A44" s="3484">
        <v>41</v>
      </c>
      <c r="B44" s="3487" t="s">
        <v>3859</v>
      </c>
      <c r="C44" s="3496" t="s">
        <v>3860</v>
      </c>
      <c r="D44" s="3549">
        <v>152</v>
      </c>
      <c r="E44" s="3490">
        <v>5.5</v>
      </c>
      <c r="F44" s="3490">
        <v>3</v>
      </c>
      <c r="G44" s="3490">
        <v>305140</v>
      </c>
      <c r="H44" s="3490">
        <v>166440</v>
      </c>
      <c r="I44" s="3490">
        <f t="shared" si="1"/>
        <v>471580</v>
      </c>
      <c r="J44" s="3490">
        <f t="shared" si="0"/>
        <v>8.5</v>
      </c>
      <c r="K44" s="3545">
        <v>44434</v>
      </c>
      <c r="L44" s="3545">
        <v>44440</v>
      </c>
      <c r="M44" s="3494" t="s">
        <v>3793</v>
      </c>
      <c r="N44" s="3507" t="s">
        <v>3837</v>
      </c>
      <c r="O44" s="3546" t="s">
        <v>3786</v>
      </c>
      <c r="P44" s="3503">
        <v>44562</v>
      </c>
      <c r="Q44" s="3544" t="s">
        <v>3861</v>
      </c>
      <c r="R44" s="3497">
        <v>0.06</v>
      </c>
      <c r="S44" s="3547" t="s">
        <v>3773</v>
      </c>
      <c r="T44" s="3482" t="s">
        <v>3724</v>
      </c>
      <c r="U44" s="3482" t="s">
        <v>3724</v>
      </c>
    </row>
    <row r="45" spans="1:21" s="3548" customFormat="1" ht="33.75" hidden="1" customHeight="1">
      <c r="A45" s="3484">
        <v>42</v>
      </c>
      <c r="B45" s="3513" t="s">
        <v>3862</v>
      </c>
      <c r="C45" s="3496" t="s">
        <v>3863</v>
      </c>
      <c r="D45" s="3504">
        <v>403</v>
      </c>
      <c r="E45" s="3490">
        <v>4.5</v>
      </c>
      <c r="F45" s="3490">
        <v>3</v>
      </c>
      <c r="G45" s="3490">
        <v>661927.5</v>
      </c>
      <c r="H45" s="3490">
        <v>441285</v>
      </c>
      <c r="I45" s="3490">
        <f t="shared" si="1"/>
        <v>1103212.5</v>
      </c>
      <c r="J45" s="3490">
        <f t="shared" si="0"/>
        <v>7.5</v>
      </c>
      <c r="K45" s="3545">
        <v>44439</v>
      </c>
      <c r="L45" s="3545">
        <v>44449</v>
      </c>
      <c r="M45" s="3494" t="s">
        <v>3793</v>
      </c>
      <c r="N45" s="3507" t="s">
        <v>3751</v>
      </c>
      <c r="O45" s="3546" t="s">
        <v>3801</v>
      </c>
      <c r="P45" s="3503">
        <v>44630</v>
      </c>
      <c r="Q45" s="3544" t="s">
        <v>3864</v>
      </c>
      <c r="R45" s="3497">
        <v>0.04</v>
      </c>
      <c r="S45" s="3547" t="s">
        <v>3746</v>
      </c>
      <c r="T45" s="3482" t="s">
        <v>3747</v>
      </c>
      <c r="U45" s="3482" t="s">
        <v>3748</v>
      </c>
    </row>
    <row r="46" spans="1:21" s="3548" customFormat="1" ht="33.75" hidden="1" customHeight="1">
      <c r="A46" s="3484">
        <v>43</v>
      </c>
      <c r="B46" s="3513" t="s">
        <v>3865</v>
      </c>
      <c r="C46" s="3496" t="s">
        <v>3866</v>
      </c>
      <c r="D46" s="3504">
        <v>170</v>
      </c>
      <c r="E46" s="3490">
        <v>7</v>
      </c>
      <c r="F46" s="3490">
        <v>3</v>
      </c>
      <c r="G46" s="3490">
        <v>434350</v>
      </c>
      <c r="H46" s="3490">
        <v>186150</v>
      </c>
      <c r="I46" s="3490">
        <f t="shared" si="1"/>
        <v>620500</v>
      </c>
      <c r="J46" s="3490">
        <f t="shared" si="0"/>
        <v>10</v>
      </c>
      <c r="K46" s="3545">
        <v>44449</v>
      </c>
      <c r="L46" s="3486">
        <v>44501</v>
      </c>
      <c r="M46" s="3494" t="s">
        <v>3793</v>
      </c>
      <c r="N46" s="3507" t="s">
        <v>3751</v>
      </c>
      <c r="O46" s="3546" t="s">
        <v>3867</v>
      </c>
      <c r="P46" s="3503">
        <v>44593</v>
      </c>
      <c r="Q46" s="3544" t="s">
        <v>3868</v>
      </c>
      <c r="R46" s="3497">
        <v>7.0000000000000007E-2</v>
      </c>
      <c r="S46" s="3547" t="s">
        <v>3746</v>
      </c>
      <c r="T46" s="3482" t="s">
        <v>3747</v>
      </c>
      <c r="U46" s="3482" t="s">
        <v>3748</v>
      </c>
    </row>
    <row r="47" spans="1:21" s="3548" customFormat="1" ht="33.75" hidden="1" customHeight="1">
      <c r="A47" s="3484">
        <v>44</v>
      </c>
      <c r="B47" s="3488" t="s">
        <v>3869</v>
      </c>
      <c r="C47" s="3496" t="s">
        <v>3870</v>
      </c>
      <c r="D47" s="3504">
        <v>286</v>
      </c>
      <c r="E47" s="3490"/>
      <c r="F47" s="3490">
        <v>9.5</v>
      </c>
      <c r="G47" s="3490">
        <v>0</v>
      </c>
      <c r="H47" s="3490">
        <v>991705</v>
      </c>
      <c r="I47" s="3490">
        <f t="shared" si="1"/>
        <v>991705</v>
      </c>
      <c r="J47" s="3490">
        <f t="shared" si="0"/>
        <v>9.5</v>
      </c>
      <c r="K47" s="3545">
        <v>44455</v>
      </c>
      <c r="L47" s="3545">
        <v>44459</v>
      </c>
      <c r="M47" s="3494" t="s">
        <v>3793</v>
      </c>
      <c r="N47" s="3507" t="s">
        <v>3751</v>
      </c>
      <c r="O47" s="3546" t="s">
        <v>3871</v>
      </c>
      <c r="P47" s="3503">
        <v>44531</v>
      </c>
      <c r="Q47" s="3544" t="s">
        <v>3872</v>
      </c>
      <c r="R47" s="3497">
        <v>0.05</v>
      </c>
      <c r="S47" s="3547" t="s">
        <v>3746</v>
      </c>
      <c r="T47" s="3550" t="s">
        <v>3748</v>
      </c>
      <c r="U47" s="3550" t="s">
        <v>3748</v>
      </c>
    </row>
    <row r="48" spans="1:21" s="3548" customFormat="1" ht="33.75" hidden="1" customHeight="1">
      <c r="A48" s="3484">
        <v>45</v>
      </c>
      <c r="B48" s="3488" t="s">
        <v>3873</v>
      </c>
      <c r="C48" s="3496" t="s">
        <v>3874</v>
      </c>
      <c r="D48" s="3504">
        <v>153</v>
      </c>
      <c r="E48" s="3490">
        <v>10</v>
      </c>
      <c r="F48" s="3490">
        <v>3</v>
      </c>
      <c r="G48" s="3490">
        <v>558450</v>
      </c>
      <c r="H48" s="3490">
        <v>167535</v>
      </c>
      <c r="I48" s="3490">
        <f t="shared" si="1"/>
        <v>725985</v>
      </c>
      <c r="J48" s="3490">
        <f t="shared" si="0"/>
        <v>13</v>
      </c>
      <c r="K48" s="3545">
        <v>44452</v>
      </c>
      <c r="L48" s="3486">
        <v>44470</v>
      </c>
      <c r="M48" s="3494" t="s">
        <v>3793</v>
      </c>
      <c r="N48" s="3507" t="s">
        <v>3808</v>
      </c>
      <c r="O48" s="3546" t="s">
        <v>3793</v>
      </c>
      <c r="P48" s="3503">
        <v>44531</v>
      </c>
      <c r="Q48" s="3544" t="s">
        <v>3875</v>
      </c>
      <c r="R48" s="3497">
        <v>3.3000000000000002E-2</v>
      </c>
      <c r="S48" s="3547" t="s">
        <v>3746</v>
      </c>
      <c r="T48" s="3482" t="s">
        <v>3747</v>
      </c>
      <c r="U48" s="3482" t="s">
        <v>3748</v>
      </c>
    </row>
    <row r="49" spans="1:21" s="3548" customFormat="1" ht="33.75" hidden="1" customHeight="1">
      <c r="A49" s="3484">
        <v>46</v>
      </c>
      <c r="B49" s="3513" t="s">
        <v>3876</v>
      </c>
      <c r="C49" s="3496" t="s">
        <v>3877</v>
      </c>
      <c r="D49" s="3504">
        <v>71</v>
      </c>
      <c r="E49" s="3490">
        <v>10</v>
      </c>
      <c r="F49" s="3490">
        <v>3</v>
      </c>
      <c r="G49" s="3490">
        <v>259150</v>
      </c>
      <c r="H49" s="3490">
        <v>77745</v>
      </c>
      <c r="I49" s="3490">
        <f t="shared" si="1"/>
        <v>336895</v>
      </c>
      <c r="J49" s="3490">
        <f t="shared" si="0"/>
        <v>13</v>
      </c>
      <c r="K49" s="3545">
        <v>44484</v>
      </c>
      <c r="L49" s="3545">
        <v>44501</v>
      </c>
      <c r="M49" s="3494" t="s">
        <v>3793</v>
      </c>
      <c r="N49" s="3507" t="s">
        <v>3837</v>
      </c>
      <c r="O49" s="3546" t="s">
        <v>3878</v>
      </c>
      <c r="P49" s="3503">
        <v>44593</v>
      </c>
      <c r="Q49" s="3544" t="s">
        <v>3879</v>
      </c>
      <c r="R49" s="3497">
        <v>0.03</v>
      </c>
      <c r="S49" s="3547" t="s">
        <v>3746</v>
      </c>
      <c r="T49" s="3482" t="s">
        <v>3747</v>
      </c>
      <c r="U49" s="3482" t="s">
        <v>3748</v>
      </c>
    </row>
    <row r="50" spans="1:21" s="3548" customFormat="1" ht="33.75" hidden="1" customHeight="1">
      <c r="A50" s="3484">
        <v>47</v>
      </c>
      <c r="B50" s="3513" t="s">
        <v>3880</v>
      </c>
      <c r="C50" s="3496" t="s">
        <v>3881</v>
      </c>
      <c r="D50" s="3504">
        <v>809</v>
      </c>
      <c r="E50" s="3490">
        <v>3.8</v>
      </c>
      <c r="F50" s="3490">
        <v>3</v>
      </c>
      <c r="G50" s="3490">
        <v>1122083</v>
      </c>
      <c r="H50" s="3490">
        <v>885855</v>
      </c>
      <c r="I50" s="3490">
        <f t="shared" si="1"/>
        <v>2007938</v>
      </c>
      <c r="J50" s="3490">
        <f t="shared" si="0"/>
        <v>6.8</v>
      </c>
      <c r="K50" s="3545">
        <v>44484</v>
      </c>
      <c r="L50" s="3545">
        <v>44484</v>
      </c>
      <c r="M50" s="3494" t="s">
        <v>3793</v>
      </c>
      <c r="N50" s="3507" t="s">
        <v>3882</v>
      </c>
      <c r="O50" s="3546" t="s">
        <v>3878</v>
      </c>
      <c r="P50" s="3503">
        <v>44593</v>
      </c>
      <c r="Q50" s="3496" t="s">
        <v>3883</v>
      </c>
      <c r="R50" s="3497">
        <v>0.03</v>
      </c>
      <c r="S50" s="3547" t="s">
        <v>3746</v>
      </c>
      <c r="T50" s="3482" t="s">
        <v>3747</v>
      </c>
      <c r="U50" s="3482" t="s">
        <v>3748</v>
      </c>
    </row>
    <row r="51" spans="1:21" s="3548" customFormat="1" ht="33.75" hidden="1" customHeight="1">
      <c r="A51" s="3484">
        <v>48</v>
      </c>
      <c r="B51" s="3513" t="s">
        <v>3884</v>
      </c>
      <c r="C51" s="3496" t="s">
        <v>3885</v>
      </c>
      <c r="D51" s="3504">
        <v>39</v>
      </c>
      <c r="E51" s="3490">
        <v>17</v>
      </c>
      <c r="F51" s="3490">
        <v>3</v>
      </c>
      <c r="G51" s="3490">
        <v>241995</v>
      </c>
      <c r="H51" s="3490">
        <v>42705</v>
      </c>
      <c r="I51" s="3490">
        <f t="shared" si="1"/>
        <v>284700</v>
      </c>
      <c r="J51" s="3490">
        <f>F51+E51</f>
        <v>20</v>
      </c>
      <c r="K51" s="3545">
        <v>44490</v>
      </c>
      <c r="L51" s="3545">
        <v>44501</v>
      </c>
      <c r="M51" s="3494" t="s">
        <v>3793</v>
      </c>
      <c r="N51" s="3507" t="s">
        <v>3760</v>
      </c>
      <c r="O51" s="3546" t="s">
        <v>3793</v>
      </c>
      <c r="P51" s="3503">
        <v>44562</v>
      </c>
      <c r="Q51" s="3487" t="s">
        <v>3761</v>
      </c>
      <c r="R51" s="3484" t="s">
        <v>3762</v>
      </c>
      <c r="S51" s="3547" t="s">
        <v>3746</v>
      </c>
      <c r="T51" s="3482" t="s">
        <v>3747</v>
      </c>
      <c r="U51" s="3482" t="s">
        <v>3747</v>
      </c>
    </row>
    <row r="52" spans="1:21" s="3548" customFormat="1" ht="33.75" hidden="1" customHeight="1">
      <c r="A52" s="3484">
        <v>49</v>
      </c>
      <c r="B52" s="3488" t="s">
        <v>3886</v>
      </c>
      <c r="C52" s="3496" t="s">
        <v>3887</v>
      </c>
      <c r="D52" s="3504">
        <v>116</v>
      </c>
      <c r="E52" s="3490">
        <v>13</v>
      </c>
      <c r="F52" s="3490">
        <v>3</v>
      </c>
      <c r="G52" s="3490">
        <v>550420</v>
      </c>
      <c r="H52" s="3490">
        <v>127020</v>
      </c>
      <c r="I52" s="3490">
        <f t="shared" si="1"/>
        <v>677440</v>
      </c>
      <c r="J52" s="3490">
        <f>F52+E52</f>
        <v>16</v>
      </c>
      <c r="K52" s="3545">
        <v>44501</v>
      </c>
      <c r="L52" s="3545">
        <v>44531</v>
      </c>
      <c r="M52" s="3494" t="s">
        <v>3719</v>
      </c>
      <c r="N52" s="3507" t="s">
        <v>3837</v>
      </c>
      <c r="O52" s="3546" t="s">
        <v>3786</v>
      </c>
      <c r="P52" s="3503">
        <v>44621</v>
      </c>
      <c r="Q52" s="3487" t="s">
        <v>3761</v>
      </c>
      <c r="R52" s="3484" t="s">
        <v>3762</v>
      </c>
      <c r="S52" s="3547" t="s">
        <v>3746</v>
      </c>
      <c r="T52" s="3482" t="s">
        <v>3747</v>
      </c>
      <c r="U52" s="3482" t="s">
        <v>3748</v>
      </c>
    </row>
    <row r="53" spans="1:21" s="3548" customFormat="1" ht="33.75" hidden="1" customHeight="1">
      <c r="A53" s="3484">
        <v>50</v>
      </c>
      <c r="B53" s="3513" t="s">
        <v>3888</v>
      </c>
      <c r="C53" s="3551" t="s">
        <v>3889</v>
      </c>
      <c r="D53" s="3552">
        <v>106</v>
      </c>
      <c r="E53" s="3490">
        <v>7</v>
      </c>
      <c r="F53" s="3490">
        <v>3</v>
      </c>
      <c r="G53" s="3490">
        <v>270830</v>
      </c>
      <c r="H53" s="3490">
        <v>116070</v>
      </c>
      <c r="I53" s="3490">
        <f t="shared" si="1"/>
        <v>386900</v>
      </c>
      <c r="J53" s="3490">
        <f t="shared" ref="J53:J116" si="2">F53+E53</f>
        <v>10</v>
      </c>
      <c r="K53" s="3545">
        <v>44517</v>
      </c>
      <c r="L53" s="3516">
        <v>44531</v>
      </c>
      <c r="M53" s="3494" t="s">
        <v>3793</v>
      </c>
      <c r="N53" s="3507" t="s">
        <v>3837</v>
      </c>
      <c r="O53" s="3546" t="s">
        <v>3871</v>
      </c>
      <c r="P53" s="3486">
        <v>44652</v>
      </c>
      <c r="Q53" s="3544" t="s">
        <v>3890</v>
      </c>
      <c r="R53" s="3497">
        <v>0.03</v>
      </c>
      <c r="S53" s="3547" t="s">
        <v>3746</v>
      </c>
      <c r="T53" s="3482" t="s">
        <v>3747</v>
      </c>
      <c r="U53" s="3482" t="s">
        <v>3748</v>
      </c>
    </row>
    <row r="54" spans="1:21" s="3548" customFormat="1" ht="33.75" hidden="1" customHeight="1">
      <c r="A54" s="3484">
        <v>51</v>
      </c>
      <c r="B54" s="3513" t="s">
        <v>3891</v>
      </c>
      <c r="C54" s="3551" t="s">
        <v>3892</v>
      </c>
      <c r="D54" s="3552">
        <v>460</v>
      </c>
      <c r="E54" s="3490">
        <v>5</v>
      </c>
      <c r="F54" s="3490">
        <v>3</v>
      </c>
      <c r="G54" s="3490">
        <v>839500</v>
      </c>
      <c r="H54" s="3490">
        <v>503700</v>
      </c>
      <c r="I54" s="3490">
        <f t="shared" si="1"/>
        <v>1343200</v>
      </c>
      <c r="J54" s="3490">
        <f t="shared" si="2"/>
        <v>8</v>
      </c>
      <c r="K54" s="3515">
        <v>44521</v>
      </c>
      <c r="L54" s="3486">
        <v>44531</v>
      </c>
      <c r="M54" s="3494" t="s">
        <v>3793</v>
      </c>
      <c r="N54" s="3507" t="s">
        <v>3751</v>
      </c>
      <c r="O54" s="3484" t="s">
        <v>3893</v>
      </c>
      <c r="P54" s="3486">
        <v>44774</v>
      </c>
      <c r="Q54" s="3487" t="s">
        <v>3894</v>
      </c>
      <c r="R54" s="3497">
        <v>0.1</v>
      </c>
      <c r="S54" s="3547" t="s">
        <v>3746</v>
      </c>
      <c r="T54" s="3482" t="s">
        <v>3747</v>
      </c>
      <c r="U54" s="3482" t="s">
        <v>3748</v>
      </c>
    </row>
    <row r="55" spans="1:21" s="3548" customFormat="1" ht="33.75" hidden="1" customHeight="1">
      <c r="A55" s="3484">
        <v>52</v>
      </c>
      <c r="B55" s="3513" t="s">
        <v>3891</v>
      </c>
      <c r="C55" s="3551" t="s">
        <v>3895</v>
      </c>
      <c r="D55" s="3552">
        <v>179</v>
      </c>
      <c r="E55" s="3490"/>
      <c r="F55" s="3490">
        <v>2.29</v>
      </c>
      <c r="G55" s="3490"/>
      <c r="H55" s="3490">
        <v>150000</v>
      </c>
      <c r="I55" s="3490">
        <f t="shared" si="1"/>
        <v>150000</v>
      </c>
      <c r="J55" s="3490">
        <f t="shared" si="2"/>
        <v>2.29</v>
      </c>
      <c r="K55" s="3515">
        <v>44522</v>
      </c>
      <c r="L55" s="3486">
        <v>44531</v>
      </c>
      <c r="M55" s="3494" t="s">
        <v>3793</v>
      </c>
      <c r="N55" s="3507" t="s">
        <v>3751</v>
      </c>
      <c r="O55" s="3484" t="s">
        <v>3893</v>
      </c>
      <c r="P55" s="3486">
        <v>44774</v>
      </c>
      <c r="Q55" s="3487" t="s">
        <v>3761</v>
      </c>
      <c r="R55" s="3484" t="s">
        <v>3762</v>
      </c>
      <c r="S55" s="3547" t="s">
        <v>3746</v>
      </c>
      <c r="T55" s="3550" t="s">
        <v>3748</v>
      </c>
      <c r="U55" s="3550" t="s">
        <v>3748</v>
      </c>
    </row>
    <row r="56" spans="1:21" s="3548" customFormat="1" ht="33.75" hidden="1" customHeight="1">
      <c r="A56" s="3484">
        <v>53</v>
      </c>
      <c r="B56" s="3513" t="s">
        <v>3896</v>
      </c>
      <c r="C56" s="3551" t="s">
        <v>3897</v>
      </c>
      <c r="D56" s="3552">
        <v>5</v>
      </c>
      <c r="E56" s="3490"/>
      <c r="F56" s="3490">
        <v>5</v>
      </c>
      <c r="G56" s="3490"/>
      <c r="H56" s="3490">
        <v>9125</v>
      </c>
      <c r="I56" s="3490">
        <f t="shared" si="1"/>
        <v>9125</v>
      </c>
      <c r="J56" s="3490">
        <f t="shared" si="2"/>
        <v>5</v>
      </c>
      <c r="K56" s="3515">
        <v>44522</v>
      </c>
      <c r="L56" s="3486">
        <v>44531</v>
      </c>
      <c r="M56" s="3494"/>
      <c r="N56" s="3507" t="s">
        <v>3898</v>
      </c>
      <c r="O56" s="3484"/>
      <c r="P56" s="3486">
        <v>44774</v>
      </c>
      <c r="Q56" s="3487" t="s">
        <v>3899</v>
      </c>
      <c r="R56" s="3484" t="s">
        <v>3900</v>
      </c>
      <c r="S56" s="3547" t="s">
        <v>3901</v>
      </c>
      <c r="T56" s="3550" t="s">
        <v>3902</v>
      </c>
      <c r="U56" s="3550" t="s">
        <v>3902</v>
      </c>
    </row>
    <row r="57" spans="1:21" s="3548" customFormat="1" ht="33.75" hidden="1" customHeight="1">
      <c r="A57" s="3484">
        <v>54</v>
      </c>
      <c r="B57" s="3553" t="s">
        <v>3903</v>
      </c>
      <c r="C57" s="3551" t="s">
        <v>3904</v>
      </c>
      <c r="D57" s="3552">
        <v>166</v>
      </c>
      <c r="E57" s="3490"/>
      <c r="F57" s="3490">
        <v>2.96</v>
      </c>
      <c r="G57" s="3490"/>
      <c r="H57" s="3490">
        <v>179280</v>
      </c>
      <c r="I57" s="3490">
        <f t="shared" si="1"/>
        <v>179280</v>
      </c>
      <c r="J57" s="3490">
        <f t="shared" si="2"/>
        <v>2.96</v>
      </c>
      <c r="K57" s="3545">
        <v>44501</v>
      </c>
      <c r="L57" s="3486">
        <v>44501</v>
      </c>
      <c r="M57" s="3494" t="s">
        <v>3742</v>
      </c>
      <c r="N57" s="3507" t="s">
        <v>3905</v>
      </c>
      <c r="O57" s="3546" t="s">
        <v>3786</v>
      </c>
      <c r="P57" s="3486">
        <v>44591</v>
      </c>
      <c r="Q57" s="3487" t="s">
        <v>3906</v>
      </c>
      <c r="R57" s="3550"/>
      <c r="S57" s="3547" t="s">
        <v>3901</v>
      </c>
      <c r="T57" s="3482" t="s">
        <v>3907</v>
      </c>
      <c r="U57" s="3482" t="s">
        <v>3907</v>
      </c>
    </row>
    <row r="58" spans="1:21" s="3548" customFormat="1" ht="33.75" hidden="1" customHeight="1">
      <c r="A58" s="3484">
        <v>55</v>
      </c>
      <c r="B58" s="3553" t="s">
        <v>3908</v>
      </c>
      <c r="C58" s="3551" t="s">
        <v>3909</v>
      </c>
      <c r="D58" s="3552">
        <v>118</v>
      </c>
      <c r="E58" s="3490">
        <v>7</v>
      </c>
      <c r="F58" s="3490">
        <v>3</v>
      </c>
      <c r="G58" s="3490">
        <v>301490</v>
      </c>
      <c r="H58" s="3490">
        <v>127440</v>
      </c>
      <c r="I58" s="3490">
        <f t="shared" si="1"/>
        <v>428930</v>
      </c>
      <c r="J58" s="3490">
        <f t="shared" si="2"/>
        <v>10</v>
      </c>
      <c r="K58" s="3545">
        <v>44501</v>
      </c>
      <c r="L58" s="3486">
        <v>44561</v>
      </c>
      <c r="M58" s="3494" t="s">
        <v>3742</v>
      </c>
      <c r="N58" s="3507" t="s">
        <v>3905</v>
      </c>
      <c r="O58" s="3546" t="s">
        <v>3786</v>
      </c>
      <c r="P58" s="3486">
        <v>44651</v>
      </c>
      <c r="Q58" s="3487" t="s">
        <v>3910</v>
      </c>
      <c r="R58" s="3550"/>
      <c r="S58" s="3547" t="s">
        <v>3911</v>
      </c>
      <c r="T58" s="3482" t="s">
        <v>3912</v>
      </c>
      <c r="U58" s="3482" t="s">
        <v>3912</v>
      </c>
    </row>
    <row r="59" spans="1:21" s="3548" customFormat="1" ht="33.75" hidden="1" customHeight="1">
      <c r="A59" s="3484">
        <v>56</v>
      </c>
      <c r="B59" s="3553" t="s">
        <v>3913</v>
      </c>
      <c r="C59" s="3551" t="s">
        <v>3914</v>
      </c>
      <c r="D59" s="3552">
        <v>240</v>
      </c>
      <c r="E59" s="3490"/>
      <c r="F59" s="3490">
        <v>3</v>
      </c>
      <c r="G59" s="3490"/>
      <c r="H59" s="3490">
        <v>259200</v>
      </c>
      <c r="I59" s="3490">
        <f t="shared" si="1"/>
        <v>259200</v>
      </c>
      <c r="J59" s="3490">
        <f t="shared" si="2"/>
        <v>3</v>
      </c>
      <c r="K59" s="3545">
        <v>44501</v>
      </c>
      <c r="L59" s="3486">
        <v>44561</v>
      </c>
      <c r="M59" s="3494" t="s">
        <v>3742</v>
      </c>
      <c r="N59" s="3507" t="s">
        <v>3915</v>
      </c>
      <c r="O59" s="3546" t="s">
        <v>3786</v>
      </c>
      <c r="P59" s="3486">
        <v>44651</v>
      </c>
      <c r="Q59" s="3487" t="s">
        <v>3916</v>
      </c>
      <c r="R59" s="3550"/>
      <c r="S59" s="3547" t="s">
        <v>3746</v>
      </c>
      <c r="T59" s="3482" t="s">
        <v>3747</v>
      </c>
      <c r="U59" s="3482" t="s">
        <v>3747</v>
      </c>
    </row>
    <row r="60" spans="1:21" s="3548" customFormat="1" ht="33.75" hidden="1" customHeight="1">
      <c r="A60" s="3484">
        <v>57</v>
      </c>
      <c r="B60" s="3553" t="s">
        <v>3917</v>
      </c>
      <c r="C60" s="3551" t="s">
        <v>3918</v>
      </c>
      <c r="D60" s="3552">
        <v>321</v>
      </c>
      <c r="E60" s="3490">
        <v>5.5</v>
      </c>
      <c r="F60" s="3490">
        <v>3</v>
      </c>
      <c r="G60" s="3490">
        <v>644407.5</v>
      </c>
      <c r="H60" s="3490">
        <v>351495</v>
      </c>
      <c r="I60" s="3490">
        <f t="shared" si="1"/>
        <v>995902.5</v>
      </c>
      <c r="J60" s="3490">
        <f t="shared" si="2"/>
        <v>8.5</v>
      </c>
      <c r="K60" s="3545">
        <v>44547</v>
      </c>
      <c r="L60" s="3486">
        <v>44545</v>
      </c>
      <c r="M60" s="3494" t="s">
        <v>3801</v>
      </c>
      <c r="N60" s="3507" t="s">
        <v>3808</v>
      </c>
      <c r="O60" s="3546" t="s">
        <v>3919</v>
      </c>
      <c r="P60" s="3516">
        <v>44743</v>
      </c>
      <c r="Q60" s="3496" t="s">
        <v>3920</v>
      </c>
      <c r="R60" s="3497">
        <v>0.03</v>
      </c>
      <c r="S60" s="3547" t="s">
        <v>3746</v>
      </c>
      <c r="T60" s="3482" t="s">
        <v>3747</v>
      </c>
      <c r="U60" s="3482" t="s">
        <v>3748</v>
      </c>
    </row>
    <row r="61" spans="1:21" s="3548" customFormat="1" ht="42.75" hidden="1" customHeight="1">
      <c r="A61" s="3484">
        <v>58</v>
      </c>
      <c r="B61" s="3517" t="s">
        <v>3921</v>
      </c>
      <c r="C61" s="3551" t="s">
        <v>3922</v>
      </c>
      <c r="D61" s="3552">
        <v>171</v>
      </c>
      <c r="E61" s="3490">
        <v>9</v>
      </c>
      <c r="F61" s="3490">
        <v>3</v>
      </c>
      <c r="G61" s="3490">
        <v>561735</v>
      </c>
      <c r="H61" s="3490">
        <v>187245</v>
      </c>
      <c r="I61" s="3490">
        <f t="shared" si="1"/>
        <v>748980</v>
      </c>
      <c r="J61" s="3490">
        <f t="shared" si="2"/>
        <v>12</v>
      </c>
      <c r="K61" s="3545">
        <v>44560</v>
      </c>
      <c r="L61" s="3486">
        <v>44562</v>
      </c>
      <c r="M61" s="3494" t="s">
        <v>3793</v>
      </c>
      <c r="N61" s="3507" t="s">
        <v>3808</v>
      </c>
      <c r="O61" s="3546" t="s">
        <v>3871</v>
      </c>
      <c r="P61" s="3516">
        <v>44682</v>
      </c>
      <c r="Q61" s="3487" t="s">
        <v>3923</v>
      </c>
      <c r="R61" s="3497">
        <v>0.03</v>
      </c>
      <c r="S61" s="3547" t="s">
        <v>3746</v>
      </c>
      <c r="T61" s="3482" t="s">
        <v>3747</v>
      </c>
      <c r="U61" s="3482" t="s">
        <v>3748</v>
      </c>
    </row>
    <row r="62" spans="1:21" s="3548" customFormat="1" ht="33.75" hidden="1" customHeight="1">
      <c r="A62" s="3484">
        <v>59</v>
      </c>
      <c r="B62" s="3553" t="s">
        <v>3924</v>
      </c>
      <c r="C62" s="3551"/>
      <c r="D62" s="3552">
        <v>166</v>
      </c>
      <c r="E62" s="3490"/>
      <c r="F62" s="3490">
        <v>5</v>
      </c>
      <c r="G62" s="3490"/>
      <c r="H62" s="3490">
        <v>302950</v>
      </c>
      <c r="I62" s="3490">
        <f t="shared" si="1"/>
        <v>302950</v>
      </c>
      <c r="J62" s="3490">
        <f t="shared" si="2"/>
        <v>5</v>
      </c>
      <c r="K62" s="3545">
        <v>44560</v>
      </c>
      <c r="L62" s="3486">
        <v>44562</v>
      </c>
      <c r="M62" s="3494" t="s">
        <v>3793</v>
      </c>
      <c r="N62" s="3507" t="s">
        <v>3837</v>
      </c>
      <c r="O62" s="3546" t="s">
        <v>3867</v>
      </c>
      <c r="P62" s="3516">
        <v>44652</v>
      </c>
      <c r="Q62" s="3487" t="s">
        <v>3925</v>
      </c>
      <c r="R62" s="3497">
        <v>0.1</v>
      </c>
      <c r="S62" s="3547" t="s">
        <v>3746</v>
      </c>
      <c r="T62" s="3550" t="s">
        <v>3748</v>
      </c>
      <c r="U62" s="3550" t="s">
        <v>3748</v>
      </c>
    </row>
    <row r="63" spans="1:21" s="3548" customFormat="1" ht="33.75" hidden="1" customHeight="1">
      <c r="A63" s="3484">
        <v>60</v>
      </c>
      <c r="B63" s="3513" t="s">
        <v>3926</v>
      </c>
      <c r="C63" s="3510" t="s">
        <v>3927</v>
      </c>
      <c r="D63" s="3552">
        <v>23</v>
      </c>
      <c r="E63" s="3511">
        <v>19</v>
      </c>
      <c r="F63" s="3511">
        <v>3</v>
      </c>
      <c r="G63" s="3511">
        <v>159505</v>
      </c>
      <c r="H63" s="3511">
        <v>25185</v>
      </c>
      <c r="I63" s="3490">
        <f t="shared" si="1"/>
        <v>184690</v>
      </c>
      <c r="J63" s="3490">
        <f t="shared" si="2"/>
        <v>22</v>
      </c>
      <c r="K63" s="3545">
        <v>44558</v>
      </c>
      <c r="L63" s="3486">
        <v>44562</v>
      </c>
      <c r="M63" s="3494" t="s">
        <v>3793</v>
      </c>
      <c r="N63" s="3507" t="s">
        <v>3837</v>
      </c>
      <c r="O63" s="3546" t="s">
        <v>3867</v>
      </c>
      <c r="P63" s="3516">
        <v>44652</v>
      </c>
      <c r="Q63" s="3487" t="s">
        <v>3761</v>
      </c>
      <c r="R63" s="3484" t="s">
        <v>3762</v>
      </c>
      <c r="S63" s="3547" t="s">
        <v>3746</v>
      </c>
      <c r="T63" s="3482" t="s">
        <v>3747</v>
      </c>
      <c r="U63" s="3482" t="s">
        <v>3747</v>
      </c>
    </row>
    <row r="64" spans="1:21" s="3548" customFormat="1" ht="33.75" hidden="1" customHeight="1">
      <c r="A64" s="3484">
        <v>61</v>
      </c>
      <c r="B64" s="3553" t="s">
        <v>3928</v>
      </c>
      <c r="C64" s="3551" t="s">
        <v>3929</v>
      </c>
      <c r="D64" s="3552">
        <v>97</v>
      </c>
      <c r="E64" s="3490">
        <v>14</v>
      </c>
      <c r="F64" s="3490">
        <v>3</v>
      </c>
      <c r="G64" s="3511">
        <v>495670</v>
      </c>
      <c r="H64" s="3511">
        <v>106215</v>
      </c>
      <c r="I64" s="3490">
        <f t="shared" si="1"/>
        <v>601885</v>
      </c>
      <c r="J64" s="3490">
        <f t="shared" si="2"/>
        <v>17</v>
      </c>
      <c r="K64" s="3545">
        <v>44664</v>
      </c>
      <c r="L64" s="3486">
        <v>44682</v>
      </c>
      <c r="M64" s="3494" t="s">
        <v>3801</v>
      </c>
      <c r="N64" s="3507" t="s">
        <v>3930</v>
      </c>
      <c r="O64" s="3546" t="s">
        <v>3795</v>
      </c>
      <c r="P64" s="3516">
        <v>44688</v>
      </c>
      <c r="Q64" s="3496" t="s">
        <v>3931</v>
      </c>
      <c r="R64" s="3497">
        <v>0.03</v>
      </c>
      <c r="S64" s="3547" t="s">
        <v>3746</v>
      </c>
      <c r="T64" s="3482" t="s">
        <v>3747</v>
      </c>
      <c r="U64" s="3482" t="s">
        <v>3747</v>
      </c>
    </row>
    <row r="65" spans="1:21" s="3548" customFormat="1" ht="33.75" hidden="1" customHeight="1">
      <c r="A65" s="3484">
        <v>62</v>
      </c>
      <c r="B65" s="3553" t="s">
        <v>3932</v>
      </c>
      <c r="C65" s="3551" t="s">
        <v>3933</v>
      </c>
      <c r="D65" s="3552">
        <v>4</v>
      </c>
      <c r="E65" s="3490"/>
      <c r="F65" s="3490"/>
      <c r="G65" s="3490"/>
      <c r="H65" s="3490">
        <v>15600</v>
      </c>
      <c r="I65" s="3490">
        <f t="shared" si="1"/>
        <v>15600</v>
      </c>
      <c r="J65" s="3490">
        <f t="shared" si="2"/>
        <v>0</v>
      </c>
      <c r="K65" s="3545">
        <v>44567</v>
      </c>
      <c r="L65" s="3486">
        <v>45351</v>
      </c>
      <c r="M65" s="3494">
        <v>6</v>
      </c>
      <c r="N65" s="3484">
        <v>1</v>
      </c>
      <c r="O65" s="3546" t="s">
        <v>3934</v>
      </c>
      <c r="P65" s="3516">
        <v>44571</v>
      </c>
      <c r="Q65" s="3487"/>
      <c r="R65" s="3550"/>
      <c r="S65" s="3547" t="s">
        <v>3746</v>
      </c>
      <c r="T65" s="3550" t="s">
        <v>3748</v>
      </c>
      <c r="U65" s="3550" t="s">
        <v>3748</v>
      </c>
    </row>
    <row r="66" spans="1:21" s="3548" customFormat="1" ht="33.75" hidden="1" customHeight="1">
      <c r="A66" s="3484">
        <v>63</v>
      </c>
      <c r="B66" s="3513" t="s">
        <v>3935</v>
      </c>
      <c r="C66" s="3551" t="s">
        <v>3936</v>
      </c>
      <c r="D66" s="3552">
        <v>60</v>
      </c>
      <c r="E66" s="3490">
        <v>17</v>
      </c>
      <c r="F66" s="3490">
        <v>3</v>
      </c>
      <c r="G66" s="3490">
        <v>372300</v>
      </c>
      <c r="H66" s="3490">
        <v>65700</v>
      </c>
      <c r="I66" s="3490">
        <f t="shared" si="1"/>
        <v>438000</v>
      </c>
      <c r="J66" s="3490">
        <f t="shared" si="2"/>
        <v>20</v>
      </c>
      <c r="K66" s="3545">
        <v>44575</v>
      </c>
      <c r="L66" s="3486">
        <v>44579</v>
      </c>
      <c r="M66" s="3494" t="s">
        <v>3793</v>
      </c>
      <c r="N66" s="3507" t="s">
        <v>3808</v>
      </c>
      <c r="O66" s="3546" t="s">
        <v>3752</v>
      </c>
      <c r="P66" s="3516">
        <v>44730</v>
      </c>
      <c r="Q66" s="3487" t="s">
        <v>3937</v>
      </c>
      <c r="R66" s="3497">
        <v>0.03</v>
      </c>
      <c r="S66" s="3547" t="s">
        <v>3746</v>
      </c>
      <c r="T66" s="3482" t="s">
        <v>3747</v>
      </c>
      <c r="U66" s="3482" t="s">
        <v>3748</v>
      </c>
    </row>
    <row r="67" spans="1:21" s="3548" customFormat="1" ht="33.75" hidden="1" customHeight="1">
      <c r="A67" s="3484">
        <v>64</v>
      </c>
      <c r="B67" s="3553" t="s">
        <v>3938</v>
      </c>
      <c r="C67" s="3551" t="s">
        <v>3939</v>
      </c>
      <c r="D67" s="3552">
        <v>132</v>
      </c>
      <c r="E67" s="3490"/>
      <c r="F67" s="3490">
        <v>5</v>
      </c>
      <c r="G67" s="3490"/>
      <c r="H67" s="3490">
        <v>240900</v>
      </c>
      <c r="I67" s="3490">
        <f t="shared" si="1"/>
        <v>240900</v>
      </c>
      <c r="J67" s="3490">
        <f t="shared" si="2"/>
        <v>5</v>
      </c>
      <c r="K67" s="3545">
        <v>44575</v>
      </c>
      <c r="L67" s="3486">
        <v>44592</v>
      </c>
      <c r="M67" s="3494" t="s">
        <v>3793</v>
      </c>
      <c r="N67" s="3507" t="s">
        <v>3837</v>
      </c>
      <c r="O67" s="3546" t="s">
        <v>3871</v>
      </c>
      <c r="P67" s="3516">
        <v>44743</v>
      </c>
      <c r="Q67" s="3487" t="s">
        <v>3940</v>
      </c>
      <c r="R67" s="3497">
        <v>0.1</v>
      </c>
      <c r="S67" s="3547" t="s">
        <v>3746</v>
      </c>
      <c r="T67" s="3550" t="s">
        <v>3748</v>
      </c>
      <c r="U67" s="3550" t="s">
        <v>3748</v>
      </c>
    </row>
    <row r="68" spans="1:21" s="3548" customFormat="1" ht="33.75" hidden="1" customHeight="1">
      <c r="A68" s="3484">
        <v>65</v>
      </c>
      <c r="B68" s="3513" t="s">
        <v>3941</v>
      </c>
      <c r="C68" s="3551" t="s">
        <v>3942</v>
      </c>
      <c r="D68" s="3552">
        <v>365</v>
      </c>
      <c r="E68" s="3490">
        <v>6</v>
      </c>
      <c r="F68" s="3490">
        <v>3</v>
      </c>
      <c r="G68" s="3490">
        <v>799350</v>
      </c>
      <c r="H68" s="3490">
        <v>399675</v>
      </c>
      <c r="I68" s="3490">
        <f t="shared" si="1"/>
        <v>1199025</v>
      </c>
      <c r="J68" s="3490">
        <f t="shared" si="2"/>
        <v>9</v>
      </c>
      <c r="K68" s="3545">
        <v>44577</v>
      </c>
      <c r="L68" s="3486">
        <v>44581</v>
      </c>
      <c r="M68" s="3494" t="s">
        <v>3793</v>
      </c>
      <c r="N68" s="3507" t="s">
        <v>3751</v>
      </c>
      <c r="O68" s="3546" t="s">
        <v>3752</v>
      </c>
      <c r="P68" s="3516">
        <v>44774</v>
      </c>
      <c r="Q68" s="3487" t="s">
        <v>3943</v>
      </c>
      <c r="R68" s="3497">
        <v>0.03</v>
      </c>
      <c r="S68" s="3547" t="s">
        <v>3746</v>
      </c>
      <c r="T68" s="3482" t="s">
        <v>3747</v>
      </c>
      <c r="U68" s="3482" t="s">
        <v>3748</v>
      </c>
    </row>
    <row r="69" spans="1:21" s="3548" customFormat="1" ht="33.75" hidden="1" customHeight="1">
      <c r="A69" s="3484">
        <v>66</v>
      </c>
      <c r="B69" s="3513" t="s">
        <v>3944</v>
      </c>
      <c r="C69" s="3510" t="s">
        <v>3945</v>
      </c>
      <c r="D69" s="3521">
        <v>75</v>
      </c>
      <c r="E69" s="3511">
        <v>10.15</v>
      </c>
      <c r="F69" s="3511">
        <v>3</v>
      </c>
      <c r="G69" s="3511">
        <v>277875</v>
      </c>
      <c r="H69" s="3511">
        <v>82125</v>
      </c>
      <c r="I69" s="3490">
        <f t="shared" si="1"/>
        <v>360000</v>
      </c>
      <c r="J69" s="3490">
        <f t="shared" si="2"/>
        <v>13.15</v>
      </c>
      <c r="K69" s="3515">
        <v>44586</v>
      </c>
      <c r="L69" s="3516">
        <v>44593</v>
      </c>
      <c r="M69" s="3494" t="s">
        <v>3793</v>
      </c>
      <c r="N69" s="3507" t="s">
        <v>3837</v>
      </c>
      <c r="O69" s="3546" t="s">
        <v>3867</v>
      </c>
      <c r="P69" s="3516">
        <v>44682</v>
      </c>
      <c r="Q69" s="3487" t="s">
        <v>3761</v>
      </c>
      <c r="R69" s="3484" t="s">
        <v>3762</v>
      </c>
      <c r="S69" s="3547" t="s">
        <v>3746</v>
      </c>
      <c r="T69" s="3482" t="s">
        <v>3747</v>
      </c>
      <c r="U69" s="3482" t="s">
        <v>3748</v>
      </c>
    </row>
    <row r="70" spans="1:21" s="3548" customFormat="1" ht="33.75" hidden="1" customHeight="1">
      <c r="A70" s="3484">
        <v>67</v>
      </c>
      <c r="B70" s="3513" t="s">
        <v>3946</v>
      </c>
      <c r="C70" s="3510" t="s">
        <v>3947</v>
      </c>
      <c r="D70" s="3521">
        <v>187</v>
      </c>
      <c r="E70" s="3511">
        <v>9</v>
      </c>
      <c r="F70" s="3511">
        <v>3</v>
      </c>
      <c r="G70" s="3511">
        <v>614295</v>
      </c>
      <c r="H70" s="3511">
        <v>204765</v>
      </c>
      <c r="I70" s="3490">
        <f t="shared" si="1"/>
        <v>819060</v>
      </c>
      <c r="J70" s="3490">
        <f t="shared" si="2"/>
        <v>12</v>
      </c>
      <c r="K70" s="3515">
        <v>44587</v>
      </c>
      <c r="L70" s="3516">
        <v>44602</v>
      </c>
      <c r="M70" s="3494" t="s">
        <v>3793</v>
      </c>
      <c r="N70" s="3507" t="s">
        <v>3837</v>
      </c>
      <c r="O70" s="3546" t="s">
        <v>3795</v>
      </c>
      <c r="P70" s="3516">
        <v>44713</v>
      </c>
      <c r="Q70" s="3496" t="s">
        <v>3948</v>
      </c>
      <c r="R70" s="3497">
        <v>0.08</v>
      </c>
      <c r="S70" s="3547" t="s">
        <v>3746</v>
      </c>
      <c r="T70" s="3482" t="s">
        <v>3747</v>
      </c>
      <c r="U70" s="3482" t="s">
        <v>3748</v>
      </c>
    </row>
    <row r="71" spans="1:21" s="3548" customFormat="1" ht="33.75" hidden="1" customHeight="1">
      <c r="A71" s="3484">
        <v>68</v>
      </c>
      <c r="B71" s="3513" t="s">
        <v>3765</v>
      </c>
      <c r="C71" s="3510" t="s">
        <v>3949</v>
      </c>
      <c r="D71" s="3521">
        <v>192</v>
      </c>
      <c r="E71" s="3511"/>
      <c r="F71" s="3511">
        <v>5</v>
      </c>
      <c r="G71" s="3511"/>
      <c r="H71" s="3511">
        <v>350400</v>
      </c>
      <c r="I71" s="3490">
        <f t="shared" si="1"/>
        <v>350400</v>
      </c>
      <c r="J71" s="3490">
        <f t="shared" si="2"/>
        <v>5</v>
      </c>
      <c r="K71" s="3515">
        <v>44587</v>
      </c>
      <c r="L71" s="3515">
        <v>44587</v>
      </c>
      <c r="M71" s="3494" t="s">
        <v>3793</v>
      </c>
      <c r="N71" s="3507" t="s">
        <v>3837</v>
      </c>
      <c r="O71" s="3546" t="s">
        <v>3867</v>
      </c>
      <c r="P71" s="3516">
        <v>44682</v>
      </c>
      <c r="Q71" s="3487" t="s">
        <v>3925</v>
      </c>
      <c r="R71" s="3497">
        <v>0.1</v>
      </c>
      <c r="S71" s="3547" t="s">
        <v>3746</v>
      </c>
      <c r="T71" s="3550" t="s">
        <v>3748</v>
      </c>
      <c r="U71" s="3550" t="s">
        <v>3748</v>
      </c>
    </row>
    <row r="72" spans="1:21" s="3548" customFormat="1" ht="33.75" hidden="1" customHeight="1">
      <c r="A72" s="3484">
        <v>69</v>
      </c>
      <c r="B72" s="3513" t="s">
        <v>3950</v>
      </c>
      <c r="C72" s="3554" t="s">
        <v>3951</v>
      </c>
      <c r="D72" s="3521">
        <v>129</v>
      </c>
      <c r="E72" s="3490"/>
      <c r="F72" s="3511">
        <v>5</v>
      </c>
      <c r="G72" s="3490"/>
      <c r="H72" s="3511">
        <v>235425</v>
      </c>
      <c r="I72" s="3490">
        <f>G72+H72</f>
        <v>235425</v>
      </c>
      <c r="J72" s="3490">
        <f t="shared" si="2"/>
        <v>5</v>
      </c>
      <c r="K72" s="3515">
        <v>44617</v>
      </c>
      <c r="L72" s="3486">
        <v>44621</v>
      </c>
      <c r="M72" s="3494" t="s">
        <v>3793</v>
      </c>
      <c r="N72" s="3507" t="s">
        <v>3837</v>
      </c>
      <c r="O72" s="3546" t="s">
        <v>3867</v>
      </c>
      <c r="P72" s="3516">
        <v>44713</v>
      </c>
      <c r="Q72" s="3487" t="s">
        <v>3952</v>
      </c>
      <c r="R72" s="3497">
        <v>0.03</v>
      </c>
      <c r="S72" s="3547" t="s">
        <v>3746</v>
      </c>
      <c r="T72" s="3550" t="s">
        <v>3748</v>
      </c>
      <c r="U72" s="3550" t="s">
        <v>3748</v>
      </c>
    </row>
    <row r="73" spans="1:21" s="3548" customFormat="1" ht="33.75" hidden="1" customHeight="1">
      <c r="A73" s="3484">
        <v>70</v>
      </c>
      <c r="B73" s="3513" t="s">
        <v>3953</v>
      </c>
      <c r="C73" s="3554" t="s">
        <v>3954</v>
      </c>
      <c r="D73" s="3521">
        <v>152</v>
      </c>
      <c r="E73" s="3490">
        <v>5.5</v>
      </c>
      <c r="F73" s="3511">
        <v>3</v>
      </c>
      <c r="G73" s="3511">
        <v>305140</v>
      </c>
      <c r="H73" s="3511">
        <v>166440</v>
      </c>
      <c r="I73" s="3490">
        <f>G73+H73</f>
        <v>471580</v>
      </c>
      <c r="J73" s="3490">
        <f t="shared" si="2"/>
        <v>8.5</v>
      </c>
      <c r="K73" s="3515">
        <v>44620</v>
      </c>
      <c r="L73" s="3486">
        <v>44621</v>
      </c>
      <c r="M73" s="3494" t="s">
        <v>3793</v>
      </c>
      <c r="N73" s="3507" t="s">
        <v>3751</v>
      </c>
      <c r="O73" s="3546" t="s">
        <v>3871</v>
      </c>
      <c r="P73" s="3516">
        <v>44743</v>
      </c>
      <c r="Q73" s="3487" t="s">
        <v>3955</v>
      </c>
      <c r="R73" s="3497">
        <v>0.03</v>
      </c>
      <c r="S73" s="3547" t="s">
        <v>3746</v>
      </c>
      <c r="T73" s="3482" t="s">
        <v>3747</v>
      </c>
      <c r="U73" s="3482" t="s">
        <v>3748</v>
      </c>
    </row>
    <row r="74" spans="1:21" s="3548" customFormat="1" ht="33.75" hidden="1" customHeight="1">
      <c r="A74" s="3484">
        <v>71</v>
      </c>
      <c r="B74" s="3513" t="s">
        <v>3956</v>
      </c>
      <c r="C74" s="3514" t="s">
        <v>3957</v>
      </c>
      <c r="D74" s="3521">
        <v>62</v>
      </c>
      <c r="E74" s="3490"/>
      <c r="F74" s="3511">
        <f>17.3+5</f>
        <v>22.3</v>
      </c>
      <c r="G74" s="3490"/>
      <c r="H74" s="3511">
        <f>360000+9120</f>
        <v>369120</v>
      </c>
      <c r="I74" s="3490">
        <f>G74+H74</f>
        <v>369120</v>
      </c>
      <c r="J74" s="3490">
        <f t="shared" si="2"/>
        <v>22.3</v>
      </c>
      <c r="K74" s="3515">
        <v>44624</v>
      </c>
      <c r="L74" s="3486">
        <v>44635</v>
      </c>
      <c r="M74" s="3494" t="s">
        <v>3793</v>
      </c>
      <c r="N74" s="3507" t="s">
        <v>3898</v>
      </c>
      <c r="O74" s="3555" t="s">
        <v>3958</v>
      </c>
      <c r="P74" s="3516">
        <v>44713</v>
      </c>
      <c r="Q74" s="3487" t="s">
        <v>3959</v>
      </c>
      <c r="R74" s="3497">
        <v>0.02</v>
      </c>
      <c r="S74" s="3547" t="s">
        <v>3901</v>
      </c>
      <c r="T74" s="3550" t="s">
        <v>3902</v>
      </c>
      <c r="U74" s="3550" t="s">
        <v>3902</v>
      </c>
    </row>
    <row r="75" spans="1:21" s="3548" customFormat="1" ht="33.75" hidden="1" customHeight="1">
      <c r="A75" s="3484">
        <v>72</v>
      </c>
      <c r="B75" s="3513" t="s">
        <v>3960</v>
      </c>
      <c r="C75" s="3514" t="s">
        <v>3961</v>
      </c>
      <c r="D75" s="3521">
        <v>53</v>
      </c>
      <c r="E75" s="3490"/>
      <c r="F75" s="3490">
        <v>12.41</v>
      </c>
      <c r="G75" s="3490"/>
      <c r="H75" s="3490">
        <v>240000</v>
      </c>
      <c r="I75" s="3490">
        <f>G75+H75</f>
        <v>240000</v>
      </c>
      <c r="J75" s="3490">
        <f t="shared" si="2"/>
        <v>12.41</v>
      </c>
      <c r="K75" s="3515">
        <v>44628</v>
      </c>
      <c r="L75" s="3486">
        <v>44635</v>
      </c>
      <c r="M75" s="3494" t="s">
        <v>3793</v>
      </c>
      <c r="N75" s="3507" t="s">
        <v>3837</v>
      </c>
      <c r="O75" s="3555" t="s">
        <v>3962</v>
      </c>
      <c r="P75" s="3516">
        <v>44774</v>
      </c>
      <c r="Q75" s="3487" t="s">
        <v>3963</v>
      </c>
      <c r="R75" s="3497">
        <v>0.1</v>
      </c>
      <c r="S75" s="3547" t="s">
        <v>3901</v>
      </c>
      <c r="T75" s="3550" t="s">
        <v>3902</v>
      </c>
      <c r="U75" s="3550" t="s">
        <v>3902</v>
      </c>
    </row>
    <row r="76" spans="1:21" s="3548" customFormat="1" ht="33.75" hidden="1" customHeight="1">
      <c r="A76" s="3484">
        <v>73</v>
      </c>
      <c r="B76" s="3513" t="s">
        <v>3964</v>
      </c>
      <c r="C76" s="3554" t="s">
        <v>3965</v>
      </c>
      <c r="D76" s="3521">
        <v>34</v>
      </c>
      <c r="E76" s="3490"/>
      <c r="F76" s="3511">
        <v>13</v>
      </c>
      <c r="G76" s="3490"/>
      <c r="H76" s="3511">
        <v>161330</v>
      </c>
      <c r="I76" s="3490">
        <f t="shared" ref="I76:I139" si="3">G76+H76</f>
        <v>161330</v>
      </c>
      <c r="J76" s="3490">
        <f t="shared" si="2"/>
        <v>13</v>
      </c>
      <c r="K76" s="3515">
        <v>44634</v>
      </c>
      <c r="L76" s="3556">
        <v>44652</v>
      </c>
      <c r="M76" s="3494" t="s">
        <v>3793</v>
      </c>
      <c r="N76" s="3507" t="s">
        <v>3837</v>
      </c>
      <c r="O76" s="3546" t="s">
        <v>3966</v>
      </c>
      <c r="P76" s="3516">
        <v>44774</v>
      </c>
      <c r="Q76" s="3487" t="s">
        <v>3967</v>
      </c>
      <c r="R76" s="3557">
        <v>7.0000000000000007E-2</v>
      </c>
      <c r="S76" s="3547" t="s">
        <v>3901</v>
      </c>
      <c r="T76" s="3550" t="s">
        <v>3902</v>
      </c>
      <c r="U76" s="3550" t="s">
        <v>3902</v>
      </c>
    </row>
    <row r="77" spans="1:21" s="3548" customFormat="1" ht="33.75" hidden="1" customHeight="1">
      <c r="A77" s="3484">
        <v>74</v>
      </c>
      <c r="B77" s="3513" t="s">
        <v>3968</v>
      </c>
      <c r="C77" s="3554" t="s">
        <v>3969</v>
      </c>
      <c r="D77" s="3521">
        <v>138</v>
      </c>
      <c r="E77" s="3490"/>
      <c r="F77" s="3511">
        <v>4</v>
      </c>
      <c r="G77" s="3490"/>
      <c r="H77" s="3511">
        <v>201480</v>
      </c>
      <c r="I77" s="3490">
        <f t="shared" si="3"/>
        <v>201480</v>
      </c>
      <c r="J77" s="3490">
        <f t="shared" si="2"/>
        <v>4</v>
      </c>
      <c r="K77" s="3515">
        <v>44635</v>
      </c>
      <c r="L77" s="3556">
        <v>44656</v>
      </c>
      <c r="M77" s="3494" t="s">
        <v>3793</v>
      </c>
      <c r="N77" s="3507" t="s">
        <v>3970</v>
      </c>
      <c r="O77" s="3546" t="s">
        <v>3971</v>
      </c>
      <c r="P77" s="3516">
        <v>44805</v>
      </c>
      <c r="Q77" s="3487" t="s">
        <v>3972</v>
      </c>
      <c r="R77" s="3557">
        <v>7.0000000000000007E-2</v>
      </c>
      <c r="S77" s="3547" t="s">
        <v>3901</v>
      </c>
      <c r="T77" s="3550" t="s">
        <v>3902</v>
      </c>
      <c r="U77" s="3550" t="s">
        <v>3902</v>
      </c>
    </row>
    <row r="78" spans="1:21" s="3548" customFormat="1" ht="33.75" hidden="1" customHeight="1">
      <c r="A78" s="3484">
        <v>75</v>
      </c>
      <c r="B78" s="3513" t="s">
        <v>3973</v>
      </c>
      <c r="C78" s="3554" t="s">
        <v>3974</v>
      </c>
      <c r="D78" s="3521">
        <v>68</v>
      </c>
      <c r="E78" s="3511">
        <v>7</v>
      </c>
      <c r="F78" s="3511">
        <v>3</v>
      </c>
      <c r="G78" s="3511">
        <v>173740</v>
      </c>
      <c r="H78" s="3511">
        <v>74460</v>
      </c>
      <c r="I78" s="3490">
        <f t="shared" si="3"/>
        <v>248200</v>
      </c>
      <c r="J78" s="3490">
        <f t="shared" si="2"/>
        <v>10</v>
      </c>
      <c r="K78" s="3515">
        <v>44642</v>
      </c>
      <c r="L78" s="3556">
        <v>44652</v>
      </c>
      <c r="M78" s="3494" t="s">
        <v>3793</v>
      </c>
      <c r="N78" s="3507" t="s">
        <v>3837</v>
      </c>
      <c r="O78" s="3546" t="s">
        <v>3975</v>
      </c>
      <c r="P78" s="3516">
        <v>44743</v>
      </c>
      <c r="Q78" s="3487" t="s">
        <v>3976</v>
      </c>
      <c r="R78" s="3557">
        <v>0.1</v>
      </c>
      <c r="S78" s="3547" t="s">
        <v>3901</v>
      </c>
      <c r="T78" s="3482" t="s">
        <v>3907</v>
      </c>
      <c r="U78" s="3482" t="s">
        <v>3902</v>
      </c>
    </row>
    <row r="79" spans="1:21" s="3548" customFormat="1" ht="33.75" hidden="1" customHeight="1">
      <c r="A79" s="3484">
        <v>76</v>
      </c>
      <c r="B79" s="3513" t="s">
        <v>3977</v>
      </c>
      <c r="C79" s="3554" t="s">
        <v>3978</v>
      </c>
      <c r="D79" s="3521">
        <v>79</v>
      </c>
      <c r="E79" s="3511">
        <v>12</v>
      </c>
      <c r="F79" s="3511">
        <v>3</v>
      </c>
      <c r="G79" s="3511">
        <v>259515</v>
      </c>
      <c r="H79" s="3511">
        <v>86505</v>
      </c>
      <c r="I79" s="3490">
        <f t="shared" si="3"/>
        <v>346020</v>
      </c>
      <c r="J79" s="3490">
        <f t="shared" si="2"/>
        <v>15</v>
      </c>
      <c r="K79" s="3515">
        <v>44701</v>
      </c>
      <c r="L79" s="3556">
        <v>44713</v>
      </c>
      <c r="M79" s="3494" t="s">
        <v>3793</v>
      </c>
      <c r="N79" s="3507" t="s">
        <v>3837</v>
      </c>
      <c r="O79" s="3546" t="s">
        <v>3966</v>
      </c>
      <c r="P79" s="3516">
        <v>44835</v>
      </c>
      <c r="Q79" s="3487" t="s">
        <v>3899</v>
      </c>
      <c r="R79" s="3484" t="s">
        <v>3900</v>
      </c>
      <c r="S79" s="3547" t="s">
        <v>3901</v>
      </c>
      <c r="T79" s="3482" t="s">
        <v>3907</v>
      </c>
      <c r="U79" s="3482" t="s">
        <v>3902</v>
      </c>
    </row>
    <row r="80" spans="1:21" s="3548" customFormat="1" ht="33.75" hidden="1" customHeight="1">
      <c r="A80" s="3484">
        <v>77</v>
      </c>
      <c r="B80" s="3558" t="s">
        <v>3979</v>
      </c>
      <c r="C80" s="3551" t="s">
        <v>3980</v>
      </c>
      <c r="D80" s="3552">
        <v>235</v>
      </c>
      <c r="E80" s="3490">
        <v>6</v>
      </c>
      <c r="F80" s="3490">
        <v>3</v>
      </c>
      <c r="G80" s="3490">
        <v>514650</v>
      </c>
      <c r="H80" s="3490">
        <v>257325</v>
      </c>
      <c r="I80" s="3490">
        <f t="shared" si="3"/>
        <v>771975</v>
      </c>
      <c r="J80" s="3490">
        <f t="shared" si="2"/>
        <v>9</v>
      </c>
      <c r="K80" s="3545">
        <v>44653</v>
      </c>
      <c r="L80" s="3486">
        <v>44682</v>
      </c>
      <c r="M80" s="3494" t="s">
        <v>3793</v>
      </c>
      <c r="N80" s="3507" t="s">
        <v>3898</v>
      </c>
      <c r="O80" s="3546" t="s">
        <v>3981</v>
      </c>
      <c r="P80" s="3516">
        <v>44866</v>
      </c>
      <c r="Q80" s="3487" t="s">
        <v>3982</v>
      </c>
      <c r="R80" s="3557">
        <v>0.05</v>
      </c>
      <c r="S80" s="3547" t="s">
        <v>3901</v>
      </c>
      <c r="T80" s="3482" t="s">
        <v>3907</v>
      </c>
      <c r="U80" s="3482" t="s">
        <v>3902</v>
      </c>
    </row>
    <row r="81" spans="1:21" s="3548" customFormat="1" ht="33.75" hidden="1" customHeight="1">
      <c r="A81" s="3484">
        <v>78</v>
      </c>
      <c r="B81" s="3488" t="s">
        <v>3983</v>
      </c>
      <c r="C81" s="3551" t="s">
        <v>3984</v>
      </c>
      <c r="D81" s="3552">
        <v>238</v>
      </c>
      <c r="E81" s="3490">
        <v>9</v>
      </c>
      <c r="F81" s="3490">
        <v>3</v>
      </c>
      <c r="G81" s="3490">
        <v>781830</v>
      </c>
      <c r="H81" s="3490">
        <v>260610</v>
      </c>
      <c r="I81" s="3490">
        <f t="shared" si="3"/>
        <v>1042440</v>
      </c>
      <c r="J81" s="3490">
        <f t="shared" si="2"/>
        <v>12</v>
      </c>
      <c r="K81" s="3545">
        <v>44659</v>
      </c>
      <c r="L81" s="3486">
        <v>44659</v>
      </c>
      <c r="M81" s="3494" t="s">
        <v>3719</v>
      </c>
      <c r="N81" s="3507" t="s">
        <v>3970</v>
      </c>
      <c r="O81" s="3546" t="s">
        <v>3975</v>
      </c>
      <c r="P81" s="3516">
        <v>44774</v>
      </c>
      <c r="Q81" s="3487" t="s">
        <v>3943</v>
      </c>
      <c r="R81" s="3557">
        <v>2.5000000000000001E-2</v>
      </c>
      <c r="S81" s="3547" t="s">
        <v>3901</v>
      </c>
      <c r="T81" s="3482" t="s">
        <v>3907</v>
      </c>
      <c r="U81" s="3482" t="s">
        <v>3902</v>
      </c>
    </row>
    <row r="82" spans="1:21" s="3548" customFormat="1" ht="33.75" hidden="1" customHeight="1">
      <c r="A82" s="3484">
        <v>79</v>
      </c>
      <c r="B82" s="3520" t="s">
        <v>3985</v>
      </c>
      <c r="C82" s="3551" t="s">
        <v>3986</v>
      </c>
      <c r="D82" s="3552">
        <v>630</v>
      </c>
      <c r="E82" s="3490"/>
      <c r="F82" s="3490">
        <v>4</v>
      </c>
      <c r="G82" s="3490"/>
      <c r="H82" s="3490">
        <v>919800</v>
      </c>
      <c r="I82" s="3490">
        <f t="shared" si="3"/>
        <v>919800</v>
      </c>
      <c r="J82" s="3490">
        <f t="shared" si="2"/>
        <v>4</v>
      </c>
      <c r="K82" s="3545">
        <v>44663</v>
      </c>
      <c r="L82" s="3486">
        <v>44652</v>
      </c>
      <c r="M82" s="3494" t="s">
        <v>3793</v>
      </c>
      <c r="N82" s="3507" t="s">
        <v>3829</v>
      </c>
      <c r="O82" s="3546" t="s">
        <v>3975</v>
      </c>
      <c r="P82" s="3516">
        <v>44896</v>
      </c>
      <c r="Q82" s="3487" t="s">
        <v>3987</v>
      </c>
      <c r="R82" s="3557">
        <v>0.06</v>
      </c>
      <c r="S82" s="3547" t="s">
        <v>3901</v>
      </c>
      <c r="T82" s="3550" t="s">
        <v>3902</v>
      </c>
      <c r="U82" s="3550" t="s">
        <v>3902</v>
      </c>
    </row>
    <row r="83" spans="1:21" s="3548" customFormat="1" ht="33.75" hidden="1" customHeight="1">
      <c r="A83" s="3484">
        <v>80</v>
      </c>
      <c r="B83" s="3559" t="s">
        <v>3988</v>
      </c>
      <c r="C83" s="3551" t="s">
        <v>3989</v>
      </c>
      <c r="D83" s="3552">
        <v>253</v>
      </c>
      <c r="E83" s="3490">
        <v>14</v>
      </c>
      <c r="F83" s="3490">
        <v>3</v>
      </c>
      <c r="G83" s="3490">
        <v>1292830</v>
      </c>
      <c r="H83" s="3490">
        <v>277035</v>
      </c>
      <c r="I83" s="3490">
        <f t="shared" si="3"/>
        <v>1569865</v>
      </c>
      <c r="J83" s="3490">
        <f t="shared" si="2"/>
        <v>17</v>
      </c>
      <c r="K83" s="3545">
        <v>44664</v>
      </c>
      <c r="L83" s="3486">
        <v>44682</v>
      </c>
      <c r="M83" s="3494" t="s">
        <v>3801</v>
      </c>
      <c r="N83" s="3507" t="s">
        <v>3990</v>
      </c>
      <c r="O83" s="3546" t="s">
        <v>3795</v>
      </c>
      <c r="P83" s="3516">
        <v>44805</v>
      </c>
      <c r="Q83" s="3487" t="s">
        <v>3991</v>
      </c>
      <c r="R83" s="3557">
        <v>2.5000000000000001E-2</v>
      </c>
      <c r="S83" s="3547" t="s">
        <v>3911</v>
      </c>
      <c r="T83" s="3482" t="s">
        <v>3912</v>
      </c>
      <c r="U83" s="3482" t="s">
        <v>3912</v>
      </c>
    </row>
    <row r="84" spans="1:21" s="3548" customFormat="1" ht="33.75" hidden="1" customHeight="1">
      <c r="A84" s="3484">
        <v>81</v>
      </c>
      <c r="B84" s="3560" t="s">
        <v>3992</v>
      </c>
      <c r="C84" s="3551" t="s">
        <v>3993</v>
      </c>
      <c r="D84" s="3552">
        <v>172</v>
      </c>
      <c r="E84" s="3490">
        <v>5</v>
      </c>
      <c r="F84" s="3490">
        <v>3</v>
      </c>
      <c r="G84" s="3490">
        <v>313900</v>
      </c>
      <c r="H84" s="3490">
        <v>188340</v>
      </c>
      <c r="I84" s="3490">
        <f t="shared" si="3"/>
        <v>502240</v>
      </c>
      <c r="J84" s="3490">
        <f t="shared" si="2"/>
        <v>8</v>
      </c>
      <c r="K84" s="3545">
        <v>44670</v>
      </c>
      <c r="L84" s="3486">
        <v>44696</v>
      </c>
      <c r="M84" s="3494" t="s">
        <v>3719</v>
      </c>
      <c r="N84" s="3507" t="s">
        <v>3994</v>
      </c>
      <c r="O84" s="3546" t="s">
        <v>3995</v>
      </c>
      <c r="P84" s="3516">
        <v>44910</v>
      </c>
      <c r="Q84" s="3487" t="s">
        <v>3996</v>
      </c>
      <c r="R84" s="3557">
        <v>0.06</v>
      </c>
      <c r="S84" s="3547" t="s">
        <v>3911</v>
      </c>
      <c r="T84" s="3482" t="s">
        <v>3912</v>
      </c>
      <c r="U84" s="3482" t="s">
        <v>3997</v>
      </c>
    </row>
    <row r="85" spans="1:21" s="3548" customFormat="1" ht="33.75" hidden="1" customHeight="1">
      <c r="A85" s="3484">
        <v>82</v>
      </c>
      <c r="B85" s="3560" t="s">
        <v>3998</v>
      </c>
      <c r="C85" s="3551" t="s">
        <v>3993</v>
      </c>
      <c r="D85" s="3552">
        <v>81</v>
      </c>
      <c r="E85" s="3490">
        <v>5</v>
      </c>
      <c r="F85" s="3490">
        <v>3</v>
      </c>
      <c r="G85" s="3490">
        <v>147825</v>
      </c>
      <c r="H85" s="3490">
        <v>88695</v>
      </c>
      <c r="I85" s="3490">
        <f t="shared" si="3"/>
        <v>236520</v>
      </c>
      <c r="J85" s="3490">
        <f t="shared" si="2"/>
        <v>8</v>
      </c>
      <c r="K85" s="3545">
        <v>44670</v>
      </c>
      <c r="L85" s="3486">
        <v>44696</v>
      </c>
      <c r="M85" s="3494" t="s">
        <v>3719</v>
      </c>
      <c r="N85" s="3507" t="s">
        <v>3994</v>
      </c>
      <c r="O85" s="3546" t="s">
        <v>3995</v>
      </c>
      <c r="P85" s="3516">
        <v>44910</v>
      </c>
      <c r="Q85" s="3487" t="s">
        <v>3943</v>
      </c>
      <c r="R85" s="3557">
        <v>2.5000000000000001E-2</v>
      </c>
      <c r="S85" s="3547" t="s">
        <v>3911</v>
      </c>
      <c r="T85" s="3482" t="s">
        <v>3912</v>
      </c>
      <c r="U85" s="3482" t="s">
        <v>3997</v>
      </c>
    </row>
    <row r="86" spans="1:21" s="3548" customFormat="1" ht="33.75" hidden="1" customHeight="1">
      <c r="A86" s="3484">
        <v>83</v>
      </c>
      <c r="B86" s="3560" t="s">
        <v>3999</v>
      </c>
      <c r="C86" s="3551" t="s">
        <v>4000</v>
      </c>
      <c r="D86" s="3552">
        <v>84</v>
      </c>
      <c r="E86" s="3490">
        <v>10</v>
      </c>
      <c r="F86" s="3490">
        <v>3</v>
      </c>
      <c r="G86" s="3490">
        <v>306600</v>
      </c>
      <c r="H86" s="3490">
        <v>91980</v>
      </c>
      <c r="I86" s="3490">
        <f t="shared" si="3"/>
        <v>398580</v>
      </c>
      <c r="J86" s="3490">
        <f t="shared" si="2"/>
        <v>13</v>
      </c>
      <c r="K86" s="3545">
        <v>44725</v>
      </c>
      <c r="L86" s="3486">
        <v>44730</v>
      </c>
      <c r="M86" s="3494" t="s">
        <v>3793</v>
      </c>
      <c r="N86" s="3507" t="s">
        <v>4001</v>
      </c>
      <c r="O86" s="3546" t="s">
        <v>4002</v>
      </c>
      <c r="P86" s="3516">
        <v>44913</v>
      </c>
      <c r="Q86" s="3487" t="s">
        <v>4003</v>
      </c>
      <c r="R86" s="3557">
        <v>3.7999999999999999E-2</v>
      </c>
      <c r="S86" s="3547" t="s">
        <v>3911</v>
      </c>
      <c r="T86" s="3482" t="s">
        <v>3912</v>
      </c>
      <c r="U86" s="3482" t="s">
        <v>3912</v>
      </c>
    </row>
    <row r="87" spans="1:21" s="3571" customFormat="1" ht="33.75" customHeight="1">
      <c r="A87" s="3524">
        <v>84</v>
      </c>
      <c r="B87" s="3561" t="s">
        <v>4208</v>
      </c>
      <c r="C87" s="3562" t="s">
        <v>4004</v>
      </c>
      <c r="D87" s="3563">
        <v>2228</v>
      </c>
      <c r="E87" s="3528"/>
      <c r="F87" s="3528"/>
      <c r="G87" s="3528"/>
      <c r="H87" s="3528"/>
      <c r="I87" s="3528" t="s">
        <v>4005</v>
      </c>
      <c r="J87" s="3528">
        <f t="shared" si="2"/>
        <v>0</v>
      </c>
      <c r="K87" s="3564">
        <v>44743</v>
      </c>
      <c r="L87" s="3565">
        <v>44743</v>
      </c>
      <c r="M87" s="3566" t="s">
        <v>4006</v>
      </c>
      <c r="N87" s="3535" t="s">
        <v>4007</v>
      </c>
      <c r="O87" s="3567"/>
      <c r="P87" s="3565">
        <v>44896</v>
      </c>
      <c r="Q87" s="3528" t="s">
        <v>4005</v>
      </c>
      <c r="R87" s="3568"/>
      <c r="S87" s="3569" t="s">
        <v>3911</v>
      </c>
      <c r="T87" s="3570" t="s">
        <v>3997</v>
      </c>
      <c r="U87" s="3570" t="s">
        <v>3997</v>
      </c>
    </row>
    <row r="88" spans="1:21" s="3548" customFormat="1" ht="33.75" customHeight="1">
      <c r="A88" s="3484">
        <v>85</v>
      </c>
      <c r="B88" s="3558" t="s">
        <v>4008</v>
      </c>
      <c r="C88" s="3554" t="s">
        <v>4009</v>
      </c>
      <c r="D88" s="3521">
        <v>44</v>
      </c>
      <c r="E88" s="3490"/>
      <c r="F88" s="3490">
        <v>10</v>
      </c>
      <c r="G88" s="3490"/>
      <c r="H88" s="3490">
        <v>160600</v>
      </c>
      <c r="I88" s="3490">
        <f t="shared" si="3"/>
        <v>160600</v>
      </c>
      <c r="J88" s="3490">
        <f t="shared" si="2"/>
        <v>10</v>
      </c>
      <c r="K88" s="3515">
        <v>44748</v>
      </c>
      <c r="L88" s="3516">
        <v>44757</v>
      </c>
      <c r="M88" s="3494" t="s">
        <v>3793</v>
      </c>
      <c r="N88" s="3507" t="s">
        <v>4010</v>
      </c>
      <c r="O88" s="3546" t="s">
        <v>4011</v>
      </c>
      <c r="P88" s="3516">
        <v>44866</v>
      </c>
      <c r="Q88" s="3487" t="s">
        <v>4012</v>
      </c>
      <c r="R88" s="3557">
        <v>2.5000000000000001E-2</v>
      </c>
      <c r="S88" s="3547" t="s">
        <v>3911</v>
      </c>
      <c r="T88" s="3550" t="s">
        <v>3997</v>
      </c>
      <c r="U88" s="3550" t="s">
        <v>3997</v>
      </c>
    </row>
    <row r="89" spans="1:21" s="3548" customFormat="1" ht="33.75" customHeight="1">
      <c r="A89" s="3484">
        <v>86</v>
      </c>
      <c r="B89" s="3572" t="s">
        <v>4013</v>
      </c>
      <c r="C89" s="3554" t="s">
        <v>4014</v>
      </c>
      <c r="D89" s="3521">
        <v>54</v>
      </c>
      <c r="E89" s="3511">
        <v>10</v>
      </c>
      <c r="F89" s="3511">
        <v>3</v>
      </c>
      <c r="G89" s="3511">
        <v>197100</v>
      </c>
      <c r="H89" s="3511">
        <v>59130</v>
      </c>
      <c r="I89" s="3490">
        <f t="shared" si="3"/>
        <v>256230</v>
      </c>
      <c r="J89" s="3490">
        <f t="shared" si="2"/>
        <v>13</v>
      </c>
      <c r="K89" s="3515">
        <v>44760</v>
      </c>
      <c r="L89" s="3556">
        <v>44774</v>
      </c>
      <c r="M89" s="3494" t="s">
        <v>3793</v>
      </c>
      <c r="N89" s="3507" t="s">
        <v>4010</v>
      </c>
      <c r="O89" s="3546" t="s">
        <v>4015</v>
      </c>
      <c r="P89" s="3516">
        <v>44896</v>
      </c>
      <c r="Q89" s="3487" t="s">
        <v>4016</v>
      </c>
      <c r="R89" s="3557">
        <v>0.15</v>
      </c>
      <c r="S89" s="3547" t="s">
        <v>3911</v>
      </c>
      <c r="T89" s="3482" t="s">
        <v>3912</v>
      </c>
      <c r="U89" s="3482" t="s">
        <v>3997</v>
      </c>
    </row>
    <row r="90" spans="1:21" s="3548" customFormat="1" ht="33.75" customHeight="1">
      <c r="A90" s="3484">
        <v>87</v>
      </c>
      <c r="B90" s="3572" t="s">
        <v>4017</v>
      </c>
      <c r="C90" s="3554" t="s">
        <v>4018</v>
      </c>
      <c r="D90" s="3521">
        <v>155</v>
      </c>
      <c r="E90" s="3511">
        <v>6</v>
      </c>
      <c r="F90" s="3511">
        <v>3</v>
      </c>
      <c r="G90" s="3511">
        <v>339450</v>
      </c>
      <c r="H90" s="3511">
        <v>169725</v>
      </c>
      <c r="I90" s="3490">
        <f t="shared" si="3"/>
        <v>509175</v>
      </c>
      <c r="J90" s="3490">
        <f t="shared" si="2"/>
        <v>9</v>
      </c>
      <c r="K90" s="3515">
        <v>44790</v>
      </c>
      <c r="L90" s="3556">
        <v>44805</v>
      </c>
      <c r="M90" s="3494" t="s">
        <v>3793</v>
      </c>
      <c r="N90" s="3507" t="s">
        <v>4010</v>
      </c>
      <c r="O90" s="3546" t="s">
        <v>4002</v>
      </c>
      <c r="P90" s="3516">
        <v>44986</v>
      </c>
      <c r="Q90" s="3487" t="s">
        <v>4019</v>
      </c>
      <c r="R90" s="3484" t="s">
        <v>4020</v>
      </c>
      <c r="S90" s="3547" t="s">
        <v>3911</v>
      </c>
      <c r="T90" s="3482" t="s">
        <v>3912</v>
      </c>
      <c r="U90" s="3482" t="s">
        <v>3997</v>
      </c>
    </row>
    <row r="91" spans="1:21" s="3548" customFormat="1" ht="33.75" customHeight="1">
      <c r="A91" s="3484">
        <v>88</v>
      </c>
      <c r="B91" s="3572" t="s">
        <v>4021</v>
      </c>
      <c r="C91" s="3554" t="s">
        <v>4022</v>
      </c>
      <c r="D91" s="3521">
        <v>48</v>
      </c>
      <c r="E91" s="3511">
        <v>5.5</v>
      </c>
      <c r="F91" s="3511">
        <v>3</v>
      </c>
      <c r="G91" s="3511">
        <v>96360</v>
      </c>
      <c r="H91" s="3511">
        <v>52560</v>
      </c>
      <c r="I91" s="3490">
        <f t="shared" si="3"/>
        <v>148920</v>
      </c>
      <c r="J91" s="3490">
        <f t="shared" si="2"/>
        <v>8.5</v>
      </c>
      <c r="K91" s="3515">
        <v>44798</v>
      </c>
      <c r="L91" s="3556">
        <v>44805</v>
      </c>
      <c r="M91" s="3494" t="s">
        <v>3793</v>
      </c>
      <c r="N91" s="3573" t="s">
        <v>4023</v>
      </c>
      <c r="O91" s="3546" t="s">
        <v>4015</v>
      </c>
      <c r="P91" s="3516">
        <v>44927</v>
      </c>
      <c r="Q91" s="3487" t="s">
        <v>4024</v>
      </c>
      <c r="R91" s="3557">
        <v>2.5000000000000001E-2</v>
      </c>
      <c r="S91" s="3547" t="s">
        <v>3911</v>
      </c>
      <c r="T91" s="3482" t="s">
        <v>3912</v>
      </c>
      <c r="U91" s="3482" t="s">
        <v>3997</v>
      </c>
    </row>
    <row r="92" spans="1:21" s="3548" customFormat="1" ht="33.75" customHeight="1">
      <c r="A92" s="3484">
        <v>89</v>
      </c>
      <c r="B92" s="3558" t="s">
        <v>4025</v>
      </c>
      <c r="C92" s="3554" t="s">
        <v>4026</v>
      </c>
      <c r="D92" s="3521">
        <v>113</v>
      </c>
      <c r="E92" s="3511">
        <v>9</v>
      </c>
      <c r="F92" s="3511">
        <v>3</v>
      </c>
      <c r="G92" s="3511">
        <v>371205</v>
      </c>
      <c r="H92" s="3511">
        <v>123735</v>
      </c>
      <c r="I92" s="3490">
        <f t="shared" si="3"/>
        <v>494940</v>
      </c>
      <c r="J92" s="3490">
        <f t="shared" si="2"/>
        <v>12</v>
      </c>
      <c r="K92" s="3515">
        <v>44813</v>
      </c>
      <c r="L92" s="3556">
        <v>44824</v>
      </c>
      <c r="M92" s="3494" t="s">
        <v>3793</v>
      </c>
      <c r="N92" s="3507" t="s">
        <v>4010</v>
      </c>
      <c r="O92" s="3546" t="s">
        <v>4027</v>
      </c>
      <c r="P92" s="3516">
        <v>44915</v>
      </c>
      <c r="Q92" s="3487" t="s">
        <v>4028</v>
      </c>
      <c r="R92" s="3557">
        <v>0.08</v>
      </c>
      <c r="S92" s="3547" t="s">
        <v>3911</v>
      </c>
      <c r="T92" s="3482" t="s">
        <v>3912</v>
      </c>
      <c r="U92" s="3482" t="s">
        <v>3997</v>
      </c>
    </row>
    <row r="93" spans="1:21" s="3548" customFormat="1" ht="33.75" customHeight="1">
      <c r="A93" s="3484">
        <v>90</v>
      </c>
      <c r="B93" s="3518" t="s">
        <v>4029</v>
      </c>
      <c r="C93" s="3554" t="s">
        <v>4030</v>
      </c>
      <c r="D93" s="3521">
        <v>4</v>
      </c>
      <c r="E93" s="3511"/>
      <c r="F93" s="3511">
        <v>2.4700000000000002</v>
      </c>
      <c r="G93" s="3511"/>
      <c r="H93" s="3511">
        <v>3600</v>
      </c>
      <c r="I93" s="3490">
        <f t="shared" si="3"/>
        <v>3600</v>
      </c>
      <c r="J93" s="3490">
        <f t="shared" si="2"/>
        <v>2.4700000000000002</v>
      </c>
      <c r="K93" s="3515">
        <v>44861</v>
      </c>
      <c r="L93" s="3556">
        <v>44866</v>
      </c>
      <c r="M93" s="3494" t="s">
        <v>3793</v>
      </c>
      <c r="N93" s="3507" t="s">
        <v>4031</v>
      </c>
      <c r="O93" s="3546" t="s">
        <v>4032</v>
      </c>
      <c r="P93" s="3516">
        <v>44927</v>
      </c>
      <c r="Q93" s="3487" t="s">
        <v>4019</v>
      </c>
      <c r="R93" s="3484" t="s">
        <v>4020</v>
      </c>
      <c r="S93" s="3547" t="s">
        <v>3911</v>
      </c>
      <c r="T93" s="3550" t="s">
        <v>3997</v>
      </c>
      <c r="U93" s="3550" t="s">
        <v>3997</v>
      </c>
    </row>
    <row r="94" spans="1:21" s="3548" customFormat="1" ht="33.75" customHeight="1">
      <c r="A94" s="3484">
        <v>91</v>
      </c>
      <c r="B94" s="3517" t="s">
        <v>4033</v>
      </c>
      <c r="C94" s="3554" t="s">
        <v>4034</v>
      </c>
      <c r="D94" s="3521">
        <v>296</v>
      </c>
      <c r="E94" s="3511">
        <v>7</v>
      </c>
      <c r="F94" s="3511">
        <v>3</v>
      </c>
      <c r="G94" s="3511">
        <v>756279.96</v>
      </c>
      <c r="H94" s="3511">
        <v>324120</v>
      </c>
      <c r="I94" s="3490">
        <f t="shared" si="3"/>
        <v>1080399.96</v>
      </c>
      <c r="J94" s="3490">
        <f t="shared" si="2"/>
        <v>10</v>
      </c>
      <c r="K94" s="3515">
        <v>44862</v>
      </c>
      <c r="L94" s="3556">
        <v>44866</v>
      </c>
      <c r="M94" s="3494" t="s">
        <v>3793</v>
      </c>
      <c r="N94" s="3507" t="s">
        <v>3808</v>
      </c>
      <c r="O94" s="3546" t="s">
        <v>4035</v>
      </c>
      <c r="P94" s="3516">
        <v>44986</v>
      </c>
      <c r="Q94" s="3487" t="s">
        <v>4036</v>
      </c>
      <c r="R94" s="3557">
        <v>0.05</v>
      </c>
      <c r="S94" s="3547" t="s">
        <v>3911</v>
      </c>
      <c r="T94" s="3482" t="s">
        <v>3997</v>
      </c>
      <c r="U94" s="3482" t="s">
        <v>3997</v>
      </c>
    </row>
    <row r="95" spans="1:21" s="3548" customFormat="1" ht="33.75" customHeight="1">
      <c r="A95" s="3484">
        <v>92</v>
      </c>
      <c r="B95" s="3518" t="s">
        <v>4037</v>
      </c>
      <c r="C95" s="3554" t="s">
        <v>4038</v>
      </c>
      <c r="D95" s="3521">
        <v>130</v>
      </c>
      <c r="E95" s="3511"/>
      <c r="F95" s="3511">
        <v>5</v>
      </c>
      <c r="G95" s="3511"/>
      <c r="H95" s="3511">
        <v>237250</v>
      </c>
      <c r="I95" s="3490">
        <f t="shared" si="3"/>
        <v>237250</v>
      </c>
      <c r="J95" s="3490">
        <f t="shared" si="2"/>
        <v>5</v>
      </c>
      <c r="K95" s="3515">
        <v>44903</v>
      </c>
      <c r="L95" s="3556">
        <v>44927</v>
      </c>
      <c r="M95" s="3494" t="s">
        <v>3793</v>
      </c>
      <c r="N95" s="3507" t="s">
        <v>4039</v>
      </c>
      <c r="O95" s="3546" t="s">
        <v>4040</v>
      </c>
      <c r="P95" s="3516">
        <v>45078</v>
      </c>
      <c r="Q95" s="3487" t="s">
        <v>4019</v>
      </c>
      <c r="R95" s="3484" t="s">
        <v>4020</v>
      </c>
      <c r="S95" s="3547" t="s">
        <v>3911</v>
      </c>
      <c r="T95" s="3550" t="s">
        <v>3997</v>
      </c>
      <c r="U95" s="3550" t="s">
        <v>3997</v>
      </c>
    </row>
    <row r="96" spans="1:21" s="3548" customFormat="1" ht="33.75" customHeight="1">
      <c r="A96" s="3484">
        <v>93</v>
      </c>
      <c r="B96" s="3572" t="s">
        <v>4041</v>
      </c>
      <c r="C96" s="3554" t="s">
        <v>4042</v>
      </c>
      <c r="D96" s="3521">
        <v>27</v>
      </c>
      <c r="E96" s="3511">
        <v>17</v>
      </c>
      <c r="F96" s="3511">
        <v>3</v>
      </c>
      <c r="G96" s="3511">
        <v>167535</v>
      </c>
      <c r="H96" s="3511">
        <v>29565</v>
      </c>
      <c r="I96" s="3490">
        <f t="shared" si="3"/>
        <v>197100</v>
      </c>
      <c r="J96" s="3490">
        <f t="shared" si="2"/>
        <v>20</v>
      </c>
      <c r="K96" s="3545">
        <v>44932</v>
      </c>
      <c r="L96" s="3486">
        <v>44958</v>
      </c>
      <c r="M96" s="3494" t="s">
        <v>3793</v>
      </c>
      <c r="N96" s="3507" t="s">
        <v>4010</v>
      </c>
      <c r="O96" s="3546" t="s">
        <v>4040</v>
      </c>
      <c r="P96" s="3516">
        <v>45108</v>
      </c>
      <c r="Q96" s="3487" t="s">
        <v>4019</v>
      </c>
      <c r="R96" s="3484" t="s">
        <v>4020</v>
      </c>
      <c r="S96" s="3547" t="s">
        <v>3911</v>
      </c>
      <c r="T96" s="3482" t="s">
        <v>3997</v>
      </c>
      <c r="U96" s="3482" t="s">
        <v>3997</v>
      </c>
    </row>
    <row r="97" spans="1:21" s="3548" customFormat="1" ht="33.75" customHeight="1">
      <c r="A97" s="3484">
        <v>94</v>
      </c>
      <c r="B97" s="3572" t="s">
        <v>4043</v>
      </c>
      <c r="C97" s="3514" t="s">
        <v>4044</v>
      </c>
      <c r="D97" s="3521">
        <v>240</v>
      </c>
      <c r="E97" s="3511"/>
      <c r="F97" s="3511">
        <v>5</v>
      </c>
      <c r="G97" s="3511"/>
      <c r="H97" s="3511">
        <v>43800</v>
      </c>
      <c r="I97" s="3490">
        <f t="shared" si="3"/>
        <v>43800</v>
      </c>
      <c r="J97" s="3490">
        <f t="shared" si="2"/>
        <v>5</v>
      </c>
      <c r="K97" s="3545">
        <v>44967</v>
      </c>
      <c r="L97" s="3486">
        <v>44986</v>
      </c>
      <c r="M97" s="3494" t="s">
        <v>3793</v>
      </c>
      <c r="N97" s="3507" t="s">
        <v>4010</v>
      </c>
      <c r="O97" s="3546" t="s">
        <v>4032</v>
      </c>
      <c r="P97" s="3516">
        <v>45200</v>
      </c>
      <c r="Q97" s="3487" t="s">
        <v>4045</v>
      </c>
      <c r="R97" s="3557">
        <v>0.1</v>
      </c>
      <c r="S97" s="3547" t="s">
        <v>3911</v>
      </c>
      <c r="T97" s="3550" t="s">
        <v>3997</v>
      </c>
      <c r="U97" s="3550" t="s">
        <v>3997</v>
      </c>
    </row>
    <row r="98" spans="1:21" s="3548" customFormat="1" ht="33.75" customHeight="1">
      <c r="A98" s="3484">
        <v>95</v>
      </c>
      <c r="B98" s="3558" t="s">
        <v>4046</v>
      </c>
      <c r="C98" s="3574" t="s">
        <v>4047</v>
      </c>
      <c r="D98" s="3521">
        <v>97</v>
      </c>
      <c r="E98" s="3511">
        <v>3</v>
      </c>
      <c r="F98" s="3511">
        <v>3</v>
      </c>
      <c r="G98" s="3511">
        <v>106215</v>
      </c>
      <c r="H98" s="3511">
        <v>106215</v>
      </c>
      <c r="I98" s="3490">
        <f t="shared" si="3"/>
        <v>212430</v>
      </c>
      <c r="J98" s="3490">
        <f t="shared" si="2"/>
        <v>6</v>
      </c>
      <c r="K98" s="3515">
        <v>45007</v>
      </c>
      <c r="L98" s="3516">
        <v>45031</v>
      </c>
      <c r="M98" s="3494" t="s">
        <v>3793</v>
      </c>
      <c r="N98" s="3507" t="s">
        <v>4039</v>
      </c>
      <c r="O98" s="3546" t="s">
        <v>4048</v>
      </c>
      <c r="P98" s="3516">
        <v>45200</v>
      </c>
      <c r="Q98" s="3487" t="s">
        <v>4049</v>
      </c>
      <c r="R98" s="3550"/>
      <c r="S98" s="3547" t="s">
        <v>3911</v>
      </c>
      <c r="T98" s="3550" t="s">
        <v>3997</v>
      </c>
      <c r="U98" s="3550" t="s">
        <v>3997</v>
      </c>
    </row>
    <row r="99" spans="1:21" s="3548" customFormat="1" ht="33.75" customHeight="1">
      <c r="A99" s="3484">
        <v>96</v>
      </c>
      <c r="B99" s="3558" t="s">
        <v>4050</v>
      </c>
      <c r="C99" s="3574" t="s">
        <v>4051</v>
      </c>
      <c r="D99" s="3521">
        <v>83</v>
      </c>
      <c r="E99" s="3511">
        <v>10</v>
      </c>
      <c r="F99" s="3511">
        <v>3</v>
      </c>
      <c r="G99" s="3511">
        <v>302950</v>
      </c>
      <c r="H99" s="3511">
        <v>90885</v>
      </c>
      <c r="I99" s="3490">
        <f t="shared" si="3"/>
        <v>393835</v>
      </c>
      <c r="J99" s="3490">
        <f t="shared" si="2"/>
        <v>13</v>
      </c>
      <c r="K99" s="3515">
        <v>45007</v>
      </c>
      <c r="L99" s="3516">
        <v>45031</v>
      </c>
      <c r="M99" s="3494" t="s">
        <v>3793</v>
      </c>
      <c r="N99" s="3507" t="s">
        <v>4039</v>
      </c>
      <c r="O99" s="3546" t="s">
        <v>4048</v>
      </c>
      <c r="P99" s="3516">
        <v>45200</v>
      </c>
      <c r="Q99" s="3487" t="s">
        <v>4049</v>
      </c>
      <c r="R99" s="3557">
        <v>4.2500000000000003E-2</v>
      </c>
      <c r="S99" s="3547" t="s">
        <v>3911</v>
      </c>
      <c r="T99" s="3550" t="s">
        <v>3997</v>
      </c>
      <c r="U99" s="3550" t="s">
        <v>3997</v>
      </c>
    </row>
    <row r="100" spans="1:21" s="3548" customFormat="1" ht="33.75" customHeight="1">
      <c r="A100" s="3484">
        <v>97</v>
      </c>
      <c r="B100" s="3513" t="s">
        <v>4052</v>
      </c>
      <c r="C100" s="3575" t="s">
        <v>4053</v>
      </c>
      <c r="D100" s="3521">
        <v>174</v>
      </c>
      <c r="E100" s="3511">
        <v>3</v>
      </c>
      <c r="F100" s="3511">
        <v>3</v>
      </c>
      <c r="G100" s="3511">
        <v>190530</v>
      </c>
      <c r="H100" s="3511">
        <v>190530</v>
      </c>
      <c r="I100" s="3490">
        <f t="shared" si="3"/>
        <v>381060</v>
      </c>
      <c r="J100" s="3490">
        <f t="shared" si="2"/>
        <v>6</v>
      </c>
      <c r="K100" s="3515">
        <v>45016</v>
      </c>
      <c r="L100" s="3516">
        <v>45016</v>
      </c>
      <c r="M100" s="3494" t="s">
        <v>3793</v>
      </c>
      <c r="N100" s="3507" t="s">
        <v>4039</v>
      </c>
      <c r="O100" s="3546"/>
      <c r="P100" s="3516">
        <v>45200</v>
      </c>
      <c r="Q100" s="3487" t="s">
        <v>4049</v>
      </c>
      <c r="R100" s="3497">
        <v>0.08</v>
      </c>
      <c r="S100" s="3547" t="s">
        <v>3911</v>
      </c>
      <c r="T100" s="3550" t="s">
        <v>3997</v>
      </c>
      <c r="U100" s="3550" t="s">
        <v>3997</v>
      </c>
    </row>
    <row r="101" spans="1:21" s="3548" customFormat="1" ht="33.75" customHeight="1">
      <c r="A101" s="3484">
        <v>98</v>
      </c>
      <c r="B101" s="3510" t="s">
        <v>4054</v>
      </c>
      <c r="C101" s="3574" t="s">
        <v>4055</v>
      </c>
      <c r="D101" s="3521">
        <v>18</v>
      </c>
      <c r="E101" s="3511">
        <v>18.260000000000002</v>
      </c>
      <c r="F101" s="3511"/>
      <c r="G101" s="3511">
        <v>120000</v>
      </c>
      <c r="H101" s="3511"/>
      <c r="I101" s="3490">
        <f t="shared" si="3"/>
        <v>120000</v>
      </c>
      <c r="J101" s="3490">
        <f t="shared" si="2"/>
        <v>18.260000000000002</v>
      </c>
      <c r="K101" s="3515">
        <v>45019</v>
      </c>
      <c r="L101" s="3516">
        <v>45047</v>
      </c>
      <c r="M101" s="3494" t="s">
        <v>3793</v>
      </c>
      <c r="N101" s="3507" t="s">
        <v>4056</v>
      </c>
      <c r="O101" s="3546" t="s">
        <v>4048</v>
      </c>
      <c r="P101" s="3516">
        <v>45200</v>
      </c>
      <c r="Q101" s="3487" t="s">
        <v>4019</v>
      </c>
      <c r="R101" s="3576"/>
      <c r="S101" s="3547" t="s">
        <v>3911</v>
      </c>
      <c r="T101" s="3550" t="s">
        <v>3997</v>
      </c>
      <c r="U101" s="3550" t="s">
        <v>3997</v>
      </c>
    </row>
    <row r="102" spans="1:21" s="3548" customFormat="1" ht="33.75" customHeight="1">
      <c r="A102" s="3484">
        <v>99</v>
      </c>
      <c r="B102" s="3558" t="s">
        <v>4057</v>
      </c>
      <c r="C102" s="3574" t="s">
        <v>4058</v>
      </c>
      <c r="D102" s="3521">
        <v>200</v>
      </c>
      <c r="E102" s="3511">
        <v>2</v>
      </c>
      <c r="F102" s="3511">
        <v>3</v>
      </c>
      <c r="G102" s="3511">
        <v>146000</v>
      </c>
      <c r="H102" s="3511">
        <v>219000</v>
      </c>
      <c r="I102" s="3490">
        <f t="shared" si="3"/>
        <v>365000</v>
      </c>
      <c r="J102" s="3490">
        <f t="shared" si="2"/>
        <v>5</v>
      </c>
      <c r="K102" s="3515">
        <v>45022</v>
      </c>
      <c r="L102" s="3556">
        <v>45078</v>
      </c>
      <c r="M102" s="3517" t="s">
        <v>4059</v>
      </c>
      <c r="N102" s="3507" t="s">
        <v>4010</v>
      </c>
      <c r="O102" s="3546" t="s">
        <v>4048</v>
      </c>
      <c r="P102" s="3516">
        <v>45200</v>
      </c>
      <c r="Q102" s="3487" t="s">
        <v>4060</v>
      </c>
      <c r="R102" s="3497">
        <v>0.1</v>
      </c>
      <c r="S102" s="3547" t="s">
        <v>3911</v>
      </c>
      <c r="T102" s="3550" t="s">
        <v>3997</v>
      </c>
      <c r="U102" s="3550" t="s">
        <v>3997</v>
      </c>
    </row>
    <row r="103" spans="1:21" s="3548" customFormat="1" ht="33.75" customHeight="1">
      <c r="A103" s="3484">
        <v>100</v>
      </c>
      <c r="B103" s="3510" t="s">
        <v>4061</v>
      </c>
      <c r="C103" s="3574" t="s">
        <v>4062</v>
      </c>
      <c r="D103" s="3514">
        <v>3</v>
      </c>
      <c r="E103" s="3511"/>
      <c r="F103" s="3511">
        <v>10.96</v>
      </c>
      <c r="G103" s="3511"/>
      <c r="H103" s="3511">
        <v>12000</v>
      </c>
      <c r="I103" s="3490">
        <f t="shared" si="3"/>
        <v>12000</v>
      </c>
      <c r="J103" s="3490">
        <f t="shared" si="2"/>
        <v>10.96</v>
      </c>
      <c r="K103" s="3515">
        <v>45029</v>
      </c>
      <c r="L103" s="3556">
        <v>45034</v>
      </c>
      <c r="M103" s="3517" t="s">
        <v>4059</v>
      </c>
      <c r="N103" s="3507" t="s">
        <v>4056</v>
      </c>
      <c r="O103" s="3555"/>
      <c r="P103" s="3516">
        <v>45038</v>
      </c>
      <c r="Q103" s="3487" t="s">
        <v>4019</v>
      </c>
      <c r="R103" s="3550"/>
      <c r="S103" s="3547" t="s">
        <v>3911</v>
      </c>
      <c r="T103" s="3550" t="s">
        <v>3997</v>
      </c>
      <c r="U103" s="3550" t="s">
        <v>3997</v>
      </c>
    </row>
    <row r="104" spans="1:21" s="3548" customFormat="1" ht="33.75" customHeight="1">
      <c r="A104" s="3484">
        <v>101</v>
      </c>
      <c r="B104" s="3510" t="s">
        <v>4063</v>
      </c>
      <c r="C104" s="3574" t="s">
        <v>4064</v>
      </c>
      <c r="D104" s="3514">
        <v>20</v>
      </c>
      <c r="E104" s="3511"/>
      <c r="F104" s="3511">
        <v>6.58</v>
      </c>
      <c r="G104" s="3511"/>
      <c r="H104" s="3511">
        <v>48000</v>
      </c>
      <c r="I104" s="3490">
        <f t="shared" si="3"/>
        <v>48000</v>
      </c>
      <c r="J104" s="3490">
        <f t="shared" si="2"/>
        <v>6.58</v>
      </c>
      <c r="K104" s="3515">
        <v>45033</v>
      </c>
      <c r="L104" s="3556">
        <v>45047</v>
      </c>
      <c r="M104" s="3517" t="s">
        <v>4059</v>
      </c>
      <c r="N104" s="3507" t="s">
        <v>4056</v>
      </c>
      <c r="O104" s="3555"/>
      <c r="P104" s="3516">
        <v>45047</v>
      </c>
      <c r="Q104" s="3487" t="s">
        <v>4019</v>
      </c>
      <c r="R104" s="3550"/>
      <c r="S104" s="3547" t="s">
        <v>3911</v>
      </c>
      <c r="T104" s="3550" t="s">
        <v>3997</v>
      </c>
      <c r="U104" s="3550" t="s">
        <v>3997</v>
      </c>
    </row>
    <row r="105" spans="1:21" s="3548" customFormat="1" ht="33.75" customHeight="1">
      <c r="A105" s="3484">
        <v>102</v>
      </c>
      <c r="B105" s="3558" t="s">
        <v>4065</v>
      </c>
      <c r="C105" s="3574" t="s">
        <v>4066</v>
      </c>
      <c r="D105" s="3514">
        <v>11</v>
      </c>
      <c r="E105" s="3511"/>
      <c r="F105" s="3511">
        <v>5</v>
      </c>
      <c r="G105" s="3511"/>
      <c r="H105" s="3511">
        <v>20075.04</v>
      </c>
      <c r="I105" s="3490">
        <f t="shared" si="3"/>
        <v>20075.04</v>
      </c>
      <c r="J105" s="3490">
        <f t="shared" si="2"/>
        <v>5</v>
      </c>
      <c r="K105" s="3515">
        <v>45036</v>
      </c>
      <c r="L105" s="3556">
        <v>44910</v>
      </c>
      <c r="M105" s="3494" t="s">
        <v>3793</v>
      </c>
      <c r="N105" s="3507" t="s">
        <v>4039</v>
      </c>
      <c r="O105" s="3555" t="s">
        <v>4015</v>
      </c>
      <c r="P105" s="3516">
        <v>45031</v>
      </c>
      <c r="Q105" s="3487" t="s">
        <v>4019</v>
      </c>
      <c r="R105" s="3550"/>
      <c r="S105" s="3547" t="s">
        <v>3911</v>
      </c>
      <c r="T105" s="3550" t="s">
        <v>3997</v>
      </c>
      <c r="U105" s="3550" t="s">
        <v>3997</v>
      </c>
    </row>
    <row r="106" spans="1:21" s="3548" customFormat="1" ht="33.75" customHeight="1">
      <c r="A106" s="3484">
        <v>103</v>
      </c>
      <c r="B106" s="3510" t="s">
        <v>4067</v>
      </c>
      <c r="C106" s="3574" t="s">
        <v>4068</v>
      </c>
      <c r="D106" s="3514">
        <v>3</v>
      </c>
      <c r="E106" s="3511"/>
      <c r="F106" s="3511">
        <v>8.76</v>
      </c>
      <c r="G106" s="3511"/>
      <c r="H106" s="3511">
        <v>9600</v>
      </c>
      <c r="I106" s="3490">
        <f t="shared" si="3"/>
        <v>9600</v>
      </c>
      <c r="J106" s="3490">
        <f t="shared" si="2"/>
        <v>8.76</v>
      </c>
      <c r="K106" s="3515">
        <v>45036</v>
      </c>
      <c r="L106" s="3556">
        <v>45046</v>
      </c>
      <c r="M106" s="3517" t="s">
        <v>4069</v>
      </c>
      <c r="N106" s="3577" t="s">
        <v>4070</v>
      </c>
      <c r="O106" s="3555"/>
      <c r="P106" s="3516">
        <v>45047</v>
      </c>
      <c r="Q106" s="3487" t="s">
        <v>4019</v>
      </c>
      <c r="R106" s="3550"/>
      <c r="S106" s="3547" t="s">
        <v>3911</v>
      </c>
      <c r="T106" s="3550" t="s">
        <v>3997</v>
      </c>
      <c r="U106" s="3550" t="s">
        <v>3997</v>
      </c>
    </row>
    <row r="107" spans="1:21" s="3548" customFormat="1" ht="33.75" customHeight="1">
      <c r="A107" s="3484">
        <v>104</v>
      </c>
      <c r="B107" s="3510" t="s">
        <v>4071</v>
      </c>
      <c r="C107" s="3574" t="s">
        <v>4072</v>
      </c>
      <c r="D107" s="3514">
        <v>2</v>
      </c>
      <c r="E107" s="3511"/>
      <c r="F107" s="3511">
        <v>13.7</v>
      </c>
      <c r="G107" s="3511"/>
      <c r="H107" s="3511">
        <v>10000</v>
      </c>
      <c r="I107" s="3490">
        <f t="shared" si="3"/>
        <v>10000</v>
      </c>
      <c r="J107" s="3490">
        <f t="shared" si="2"/>
        <v>13.7</v>
      </c>
      <c r="K107" s="3515">
        <v>45030</v>
      </c>
      <c r="L107" s="3556">
        <v>44927</v>
      </c>
      <c r="M107" s="3517" t="s">
        <v>4073</v>
      </c>
      <c r="N107" s="3507" t="s">
        <v>4056</v>
      </c>
      <c r="O107" s="3555"/>
      <c r="P107" s="3516">
        <v>44927</v>
      </c>
      <c r="Q107" s="3487" t="s">
        <v>4019</v>
      </c>
      <c r="R107" s="3550"/>
      <c r="S107" s="3547" t="s">
        <v>3911</v>
      </c>
      <c r="T107" s="3550" t="s">
        <v>3997</v>
      </c>
      <c r="U107" s="3550" t="s">
        <v>3997</v>
      </c>
    </row>
    <row r="108" spans="1:21" s="3548" customFormat="1" ht="33.75" customHeight="1">
      <c r="A108" s="3484">
        <v>105</v>
      </c>
      <c r="B108" s="3510" t="s">
        <v>4074</v>
      </c>
      <c r="C108" s="3574" t="s">
        <v>4072</v>
      </c>
      <c r="D108" s="3521">
        <v>2</v>
      </c>
      <c r="E108" s="3511"/>
      <c r="F108" s="3511">
        <v>13.7</v>
      </c>
      <c r="G108" s="3511"/>
      <c r="H108" s="3511">
        <v>10000</v>
      </c>
      <c r="I108" s="3490">
        <f t="shared" si="3"/>
        <v>10000</v>
      </c>
      <c r="J108" s="3490">
        <f t="shared" si="2"/>
        <v>13.7</v>
      </c>
      <c r="K108" s="3515">
        <v>45044</v>
      </c>
      <c r="L108" s="3516"/>
      <c r="M108" s="3517" t="s">
        <v>4073</v>
      </c>
      <c r="N108" s="3573">
        <v>1</v>
      </c>
      <c r="O108" s="3555"/>
      <c r="P108" s="3516">
        <v>44927</v>
      </c>
      <c r="Q108" s="3487" t="s">
        <v>4019</v>
      </c>
      <c r="R108" s="3550"/>
      <c r="S108" s="3547" t="s">
        <v>3911</v>
      </c>
      <c r="T108" s="3550" t="s">
        <v>3997</v>
      </c>
      <c r="U108" s="3550" t="s">
        <v>3997</v>
      </c>
    </row>
    <row r="109" spans="1:21" s="3548" customFormat="1" ht="33.75" customHeight="1">
      <c r="A109" s="3484">
        <v>106</v>
      </c>
      <c r="B109" s="3510" t="s">
        <v>4075</v>
      </c>
      <c r="C109" s="3574" t="s">
        <v>4076</v>
      </c>
      <c r="D109" s="3514">
        <v>214</v>
      </c>
      <c r="E109" s="3511">
        <v>6</v>
      </c>
      <c r="F109" s="3511">
        <v>3</v>
      </c>
      <c r="G109" s="3511">
        <v>468660</v>
      </c>
      <c r="H109" s="3511">
        <v>234330</v>
      </c>
      <c r="I109" s="3490">
        <f t="shared" si="3"/>
        <v>702990</v>
      </c>
      <c r="J109" s="3490">
        <f t="shared" si="2"/>
        <v>9</v>
      </c>
      <c r="K109" s="3515">
        <v>45051</v>
      </c>
      <c r="L109" s="3516">
        <v>45078</v>
      </c>
      <c r="M109" s="3517" t="s">
        <v>4059</v>
      </c>
      <c r="N109" s="3573">
        <v>3</v>
      </c>
      <c r="O109" s="3555">
        <v>1</v>
      </c>
      <c r="P109" s="3516">
        <v>45108</v>
      </c>
      <c r="Q109" s="3487"/>
      <c r="R109" s="3550"/>
      <c r="S109" s="3547" t="s">
        <v>3911</v>
      </c>
      <c r="T109" s="3550" t="s">
        <v>3997</v>
      </c>
      <c r="U109" s="3550" t="s">
        <v>3997</v>
      </c>
    </row>
    <row r="110" spans="1:21" s="3548" customFormat="1" ht="33.75" customHeight="1">
      <c r="A110" s="3484">
        <v>107</v>
      </c>
      <c r="B110" s="3510" t="s">
        <v>4077</v>
      </c>
      <c r="C110" s="3574" t="s">
        <v>4078</v>
      </c>
      <c r="D110" s="3514">
        <v>145</v>
      </c>
      <c r="E110" s="3511">
        <v>5</v>
      </c>
      <c r="F110" s="3511">
        <v>3</v>
      </c>
      <c r="G110" s="3511">
        <v>264625</v>
      </c>
      <c r="H110" s="3511">
        <v>158775</v>
      </c>
      <c r="I110" s="3490">
        <f t="shared" si="3"/>
        <v>423400</v>
      </c>
      <c r="J110" s="3490">
        <f t="shared" si="2"/>
        <v>8</v>
      </c>
      <c r="K110" s="3515">
        <v>45047</v>
      </c>
      <c r="L110" s="3516">
        <v>45078</v>
      </c>
      <c r="M110" s="3517" t="s">
        <v>4079</v>
      </c>
      <c r="N110" s="3573">
        <v>3</v>
      </c>
      <c r="O110" s="3555">
        <v>1</v>
      </c>
      <c r="P110" s="3516">
        <v>45200</v>
      </c>
      <c r="Q110" s="3487"/>
      <c r="R110" s="3550"/>
      <c r="S110" s="3547" t="s">
        <v>3746</v>
      </c>
      <c r="T110" s="3550" t="s">
        <v>3748</v>
      </c>
      <c r="U110" s="3550" t="s">
        <v>3748</v>
      </c>
    </row>
    <row r="111" spans="1:21" s="3548" customFormat="1" ht="33.75" customHeight="1">
      <c r="A111" s="3484">
        <v>108</v>
      </c>
      <c r="B111" s="3510" t="s">
        <v>4080</v>
      </c>
      <c r="C111" s="3574" t="s">
        <v>4081</v>
      </c>
      <c r="D111" s="3514">
        <v>83</v>
      </c>
      <c r="E111" s="3511">
        <v>5</v>
      </c>
      <c r="F111" s="3511">
        <v>3</v>
      </c>
      <c r="G111" s="3511">
        <v>151475</v>
      </c>
      <c r="H111" s="3511">
        <v>90885</v>
      </c>
      <c r="I111" s="3490">
        <f t="shared" si="3"/>
        <v>242360</v>
      </c>
      <c r="J111" s="3490">
        <f t="shared" si="2"/>
        <v>8</v>
      </c>
      <c r="K111" s="3515">
        <v>45057</v>
      </c>
      <c r="L111" s="3516">
        <v>45078</v>
      </c>
      <c r="M111" s="3517" t="s">
        <v>4082</v>
      </c>
      <c r="N111" s="3573">
        <v>3</v>
      </c>
      <c r="O111" s="3555">
        <v>1</v>
      </c>
      <c r="P111" s="3516">
        <v>45108</v>
      </c>
      <c r="Q111" s="3487"/>
      <c r="R111" s="3550"/>
      <c r="S111" s="3547" t="s">
        <v>3746</v>
      </c>
      <c r="T111" s="3550" t="s">
        <v>3748</v>
      </c>
      <c r="U111" s="3550" t="s">
        <v>3748</v>
      </c>
    </row>
    <row r="112" spans="1:21" s="3548" customFormat="1" ht="33.75" customHeight="1">
      <c r="A112" s="3484">
        <v>109</v>
      </c>
      <c r="B112" s="3510" t="s">
        <v>4083</v>
      </c>
      <c r="C112" s="3574" t="s">
        <v>4084</v>
      </c>
      <c r="D112" s="3578" t="s">
        <v>4085</v>
      </c>
      <c r="E112" s="3511"/>
      <c r="F112" s="3511"/>
      <c r="G112" s="3511">
        <v>100000</v>
      </c>
      <c r="H112" s="3511"/>
      <c r="I112" s="3490">
        <f t="shared" si="3"/>
        <v>100000</v>
      </c>
      <c r="J112" s="3490">
        <f t="shared" si="2"/>
        <v>0</v>
      </c>
      <c r="K112" s="3515">
        <v>45058</v>
      </c>
      <c r="L112" s="3516"/>
      <c r="M112" s="3517" t="s">
        <v>4086</v>
      </c>
      <c r="N112" s="3573">
        <v>1</v>
      </c>
      <c r="O112" s="3555"/>
      <c r="P112" s="3516">
        <v>45047</v>
      </c>
      <c r="Q112" s="3487"/>
      <c r="R112" s="3550"/>
      <c r="S112" s="3547" t="s">
        <v>3746</v>
      </c>
      <c r="T112" s="3550" t="s">
        <v>3748</v>
      </c>
      <c r="U112" s="3550" t="s">
        <v>3748</v>
      </c>
    </row>
    <row r="113" spans="1:21" s="3548" customFormat="1" ht="33.75" customHeight="1">
      <c r="A113" s="3484">
        <v>110</v>
      </c>
      <c r="B113" s="3510" t="s">
        <v>4087</v>
      </c>
      <c r="C113" s="3574" t="s">
        <v>4088</v>
      </c>
      <c r="D113" s="3514">
        <v>240</v>
      </c>
      <c r="E113" s="3511">
        <v>4.5</v>
      </c>
      <c r="F113" s="3511">
        <v>3</v>
      </c>
      <c r="G113" s="3511">
        <v>394200</v>
      </c>
      <c r="H113" s="3511">
        <v>262800</v>
      </c>
      <c r="I113" s="3490">
        <f t="shared" si="3"/>
        <v>657000</v>
      </c>
      <c r="J113" s="3490">
        <f t="shared" si="2"/>
        <v>7.5</v>
      </c>
      <c r="K113" s="3515">
        <v>45066</v>
      </c>
      <c r="L113" s="3516">
        <v>45078</v>
      </c>
      <c r="M113" s="3517" t="s">
        <v>4089</v>
      </c>
      <c r="N113" s="3573">
        <v>3</v>
      </c>
      <c r="O113" s="3555">
        <v>2</v>
      </c>
      <c r="P113" s="3516">
        <v>45200</v>
      </c>
      <c r="Q113" s="3487"/>
      <c r="R113" s="3550"/>
      <c r="S113" s="3547" t="s">
        <v>4090</v>
      </c>
      <c r="T113" s="3550" t="s">
        <v>4091</v>
      </c>
      <c r="U113" s="3550" t="s">
        <v>4091</v>
      </c>
    </row>
    <row r="114" spans="1:21" s="3548" customFormat="1" ht="33.75" customHeight="1">
      <c r="A114" s="3484">
        <v>111</v>
      </c>
      <c r="B114" s="3510" t="s">
        <v>4092</v>
      </c>
      <c r="C114" s="3554" t="s">
        <v>4093</v>
      </c>
      <c r="D114" s="3514">
        <v>290</v>
      </c>
      <c r="E114" s="3511">
        <v>5</v>
      </c>
      <c r="F114" s="3511">
        <v>3</v>
      </c>
      <c r="G114" s="3511">
        <v>529250</v>
      </c>
      <c r="H114" s="3511">
        <v>317550</v>
      </c>
      <c r="I114" s="3490">
        <f t="shared" si="3"/>
        <v>846800</v>
      </c>
      <c r="J114" s="3490">
        <f t="shared" si="2"/>
        <v>8</v>
      </c>
      <c r="K114" s="3515">
        <v>45063</v>
      </c>
      <c r="L114" s="3516">
        <v>45047</v>
      </c>
      <c r="M114" s="3517" t="s">
        <v>4094</v>
      </c>
      <c r="N114" s="3573">
        <v>3</v>
      </c>
      <c r="O114" s="3555">
        <v>0.5</v>
      </c>
      <c r="P114" s="3516">
        <v>45061</v>
      </c>
      <c r="Q114" s="3487"/>
      <c r="R114" s="3550"/>
      <c r="S114" s="3547" t="s">
        <v>4090</v>
      </c>
      <c r="T114" s="3550" t="s">
        <v>4091</v>
      </c>
      <c r="U114" s="3550" t="s">
        <v>4091</v>
      </c>
    </row>
    <row r="115" spans="1:21" s="3548" customFormat="1" ht="33.75" customHeight="1">
      <c r="A115" s="3484">
        <v>112</v>
      </c>
      <c r="B115" s="3510" t="s">
        <v>4095</v>
      </c>
      <c r="C115" s="3574" t="s">
        <v>4096</v>
      </c>
      <c r="D115" s="3514">
        <v>29</v>
      </c>
      <c r="E115" s="3511">
        <v>11</v>
      </c>
      <c r="F115" s="3511">
        <v>3</v>
      </c>
      <c r="G115" s="3511">
        <v>116435</v>
      </c>
      <c r="H115" s="3511">
        <v>31755</v>
      </c>
      <c r="I115" s="3490">
        <f t="shared" si="3"/>
        <v>148190</v>
      </c>
      <c r="J115" s="3490">
        <f t="shared" si="2"/>
        <v>14</v>
      </c>
      <c r="K115" s="3515">
        <v>45061</v>
      </c>
      <c r="L115" s="3516">
        <v>45062</v>
      </c>
      <c r="M115" s="3517" t="s">
        <v>4094</v>
      </c>
      <c r="N115" s="3573">
        <v>2</v>
      </c>
      <c r="O115" s="3579" t="s">
        <v>4097</v>
      </c>
      <c r="P115" s="3516">
        <v>45098</v>
      </c>
      <c r="Q115" s="3487"/>
      <c r="R115" s="3550"/>
      <c r="S115" s="3547" t="s">
        <v>4090</v>
      </c>
      <c r="T115" s="3550" t="s">
        <v>4091</v>
      </c>
      <c r="U115" s="3550" t="s">
        <v>4091</v>
      </c>
    </row>
    <row r="116" spans="1:21" s="3548" customFormat="1" ht="33.75" customHeight="1">
      <c r="A116" s="3484">
        <v>113</v>
      </c>
      <c r="B116" s="3510" t="s">
        <v>4098</v>
      </c>
      <c r="C116" s="3574" t="s">
        <v>4099</v>
      </c>
      <c r="D116" s="3514">
        <v>248</v>
      </c>
      <c r="E116" s="3511">
        <v>5</v>
      </c>
      <c r="F116" s="3511">
        <v>3</v>
      </c>
      <c r="G116" s="3511">
        <v>452600</v>
      </c>
      <c r="H116" s="3511">
        <v>271560</v>
      </c>
      <c r="I116" s="3490">
        <f t="shared" si="3"/>
        <v>724160</v>
      </c>
      <c r="J116" s="3490">
        <f t="shared" si="2"/>
        <v>8</v>
      </c>
      <c r="K116" s="3515">
        <v>45065</v>
      </c>
      <c r="L116" s="3516">
        <v>45064</v>
      </c>
      <c r="M116" s="3517" t="s">
        <v>4089</v>
      </c>
      <c r="N116" s="3573">
        <v>5</v>
      </c>
      <c r="O116" s="3555">
        <v>2.5</v>
      </c>
      <c r="P116" s="3516">
        <v>45153</v>
      </c>
      <c r="Q116" s="3487"/>
      <c r="R116" s="3550"/>
      <c r="S116" s="3547" t="s">
        <v>4090</v>
      </c>
      <c r="T116" s="3550" t="s">
        <v>4091</v>
      </c>
      <c r="U116" s="3550" t="s">
        <v>4091</v>
      </c>
    </row>
    <row r="117" spans="1:21" s="3548" customFormat="1" ht="33.75" customHeight="1">
      <c r="A117" s="3484">
        <v>114</v>
      </c>
      <c r="B117" s="3510" t="s">
        <v>4100</v>
      </c>
      <c r="C117" s="3574" t="s">
        <v>4101</v>
      </c>
      <c r="D117" s="3521">
        <v>653</v>
      </c>
      <c r="E117" s="3511"/>
      <c r="F117" s="3511">
        <v>4.5</v>
      </c>
      <c r="G117" s="3511"/>
      <c r="H117" s="3511"/>
      <c r="I117" s="3490">
        <f t="shared" si="3"/>
        <v>0</v>
      </c>
      <c r="J117" s="3490">
        <f t="shared" ref="J117:J156" si="4">F117+E117</f>
        <v>4.5</v>
      </c>
      <c r="K117" s="3515">
        <v>45076</v>
      </c>
      <c r="L117" s="3516"/>
      <c r="M117" s="3517" t="s">
        <v>4089</v>
      </c>
      <c r="N117" s="3573">
        <v>6</v>
      </c>
      <c r="O117" s="3555"/>
      <c r="P117" s="3516">
        <v>45185</v>
      </c>
      <c r="Q117" s="3487"/>
      <c r="R117" s="3550"/>
      <c r="S117" s="3547" t="s">
        <v>4090</v>
      </c>
      <c r="T117" s="3550" t="s">
        <v>4091</v>
      </c>
      <c r="U117" s="3550" t="s">
        <v>4091</v>
      </c>
    </row>
    <row r="118" spans="1:21" s="3548" customFormat="1" ht="33.75" customHeight="1">
      <c r="A118" s="3484">
        <v>115</v>
      </c>
      <c r="B118" s="3510" t="s">
        <v>4102</v>
      </c>
      <c r="C118" s="3574" t="s">
        <v>4103</v>
      </c>
      <c r="D118" s="3521">
        <v>101</v>
      </c>
      <c r="E118" s="3511"/>
      <c r="F118" s="3511">
        <v>4.5</v>
      </c>
      <c r="G118" s="3511"/>
      <c r="H118" s="3511"/>
      <c r="I118" s="3490">
        <f t="shared" si="3"/>
        <v>0</v>
      </c>
      <c r="J118" s="3490">
        <f t="shared" si="4"/>
        <v>4.5</v>
      </c>
      <c r="K118" s="3515">
        <v>45076</v>
      </c>
      <c r="L118" s="3516"/>
      <c r="M118" s="3517" t="s">
        <v>4089</v>
      </c>
      <c r="N118" s="3573">
        <v>6</v>
      </c>
      <c r="O118" s="3555"/>
      <c r="P118" s="3516">
        <v>45185</v>
      </c>
      <c r="Q118" s="3487"/>
      <c r="R118" s="3550"/>
      <c r="S118" s="3547" t="s">
        <v>4090</v>
      </c>
      <c r="T118" s="3550" t="s">
        <v>4091</v>
      </c>
      <c r="U118" s="3550" t="s">
        <v>4091</v>
      </c>
    </row>
    <row r="119" spans="1:21" s="3548" customFormat="1" ht="33.75" customHeight="1">
      <c r="A119" s="3484">
        <v>116</v>
      </c>
      <c r="B119" s="3510" t="s">
        <v>4104</v>
      </c>
      <c r="C119" s="3574" t="s">
        <v>4105</v>
      </c>
      <c r="D119" s="3514">
        <v>34</v>
      </c>
      <c r="E119" s="3511">
        <v>17</v>
      </c>
      <c r="F119" s="3511">
        <v>3</v>
      </c>
      <c r="G119" s="3511">
        <v>210970</v>
      </c>
      <c r="H119" s="3511">
        <v>37230</v>
      </c>
      <c r="I119" s="3490">
        <f t="shared" si="3"/>
        <v>248200</v>
      </c>
      <c r="J119" s="3490">
        <f t="shared" si="4"/>
        <v>20</v>
      </c>
      <c r="K119" s="3515">
        <v>45076</v>
      </c>
      <c r="L119" s="3516">
        <v>45078</v>
      </c>
      <c r="M119" s="3517" t="s">
        <v>4089</v>
      </c>
      <c r="N119" s="3573">
        <v>2</v>
      </c>
      <c r="O119" s="3555"/>
      <c r="P119" s="3516">
        <v>45170</v>
      </c>
      <c r="Q119" s="3487"/>
      <c r="R119" s="3550"/>
      <c r="S119" s="3547" t="s">
        <v>4090</v>
      </c>
      <c r="T119" s="3550" t="s">
        <v>4091</v>
      </c>
      <c r="U119" s="3550" t="s">
        <v>4091</v>
      </c>
    </row>
    <row r="120" spans="1:21" s="3548" customFormat="1" ht="33.75" customHeight="1">
      <c r="A120" s="3484">
        <v>117</v>
      </c>
      <c r="B120" s="3510" t="s">
        <v>4106</v>
      </c>
      <c r="C120" s="3574" t="s">
        <v>4107</v>
      </c>
      <c r="D120" s="3514">
        <v>276</v>
      </c>
      <c r="E120" s="3511">
        <v>2</v>
      </c>
      <c r="F120" s="3511">
        <v>3</v>
      </c>
      <c r="G120" s="3511">
        <v>201480</v>
      </c>
      <c r="H120" s="3511">
        <v>302220</v>
      </c>
      <c r="I120" s="3490">
        <f t="shared" si="3"/>
        <v>503700</v>
      </c>
      <c r="J120" s="3490">
        <f t="shared" si="4"/>
        <v>5</v>
      </c>
      <c r="K120" s="3515">
        <v>45076</v>
      </c>
      <c r="L120" s="3516">
        <v>45078</v>
      </c>
      <c r="M120" s="3517" t="s">
        <v>4089</v>
      </c>
      <c r="N120" s="3573">
        <v>3</v>
      </c>
      <c r="O120" s="3555"/>
      <c r="P120" s="3516">
        <v>45170</v>
      </c>
      <c r="Q120" s="3487"/>
      <c r="R120" s="3550"/>
      <c r="S120" s="3547" t="s">
        <v>4090</v>
      </c>
      <c r="T120" s="3550" t="s">
        <v>4091</v>
      </c>
      <c r="U120" s="3550" t="s">
        <v>4091</v>
      </c>
    </row>
    <row r="121" spans="1:21" s="3548" customFormat="1" ht="33.75" customHeight="1">
      <c r="A121" s="3484">
        <v>118</v>
      </c>
      <c r="B121" s="3510" t="s">
        <v>4108</v>
      </c>
      <c r="C121" s="3574" t="s">
        <v>4109</v>
      </c>
      <c r="D121" s="3514">
        <v>23</v>
      </c>
      <c r="E121" s="3511"/>
      <c r="F121" s="3511">
        <v>2.86</v>
      </c>
      <c r="G121" s="3511"/>
      <c r="H121" s="3511">
        <v>24000</v>
      </c>
      <c r="I121" s="3490">
        <f t="shared" si="3"/>
        <v>24000</v>
      </c>
      <c r="J121" s="3490">
        <f t="shared" si="4"/>
        <v>2.86</v>
      </c>
      <c r="K121" s="3515">
        <v>45082</v>
      </c>
      <c r="L121" s="3516"/>
      <c r="M121" s="3517" t="s">
        <v>4110</v>
      </c>
      <c r="N121" s="3573">
        <v>1</v>
      </c>
      <c r="O121" s="3555"/>
      <c r="P121" s="3516">
        <v>45085</v>
      </c>
      <c r="Q121" s="3487"/>
      <c r="R121" s="3550"/>
      <c r="S121" s="3547" t="s">
        <v>4090</v>
      </c>
      <c r="T121" s="3550" t="s">
        <v>4091</v>
      </c>
      <c r="U121" s="3550" t="s">
        <v>4091</v>
      </c>
    </row>
    <row r="122" spans="1:21" s="3548" customFormat="1" ht="33.75" customHeight="1">
      <c r="A122" s="3484">
        <v>119</v>
      </c>
      <c r="B122" s="3510" t="s">
        <v>4111</v>
      </c>
      <c r="C122" s="3574" t="s">
        <v>4112</v>
      </c>
      <c r="D122" s="3514">
        <v>16</v>
      </c>
      <c r="E122" s="3511"/>
      <c r="F122" s="3511">
        <v>20.55</v>
      </c>
      <c r="G122" s="3511"/>
      <c r="H122" s="3511">
        <v>120000</v>
      </c>
      <c r="I122" s="3490">
        <f t="shared" si="3"/>
        <v>120000</v>
      </c>
      <c r="J122" s="3490">
        <f t="shared" si="4"/>
        <v>20.55</v>
      </c>
      <c r="K122" s="3515">
        <v>45092</v>
      </c>
      <c r="L122" s="3516"/>
      <c r="M122" s="3517" t="s">
        <v>4089</v>
      </c>
      <c r="N122" s="3573">
        <v>1</v>
      </c>
      <c r="O122" s="3555"/>
      <c r="P122" s="3516">
        <v>45122</v>
      </c>
      <c r="Q122" s="3487"/>
      <c r="R122" s="3550"/>
      <c r="S122" s="3547" t="s">
        <v>4090</v>
      </c>
      <c r="T122" s="3550" t="s">
        <v>4091</v>
      </c>
      <c r="U122" s="3550" t="s">
        <v>4091</v>
      </c>
    </row>
    <row r="123" spans="1:21" s="3548" customFormat="1" ht="33.75" customHeight="1">
      <c r="A123" s="3484">
        <v>120</v>
      </c>
      <c r="B123" s="3510" t="s">
        <v>4113</v>
      </c>
      <c r="C123" s="3574" t="s">
        <v>4114</v>
      </c>
      <c r="D123" s="3514">
        <v>45</v>
      </c>
      <c r="E123" s="3511">
        <v>2.85</v>
      </c>
      <c r="F123" s="3511">
        <v>3</v>
      </c>
      <c r="G123" s="3511">
        <v>46811.25</v>
      </c>
      <c r="H123" s="3511">
        <v>49275</v>
      </c>
      <c r="I123" s="3490">
        <f t="shared" si="3"/>
        <v>96086.25</v>
      </c>
      <c r="J123" s="3490">
        <f t="shared" si="4"/>
        <v>5.85</v>
      </c>
      <c r="K123" s="3515">
        <v>45084</v>
      </c>
      <c r="L123" s="3516">
        <v>45108</v>
      </c>
      <c r="M123" s="3517" t="s">
        <v>4094</v>
      </c>
      <c r="N123" s="3573">
        <v>2</v>
      </c>
      <c r="O123" s="3555"/>
      <c r="P123" s="3516">
        <v>45139</v>
      </c>
      <c r="Q123" s="3487"/>
      <c r="R123" s="3550"/>
      <c r="S123" s="3547" t="s">
        <v>4090</v>
      </c>
      <c r="T123" s="3550" t="s">
        <v>4091</v>
      </c>
      <c r="U123" s="3550" t="s">
        <v>4091</v>
      </c>
    </row>
    <row r="124" spans="1:21" s="3548" customFormat="1" ht="33.75" customHeight="1">
      <c r="A124" s="3484">
        <v>121</v>
      </c>
      <c r="B124" s="3510" t="s">
        <v>4115</v>
      </c>
      <c r="C124" s="3574" t="s">
        <v>4116</v>
      </c>
      <c r="D124" s="3521">
        <v>110</v>
      </c>
      <c r="E124" s="3511">
        <v>3</v>
      </c>
      <c r="F124" s="3511">
        <v>3</v>
      </c>
      <c r="G124" s="3511">
        <v>120450</v>
      </c>
      <c r="H124" s="3511">
        <v>120450</v>
      </c>
      <c r="I124" s="3490">
        <f t="shared" si="3"/>
        <v>240900</v>
      </c>
      <c r="J124" s="3490">
        <f t="shared" si="4"/>
        <v>6</v>
      </c>
      <c r="K124" s="3515">
        <v>45076</v>
      </c>
      <c r="L124" s="3516">
        <v>45089</v>
      </c>
      <c r="M124" s="3517" t="s">
        <v>4110</v>
      </c>
      <c r="N124" s="3573">
        <v>5</v>
      </c>
      <c r="O124" s="3555">
        <v>2</v>
      </c>
      <c r="P124" s="3516">
        <v>45150</v>
      </c>
      <c r="Q124" s="3487"/>
      <c r="R124" s="3550"/>
      <c r="S124" s="3547" t="s">
        <v>4090</v>
      </c>
      <c r="T124" s="3550" t="s">
        <v>4091</v>
      </c>
      <c r="U124" s="3550" t="s">
        <v>4091</v>
      </c>
    </row>
    <row r="125" spans="1:21" s="3548" customFormat="1" ht="33.75" customHeight="1">
      <c r="A125" s="3484">
        <v>122</v>
      </c>
      <c r="B125" s="3510" t="s">
        <v>4117</v>
      </c>
      <c r="C125" s="3574" t="s">
        <v>4118</v>
      </c>
      <c r="D125" s="3521">
        <v>200</v>
      </c>
      <c r="E125" s="3511"/>
      <c r="F125" s="3511"/>
      <c r="G125" s="3511"/>
      <c r="H125" s="3511"/>
      <c r="I125" s="3490">
        <f t="shared" si="3"/>
        <v>0</v>
      </c>
      <c r="J125" s="3490">
        <f t="shared" si="4"/>
        <v>0</v>
      </c>
      <c r="K125" s="3515">
        <v>45086</v>
      </c>
      <c r="L125" s="3516">
        <v>45108</v>
      </c>
      <c r="M125" s="3517" t="s">
        <v>4089</v>
      </c>
      <c r="N125" s="3573">
        <v>5</v>
      </c>
      <c r="O125" s="3555">
        <v>1</v>
      </c>
      <c r="P125" s="3516">
        <v>45139</v>
      </c>
      <c r="Q125" s="3487"/>
      <c r="R125" s="3550"/>
      <c r="S125" s="3547" t="s">
        <v>4090</v>
      </c>
      <c r="T125" s="3550" t="s">
        <v>4091</v>
      </c>
      <c r="U125" s="3550" t="s">
        <v>4091</v>
      </c>
    </row>
    <row r="126" spans="1:21" s="3548" customFormat="1" ht="33.75" customHeight="1">
      <c r="A126" s="3484">
        <v>123</v>
      </c>
      <c r="B126" s="3510" t="s">
        <v>4119</v>
      </c>
      <c r="C126" s="3574" t="s">
        <v>4120</v>
      </c>
      <c r="D126" s="3521">
        <v>220</v>
      </c>
      <c r="E126" s="3511"/>
      <c r="F126" s="3511"/>
      <c r="G126" s="3511"/>
      <c r="H126" s="3511"/>
      <c r="I126" s="3490">
        <f t="shared" si="3"/>
        <v>0</v>
      </c>
      <c r="J126" s="3490">
        <f t="shared" si="4"/>
        <v>0</v>
      </c>
      <c r="K126" s="3515">
        <v>45086</v>
      </c>
      <c r="L126" s="3516">
        <v>45108</v>
      </c>
      <c r="M126" s="3517" t="s">
        <v>4089</v>
      </c>
      <c r="N126" s="3573">
        <v>5</v>
      </c>
      <c r="O126" s="3555">
        <v>1</v>
      </c>
      <c r="P126" s="3516">
        <v>45139</v>
      </c>
      <c r="Q126" s="3487"/>
      <c r="R126" s="3550"/>
      <c r="S126" s="3547" t="s">
        <v>4090</v>
      </c>
      <c r="T126" s="3550" t="s">
        <v>4091</v>
      </c>
      <c r="U126" s="3550" t="s">
        <v>4091</v>
      </c>
    </row>
    <row r="127" spans="1:21" s="3548" customFormat="1" ht="33.75" customHeight="1">
      <c r="A127" s="3484">
        <v>124</v>
      </c>
      <c r="B127" s="3510" t="s">
        <v>4121</v>
      </c>
      <c r="C127" s="3574" t="s">
        <v>4122</v>
      </c>
      <c r="D127" s="3521">
        <v>80</v>
      </c>
      <c r="E127" s="3511">
        <v>6</v>
      </c>
      <c r="F127" s="3511">
        <v>3</v>
      </c>
      <c r="G127" s="3511">
        <v>175200</v>
      </c>
      <c r="H127" s="3511">
        <v>87600</v>
      </c>
      <c r="I127" s="3490">
        <f t="shared" si="3"/>
        <v>262800</v>
      </c>
      <c r="J127" s="3490">
        <f t="shared" si="4"/>
        <v>9</v>
      </c>
      <c r="K127" s="3515">
        <v>45084</v>
      </c>
      <c r="L127" s="3516">
        <v>45139</v>
      </c>
      <c r="M127" s="3517" t="s">
        <v>4089</v>
      </c>
      <c r="N127" s="3573">
        <v>3</v>
      </c>
      <c r="O127" s="3555">
        <v>1</v>
      </c>
      <c r="P127" s="3516">
        <v>45170</v>
      </c>
      <c r="Q127" s="3487"/>
      <c r="R127" s="3550"/>
      <c r="S127" s="3547" t="s">
        <v>4090</v>
      </c>
      <c r="T127" s="3550" t="s">
        <v>4091</v>
      </c>
      <c r="U127" s="3550" t="s">
        <v>4091</v>
      </c>
    </row>
    <row r="128" spans="1:21" s="3548" customFormat="1" ht="33.75" customHeight="1">
      <c r="A128" s="3484">
        <v>125</v>
      </c>
      <c r="B128" s="3510" t="s">
        <v>4123</v>
      </c>
      <c r="C128" s="3574" t="s">
        <v>4124</v>
      </c>
      <c r="D128" s="3521">
        <v>56</v>
      </c>
      <c r="E128" s="3511">
        <v>5</v>
      </c>
      <c r="F128" s="3511">
        <v>3</v>
      </c>
      <c r="G128" s="3511">
        <v>102200</v>
      </c>
      <c r="H128" s="3511">
        <v>61320</v>
      </c>
      <c r="I128" s="3490">
        <f t="shared" si="3"/>
        <v>163520</v>
      </c>
      <c r="J128" s="3490">
        <f t="shared" si="4"/>
        <v>8</v>
      </c>
      <c r="K128" s="3515">
        <v>45090</v>
      </c>
      <c r="L128" s="3516">
        <v>45108</v>
      </c>
      <c r="M128" s="3517" t="s">
        <v>4110</v>
      </c>
      <c r="N128" s="3573">
        <v>3</v>
      </c>
      <c r="O128" s="3555">
        <v>1</v>
      </c>
      <c r="P128" s="3516">
        <v>45139</v>
      </c>
      <c r="Q128" s="3487"/>
      <c r="R128" s="3550"/>
      <c r="S128" s="3547" t="s">
        <v>4090</v>
      </c>
      <c r="T128" s="3550" t="s">
        <v>4091</v>
      </c>
      <c r="U128" s="3550" t="s">
        <v>4091</v>
      </c>
    </row>
    <row r="129" spans="1:21" s="3548" customFormat="1" ht="33.75" customHeight="1">
      <c r="A129" s="3484">
        <v>126</v>
      </c>
      <c r="B129" s="3510" t="s">
        <v>4125</v>
      </c>
      <c r="C129" s="3574" t="s">
        <v>4126</v>
      </c>
      <c r="D129" s="3521">
        <v>163</v>
      </c>
      <c r="E129" s="3511">
        <v>3.7</v>
      </c>
      <c r="F129" s="3511">
        <v>3</v>
      </c>
      <c r="G129" s="3511">
        <v>220131.5</v>
      </c>
      <c r="H129" s="3511">
        <v>178485</v>
      </c>
      <c r="I129" s="3490">
        <f t="shared" si="3"/>
        <v>398616.5</v>
      </c>
      <c r="J129" s="3490">
        <f t="shared" si="4"/>
        <v>6.7</v>
      </c>
      <c r="K129" s="3515">
        <v>45087</v>
      </c>
      <c r="L129" s="3516">
        <v>45094</v>
      </c>
      <c r="M129" s="3517" t="s">
        <v>4089</v>
      </c>
      <c r="N129" s="3573">
        <v>5</v>
      </c>
      <c r="O129" s="3555">
        <v>1.5</v>
      </c>
      <c r="P129" s="3516">
        <v>45139</v>
      </c>
      <c r="Q129" s="3487"/>
      <c r="R129" s="3550"/>
      <c r="S129" s="3547" t="s">
        <v>4090</v>
      </c>
      <c r="T129" s="3550" t="s">
        <v>4091</v>
      </c>
      <c r="U129" s="3550" t="s">
        <v>4091</v>
      </c>
    </row>
    <row r="130" spans="1:21" s="3548" customFormat="1" ht="33.75" customHeight="1">
      <c r="A130" s="3484">
        <v>127</v>
      </c>
      <c r="B130" s="3510" t="s">
        <v>4127</v>
      </c>
      <c r="C130" s="3574" t="s">
        <v>4128</v>
      </c>
      <c r="D130" s="3514">
        <v>180</v>
      </c>
      <c r="E130" s="3511"/>
      <c r="F130" s="3511"/>
      <c r="G130" s="3511"/>
      <c r="H130" s="3511"/>
      <c r="I130" s="3490">
        <f t="shared" si="3"/>
        <v>0</v>
      </c>
      <c r="J130" s="3490">
        <f t="shared" si="4"/>
        <v>0</v>
      </c>
      <c r="K130" s="3515">
        <v>45105</v>
      </c>
      <c r="L130" s="3516">
        <v>45139</v>
      </c>
      <c r="M130" s="3517" t="s">
        <v>4089</v>
      </c>
      <c r="N130" s="3573">
        <v>3</v>
      </c>
      <c r="O130" s="3555">
        <v>1</v>
      </c>
      <c r="P130" s="3516">
        <v>45170</v>
      </c>
      <c r="Q130" s="3487"/>
      <c r="R130" s="3550"/>
      <c r="S130" s="3547" t="s">
        <v>4090</v>
      </c>
      <c r="T130" s="3550" t="s">
        <v>4091</v>
      </c>
      <c r="U130" s="3550" t="s">
        <v>4091</v>
      </c>
    </row>
    <row r="131" spans="1:21" s="3548" customFormat="1" ht="33.75" customHeight="1">
      <c r="A131" s="3484">
        <v>128</v>
      </c>
      <c r="B131" s="3510" t="s">
        <v>4129</v>
      </c>
      <c r="C131" s="3574" t="s">
        <v>4130</v>
      </c>
      <c r="D131" s="3514">
        <v>735</v>
      </c>
      <c r="E131" s="3511">
        <v>0.3</v>
      </c>
      <c r="F131" s="3511">
        <v>3</v>
      </c>
      <c r="G131" s="3511">
        <v>80482.5</v>
      </c>
      <c r="H131" s="3511">
        <v>804825</v>
      </c>
      <c r="I131" s="3490">
        <f t="shared" si="3"/>
        <v>885307.5</v>
      </c>
      <c r="J131" s="3490">
        <f t="shared" si="4"/>
        <v>3.3</v>
      </c>
      <c r="K131" s="3515">
        <v>45117</v>
      </c>
      <c r="L131" s="3516">
        <v>45137</v>
      </c>
      <c r="M131" s="3517" t="s">
        <v>4089</v>
      </c>
      <c r="N131" s="3522" t="s">
        <v>4131</v>
      </c>
      <c r="O131" s="3555">
        <v>2</v>
      </c>
      <c r="P131" s="3516">
        <v>45197</v>
      </c>
      <c r="Q131" s="3487"/>
      <c r="R131" s="3550"/>
      <c r="S131" s="3547" t="s">
        <v>4090</v>
      </c>
      <c r="T131" s="3550" t="s">
        <v>4091</v>
      </c>
      <c r="U131" s="3550" t="s">
        <v>4091</v>
      </c>
    </row>
    <row r="132" spans="1:21" s="3548" customFormat="1" ht="33.75" customHeight="1">
      <c r="A132" s="3484">
        <v>129</v>
      </c>
      <c r="B132" s="3510" t="s">
        <v>4132</v>
      </c>
      <c r="C132" s="3574" t="s">
        <v>4133</v>
      </c>
      <c r="D132" s="3514">
        <v>274</v>
      </c>
      <c r="E132" s="3511">
        <v>0.5</v>
      </c>
      <c r="F132" s="3511">
        <v>3</v>
      </c>
      <c r="G132" s="3511">
        <v>50005</v>
      </c>
      <c r="H132" s="3511">
        <v>300030</v>
      </c>
      <c r="I132" s="3490">
        <f t="shared" si="3"/>
        <v>350035</v>
      </c>
      <c r="J132" s="3490">
        <f t="shared" si="4"/>
        <v>3.5</v>
      </c>
      <c r="K132" s="3515">
        <v>45105</v>
      </c>
      <c r="L132" s="3516">
        <v>45108</v>
      </c>
      <c r="M132" s="3517" t="s">
        <v>4094</v>
      </c>
      <c r="N132" s="3573">
        <v>2</v>
      </c>
      <c r="O132" s="3555"/>
      <c r="P132" s="3516">
        <v>45168</v>
      </c>
      <c r="Q132" s="3487"/>
      <c r="R132" s="3550"/>
      <c r="S132" s="3547" t="s">
        <v>4090</v>
      </c>
      <c r="T132" s="3550" t="s">
        <v>4091</v>
      </c>
      <c r="U132" s="3550" t="s">
        <v>4091</v>
      </c>
    </row>
    <row r="133" spans="1:21" s="3548" customFormat="1" ht="33.75" customHeight="1">
      <c r="A133" s="3484">
        <v>130</v>
      </c>
      <c r="B133" s="3510" t="s">
        <v>4134</v>
      </c>
      <c r="C133" s="3510" t="s">
        <v>4135</v>
      </c>
      <c r="D133" s="3521">
        <v>683</v>
      </c>
      <c r="E133" s="3511">
        <v>2</v>
      </c>
      <c r="F133" s="3511">
        <v>3</v>
      </c>
      <c r="G133" s="3511">
        <v>498590</v>
      </c>
      <c r="H133" s="3511">
        <v>747885</v>
      </c>
      <c r="I133" s="3490">
        <f t="shared" si="3"/>
        <v>1246475</v>
      </c>
      <c r="J133" s="3490">
        <f t="shared" si="4"/>
        <v>5</v>
      </c>
      <c r="K133" s="3515">
        <v>45114</v>
      </c>
      <c r="L133" s="3516">
        <v>45078</v>
      </c>
      <c r="M133" s="3517" t="s">
        <v>4094</v>
      </c>
      <c r="N133" s="3580">
        <v>3.5</v>
      </c>
      <c r="O133" s="3555">
        <v>1</v>
      </c>
      <c r="P133" s="3516">
        <v>45108</v>
      </c>
      <c r="Q133" s="3487"/>
      <c r="R133" s="3550"/>
      <c r="S133" s="3547" t="s">
        <v>4090</v>
      </c>
      <c r="T133" s="3550" t="s">
        <v>4091</v>
      </c>
      <c r="U133" s="3550" t="s">
        <v>4091</v>
      </c>
    </row>
    <row r="134" spans="1:21" s="3548" customFormat="1" ht="33.75" customHeight="1">
      <c r="A134" s="3484">
        <v>131</v>
      </c>
      <c r="B134" s="3510" t="s">
        <v>4136</v>
      </c>
      <c r="C134" s="3574" t="s">
        <v>4137</v>
      </c>
      <c r="D134" s="3514">
        <v>12</v>
      </c>
      <c r="E134" s="3511">
        <v>19.18</v>
      </c>
      <c r="F134" s="3511">
        <v>8.2200000000000006</v>
      </c>
      <c r="G134" s="3511">
        <v>84000</v>
      </c>
      <c r="H134" s="3511">
        <v>36000</v>
      </c>
      <c r="I134" s="3490">
        <f t="shared" si="3"/>
        <v>120000</v>
      </c>
      <c r="J134" s="3490">
        <f t="shared" si="4"/>
        <v>27.4</v>
      </c>
      <c r="K134" s="3515">
        <v>45117</v>
      </c>
      <c r="L134" s="3516"/>
      <c r="M134" s="3517" t="s">
        <v>4089</v>
      </c>
      <c r="N134" s="3573">
        <v>2</v>
      </c>
      <c r="O134" s="3555"/>
      <c r="P134" s="3516">
        <v>45139</v>
      </c>
      <c r="Q134" s="3487"/>
      <c r="R134" s="3550"/>
      <c r="S134" s="3547" t="s">
        <v>4090</v>
      </c>
      <c r="T134" s="3550" t="s">
        <v>4091</v>
      </c>
      <c r="U134" s="3550" t="s">
        <v>4091</v>
      </c>
    </row>
    <row r="135" spans="1:21" s="3548" customFormat="1" ht="33.75" customHeight="1">
      <c r="A135" s="3484">
        <v>132</v>
      </c>
      <c r="B135" s="3510" t="s">
        <v>4138</v>
      </c>
      <c r="C135" s="3574" t="s">
        <v>4139</v>
      </c>
      <c r="D135" s="3514">
        <v>40</v>
      </c>
      <c r="E135" s="3511">
        <v>8.2200000000000006</v>
      </c>
      <c r="F135" s="3511">
        <v>4.1100000000000003</v>
      </c>
      <c r="G135" s="3511">
        <v>120000</v>
      </c>
      <c r="H135" s="3511">
        <v>60000</v>
      </c>
      <c r="I135" s="3490">
        <f t="shared" si="3"/>
        <v>180000</v>
      </c>
      <c r="J135" s="3490">
        <f t="shared" si="4"/>
        <v>12.330000000000002</v>
      </c>
      <c r="K135" s="3515">
        <v>45117</v>
      </c>
      <c r="L135" s="3516">
        <v>45139</v>
      </c>
      <c r="M135" s="3517" t="s">
        <v>4089</v>
      </c>
      <c r="N135" s="3573">
        <v>1</v>
      </c>
      <c r="O135" s="3555">
        <v>1</v>
      </c>
      <c r="P135" s="3516">
        <v>45170</v>
      </c>
      <c r="Q135" s="3487"/>
      <c r="R135" s="3550"/>
      <c r="S135" s="3547" t="s">
        <v>4090</v>
      </c>
      <c r="T135" s="3550" t="s">
        <v>4091</v>
      </c>
      <c r="U135" s="3550" t="s">
        <v>4091</v>
      </c>
    </row>
    <row r="136" spans="1:21" s="3548" customFormat="1" ht="33.75" customHeight="1">
      <c r="A136" s="3484">
        <v>133</v>
      </c>
      <c r="B136" s="3510" t="s">
        <v>4140</v>
      </c>
      <c r="C136" s="3574" t="s">
        <v>4141</v>
      </c>
      <c r="D136" s="3514">
        <v>8.8000000000000007</v>
      </c>
      <c r="E136" s="3511">
        <v>26.15</v>
      </c>
      <c r="F136" s="3511">
        <v>11.21</v>
      </c>
      <c r="G136" s="3511">
        <v>84000</v>
      </c>
      <c r="H136" s="3511">
        <v>360000</v>
      </c>
      <c r="I136" s="3490">
        <f t="shared" si="3"/>
        <v>444000</v>
      </c>
      <c r="J136" s="3490">
        <f t="shared" si="4"/>
        <v>37.36</v>
      </c>
      <c r="K136" s="3515">
        <v>45117</v>
      </c>
      <c r="L136" s="3516"/>
      <c r="M136" s="3517" t="s">
        <v>4094</v>
      </c>
      <c r="N136" s="3573">
        <v>2</v>
      </c>
      <c r="O136" s="3555"/>
      <c r="P136" s="3516">
        <v>45139</v>
      </c>
      <c r="Q136" s="3487"/>
      <c r="R136" s="3550"/>
      <c r="S136" s="3547" t="s">
        <v>4090</v>
      </c>
      <c r="T136" s="3550" t="s">
        <v>4091</v>
      </c>
      <c r="U136" s="3550" t="s">
        <v>4091</v>
      </c>
    </row>
    <row r="137" spans="1:21" s="3548" customFormat="1" ht="33.75" customHeight="1">
      <c r="A137" s="3484">
        <v>134</v>
      </c>
      <c r="B137" s="3510" t="s">
        <v>4142</v>
      </c>
      <c r="C137" s="3574" t="s">
        <v>4143</v>
      </c>
      <c r="D137" s="3514">
        <v>7</v>
      </c>
      <c r="E137" s="3511">
        <v>4.7</v>
      </c>
      <c r="F137" s="3511">
        <v>4.7</v>
      </c>
      <c r="G137" s="3511">
        <v>12000</v>
      </c>
      <c r="H137" s="3511">
        <v>12000</v>
      </c>
      <c r="I137" s="3490">
        <f t="shared" si="3"/>
        <v>24000</v>
      </c>
      <c r="J137" s="3490">
        <f t="shared" si="4"/>
        <v>9.4</v>
      </c>
      <c r="K137" s="3515">
        <v>45117</v>
      </c>
      <c r="L137" s="3516"/>
      <c r="M137" s="3517" t="s">
        <v>4144</v>
      </c>
      <c r="N137" s="3573">
        <v>1</v>
      </c>
      <c r="O137" s="3555"/>
      <c r="P137" s="3516">
        <v>45127</v>
      </c>
      <c r="Q137" s="3487"/>
      <c r="R137" s="3550"/>
      <c r="S137" s="3547" t="s">
        <v>4090</v>
      </c>
      <c r="T137" s="3550" t="s">
        <v>4091</v>
      </c>
      <c r="U137" s="3550" t="s">
        <v>4091</v>
      </c>
    </row>
    <row r="138" spans="1:21" s="3548" customFormat="1" ht="33.75" customHeight="1">
      <c r="A138" s="3484">
        <v>135</v>
      </c>
      <c r="B138" s="3510" t="s">
        <v>4145</v>
      </c>
      <c r="C138" s="3574" t="s">
        <v>4146</v>
      </c>
      <c r="D138" s="3514">
        <v>189</v>
      </c>
      <c r="E138" s="3511">
        <v>4</v>
      </c>
      <c r="F138" s="3511">
        <v>3</v>
      </c>
      <c r="G138" s="3511">
        <v>275940</v>
      </c>
      <c r="H138" s="3511">
        <v>206955</v>
      </c>
      <c r="I138" s="3490">
        <f t="shared" si="3"/>
        <v>482895</v>
      </c>
      <c r="J138" s="3490">
        <f t="shared" si="4"/>
        <v>7</v>
      </c>
      <c r="K138" s="3515">
        <v>45107</v>
      </c>
      <c r="L138" s="3516">
        <v>45139</v>
      </c>
      <c r="M138" s="3517" t="s">
        <v>4094</v>
      </c>
      <c r="N138" s="3573">
        <v>3</v>
      </c>
      <c r="O138" s="3555"/>
      <c r="P138" s="3516">
        <v>45170</v>
      </c>
      <c r="Q138" s="3487"/>
      <c r="R138" s="3550"/>
      <c r="S138" s="3547" t="s">
        <v>4090</v>
      </c>
      <c r="T138" s="3550" t="s">
        <v>4091</v>
      </c>
      <c r="U138" s="3550" t="s">
        <v>4091</v>
      </c>
    </row>
    <row r="139" spans="1:21" s="3548" customFormat="1" ht="33.75" customHeight="1">
      <c r="A139" s="3484">
        <v>136</v>
      </c>
      <c r="B139" s="3510" t="s">
        <v>4147</v>
      </c>
      <c r="C139" s="3574" t="s">
        <v>4148</v>
      </c>
      <c r="D139" s="3521">
        <v>44</v>
      </c>
      <c r="E139" s="3511">
        <v>10.15</v>
      </c>
      <c r="F139" s="3511">
        <v>3</v>
      </c>
      <c r="G139" s="3511">
        <v>163009</v>
      </c>
      <c r="H139" s="3511">
        <v>48180</v>
      </c>
      <c r="I139" s="3490">
        <f t="shared" si="3"/>
        <v>211189</v>
      </c>
      <c r="J139" s="3490">
        <f t="shared" si="4"/>
        <v>13.15</v>
      </c>
      <c r="K139" s="3515">
        <v>45117</v>
      </c>
      <c r="L139" s="3516">
        <v>45139</v>
      </c>
      <c r="M139" s="3517" t="s">
        <v>4110</v>
      </c>
      <c r="N139" s="3573">
        <v>2</v>
      </c>
      <c r="O139" s="3555">
        <v>1</v>
      </c>
      <c r="P139" s="3516">
        <v>45164</v>
      </c>
      <c r="Q139" s="3487"/>
      <c r="R139" s="3550"/>
      <c r="S139" s="3547" t="s">
        <v>4090</v>
      </c>
      <c r="T139" s="3550" t="s">
        <v>4091</v>
      </c>
      <c r="U139" s="3550" t="s">
        <v>4091</v>
      </c>
    </row>
    <row r="140" spans="1:21" s="3548" customFormat="1" ht="33.75" customHeight="1">
      <c r="A140" s="3484">
        <v>137</v>
      </c>
      <c r="B140" s="3510" t="s">
        <v>4149</v>
      </c>
      <c r="C140" s="3574" t="s">
        <v>4150</v>
      </c>
      <c r="D140" s="3521">
        <v>32</v>
      </c>
      <c r="E140" s="3511">
        <v>6.86</v>
      </c>
      <c r="F140" s="3511">
        <v>5.14</v>
      </c>
      <c r="G140" s="3511">
        <v>80160</v>
      </c>
      <c r="H140" s="3511">
        <v>60000</v>
      </c>
      <c r="I140" s="3490">
        <f t="shared" ref="I140:I165" si="5">G140+H140</f>
        <v>140160</v>
      </c>
      <c r="J140" s="3490">
        <f t="shared" si="4"/>
        <v>12</v>
      </c>
      <c r="K140" s="3515">
        <v>45125</v>
      </c>
      <c r="L140" s="3516">
        <v>45139</v>
      </c>
      <c r="M140" s="3517" t="s">
        <v>4089</v>
      </c>
      <c r="N140" s="3573">
        <v>2</v>
      </c>
      <c r="O140" s="3555">
        <v>1</v>
      </c>
      <c r="P140" s="3516">
        <v>45170</v>
      </c>
      <c r="Q140" s="3487"/>
      <c r="R140" s="3550"/>
      <c r="S140" s="3547" t="s">
        <v>4090</v>
      </c>
      <c r="T140" s="3550" t="s">
        <v>4091</v>
      </c>
      <c r="U140" s="3550" t="s">
        <v>4091</v>
      </c>
    </row>
    <row r="141" spans="1:21" s="3548" customFormat="1" ht="33.75" customHeight="1">
      <c r="A141" s="3484">
        <v>138</v>
      </c>
      <c r="B141" s="3510" t="s">
        <v>4151</v>
      </c>
      <c r="C141" s="3574" t="s">
        <v>4152</v>
      </c>
      <c r="D141" s="3521">
        <v>70</v>
      </c>
      <c r="E141" s="3511">
        <v>5</v>
      </c>
      <c r="F141" s="3511">
        <v>3</v>
      </c>
      <c r="G141" s="3511">
        <v>127750</v>
      </c>
      <c r="H141" s="3511">
        <v>76650</v>
      </c>
      <c r="I141" s="3490">
        <f t="shared" si="5"/>
        <v>204400</v>
      </c>
      <c r="J141" s="3490">
        <f t="shared" si="4"/>
        <v>8</v>
      </c>
      <c r="K141" s="3515">
        <v>45127</v>
      </c>
      <c r="L141" s="3516">
        <v>45148</v>
      </c>
      <c r="M141" s="3517" t="s">
        <v>4089</v>
      </c>
      <c r="N141" s="3573">
        <v>3</v>
      </c>
      <c r="O141" s="3555">
        <v>1</v>
      </c>
      <c r="P141" s="3516">
        <v>45179</v>
      </c>
      <c r="Q141" s="3487"/>
      <c r="R141" s="3550"/>
      <c r="S141" s="3547" t="s">
        <v>4090</v>
      </c>
      <c r="T141" s="3550" t="s">
        <v>4091</v>
      </c>
      <c r="U141" s="3550" t="s">
        <v>4091</v>
      </c>
    </row>
    <row r="142" spans="1:21" s="3548" customFormat="1" ht="33.75" customHeight="1">
      <c r="A142" s="3484">
        <v>139</v>
      </c>
      <c r="B142" s="3510" t="s">
        <v>4153</v>
      </c>
      <c r="C142" s="3574" t="s">
        <v>4154</v>
      </c>
      <c r="D142" s="3521">
        <v>44</v>
      </c>
      <c r="E142" s="3511">
        <v>7.47</v>
      </c>
      <c r="F142" s="3511">
        <v>3.74</v>
      </c>
      <c r="G142" s="3511">
        <v>120000</v>
      </c>
      <c r="H142" s="3511">
        <v>60000</v>
      </c>
      <c r="I142" s="3490">
        <f t="shared" si="5"/>
        <v>180000</v>
      </c>
      <c r="J142" s="3490">
        <f t="shared" si="4"/>
        <v>11.21</v>
      </c>
      <c r="K142" s="3515">
        <v>45107</v>
      </c>
      <c r="L142" s="3516"/>
      <c r="M142" s="3517" t="s">
        <v>4094</v>
      </c>
      <c r="N142" s="3573">
        <v>2</v>
      </c>
      <c r="O142" s="3555"/>
      <c r="P142" s="3516">
        <v>45170</v>
      </c>
      <c r="Q142" s="3487"/>
      <c r="R142" s="3550"/>
      <c r="S142" s="3547" t="s">
        <v>4090</v>
      </c>
      <c r="T142" s="3550" t="s">
        <v>4091</v>
      </c>
      <c r="U142" s="3550" t="s">
        <v>4091</v>
      </c>
    </row>
    <row r="143" spans="1:21" s="3548" customFormat="1" ht="33.75" customHeight="1">
      <c r="A143" s="3484">
        <v>140</v>
      </c>
      <c r="B143" s="3510" t="s">
        <v>4155</v>
      </c>
      <c r="C143" s="3574" t="s">
        <v>4156</v>
      </c>
      <c r="D143" s="3514">
        <v>216</v>
      </c>
      <c r="E143" s="3581"/>
      <c r="F143" s="3511">
        <v>1</v>
      </c>
      <c r="G143" s="3511"/>
      <c r="H143" s="3511">
        <v>78840</v>
      </c>
      <c r="I143" s="3490">
        <f t="shared" si="5"/>
        <v>78840</v>
      </c>
      <c r="J143" s="3490">
        <f t="shared" si="4"/>
        <v>1</v>
      </c>
      <c r="K143" s="3515">
        <v>45108</v>
      </c>
      <c r="L143" s="3516">
        <v>45122</v>
      </c>
      <c r="M143" s="3517" t="s">
        <v>4089</v>
      </c>
      <c r="N143" s="3573">
        <v>4</v>
      </c>
      <c r="O143" s="3555">
        <v>1.5</v>
      </c>
      <c r="P143" s="3516">
        <v>45167</v>
      </c>
      <c r="Q143" s="3487"/>
      <c r="R143" s="3550"/>
      <c r="S143" s="3547" t="s">
        <v>4090</v>
      </c>
      <c r="T143" s="3550" t="s">
        <v>4091</v>
      </c>
      <c r="U143" s="3550" t="s">
        <v>4091</v>
      </c>
    </row>
    <row r="144" spans="1:21" s="3548" customFormat="1" ht="33.75" customHeight="1">
      <c r="A144" s="3484">
        <v>141</v>
      </c>
      <c r="B144" s="3510" t="s">
        <v>4157</v>
      </c>
      <c r="C144" s="3574" t="s">
        <v>4158</v>
      </c>
      <c r="D144" s="3514">
        <v>44</v>
      </c>
      <c r="E144" s="3511">
        <v>5</v>
      </c>
      <c r="F144" s="3511">
        <v>3</v>
      </c>
      <c r="G144" s="3511">
        <v>80300</v>
      </c>
      <c r="H144" s="3511">
        <v>48180</v>
      </c>
      <c r="I144" s="3490">
        <f t="shared" si="5"/>
        <v>128480</v>
      </c>
      <c r="J144" s="3490">
        <f t="shared" si="4"/>
        <v>8</v>
      </c>
      <c r="K144" s="3515">
        <v>45132</v>
      </c>
      <c r="L144" s="3516">
        <v>45153</v>
      </c>
      <c r="M144" s="3517" t="s">
        <v>4089</v>
      </c>
      <c r="N144" s="3573">
        <v>3</v>
      </c>
      <c r="O144" s="3555">
        <v>1</v>
      </c>
      <c r="P144" s="3516">
        <v>45197</v>
      </c>
      <c r="Q144" s="3487"/>
      <c r="R144" s="3550"/>
      <c r="S144" s="3547" t="s">
        <v>4090</v>
      </c>
      <c r="T144" s="3550" t="s">
        <v>4091</v>
      </c>
      <c r="U144" s="3550" t="s">
        <v>4091</v>
      </c>
    </row>
    <row r="145" spans="1:21" s="3548" customFormat="1" ht="33.75" customHeight="1">
      <c r="A145" s="3484">
        <v>142</v>
      </c>
      <c r="B145" s="3510" t="s">
        <v>4159</v>
      </c>
      <c r="C145" s="3574" t="s">
        <v>4160</v>
      </c>
      <c r="D145" s="3514">
        <v>30</v>
      </c>
      <c r="E145" s="3511">
        <v>7.67</v>
      </c>
      <c r="F145" s="3511">
        <v>3.29</v>
      </c>
      <c r="G145" s="3511">
        <v>84000</v>
      </c>
      <c r="H145" s="3511">
        <v>36000</v>
      </c>
      <c r="I145" s="3490">
        <f t="shared" si="5"/>
        <v>120000</v>
      </c>
      <c r="J145" s="3490">
        <f t="shared" si="4"/>
        <v>10.96</v>
      </c>
      <c r="K145" s="3515">
        <v>45138</v>
      </c>
      <c r="L145" s="3516"/>
      <c r="M145" s="3517" t="s">
        <v>4089</v>
      </c>
      <c r="N145" s="3573">
        <v>2</v>
      </c>
      <c r="O145" s="3555"/>
      <c r="P145" s="3516">
        <v>45153</v>
      </c>
      <c r="Q145" s="3487"/>
      <c r="R145" s="3550"/>
      <c r="S145" s="3547" t="s">
        <v>4090</v>
      </c>
      <c r="T145" s="3550" t="s">
        <v>4091</v>
      </c>
      <c r="U145" s="3550" t="s">
        <v>4091</v>
      </c>
    </row>
    <row r="146" spans="1:21" s="3548" customFormat="1" ht="33.75" customHeight="1">
      <c r="A146" s="3484">
        <v>143</v>
      </c>
      <c r="B146" s="3510" t="s">
        <v>4161</v>
      </c>
      <c r="C146" s="3574" t="s">
        <v>4162</v>
      </c>
      <c r="D146" s="3514">
        <v>75</v>
      </c>
      <c r="E146" s="3511">
        <v>6</v>
      </c>
      <c r="F146" s="3511">
        <v>3</v>
      </c>
      <c r="G146" s="3511">
        <v>164250</v>
      </c>
      <c r="H146" s="3511">
        <v>82125</v>
      </c>
      <c r="I146" s="3490">
        <f t="shared" si="5"/>
        <v>246375</v>
      </c>
      <c r="J146" s="3490">
        <f t="shared" si="4"/>
        <v>9</v>
      </c>
      <c r="K146" s="3515">
        <v>45133</v>
      </c>
      <c r="L146" s="3516">
        <v>45153</v>
      </c>
      <c r="M146" s="3517" t="s">
        <v>4110</v>
      </c>
      <c r="N146" s="3573">
        <v>2</v>
      </c>
      <c r="O146" s="3555">
        <v>1</v>
      </c>
      <c r="P146" s="3516">
        <v>45183</v>
      </c>
      <c r="Q146" s="3487"/>
      <c r="R146" s="3550"/>
      <c r="S146" s="3547" t="s">
        <v>4090</v>
      </c>
      <c r="T146" s="3550" t="s">
        <v>4091</v>
      </c>
      <c r="U146" s="3550" t="s">
        <v>4091</v>
      </c>
    </row>
    <row r="147" spans="1:21" s="3548" customFormat="1" ht="33.75" customHeight="1">
      <c r="A147" s="3484">
        <v>144</v>
      </c>
      <c r="B147" s="3510" t="s">
        <v>4163</v>
      </c>
      <c r="C147" s="3574" t="s">
        <v>4164</v>
      </c>
      <c r="D147" s="3514">
        <v>140</v>
      </c>
      <c r="E147" s="3511"/>
      <c r="F147" s="3511">
        <v>1</v>
      </c>
      <c r="G147" s="3511"/>
      <c r="H147" s="3511">
        <v>51100</v>
      </c>
      <c r="I147" s="3490">
        <f t="shared" si="5"/>
        <v>51100</v>
      </c>
      <c r="J147" s="3490">
        <f t="shared" si="4"/>
        <v>1</v>
      </c>
      <c r="K147" s="3515">
        <v>45108</v>
      </c>
      <c r="L147" s="3516">
        <v>45139</v>
      </c>
      <c r="M147" s="3517" t="s">
        <v>4089</v>
      </c>
      <c r="N147" s="3573">
        <v>3</v>
      </c>
      <c r="O147" s="3555">
        <v>1</v>
      </c>
      <c r="P147" s="3516">
        <v>45170</v>
      </c>
      <c r="Q147" s="3487"/>
      <c r="R147" s="3550"/>
      <c r="S147" s="3547" t="s">
        <v>4090</v>
      </c>
      <c r="T147" s="3550" t="s">
        <v>4091</v>
      </c>
      <c r="U147" s="3550" t="s">
        <v>4091</v>
      </c>
    </row>
    <row r="148" spans="1:21" s="3548" customFormat="1" ht="33.75" customHeight="1">
      <c r="A148" s="3484">
        <v>145</v>
      </c>
      <c r="B148" s="3510" t="s">
        <v>4165</v>
      </c>
      <c r="C148" s="3574" t="s">
        <v>4166</v>
      </c>
      <c r="D148" s="3514">
        <v>50</v>
      </c>
      <c r="E148" s="3511">
        <v>8</v>
      </c>
      <c r="F148" s="3511">
        <v>3</v>
      </c>
      <c r="G148" s="3511">
        <v>146000</v>
      </c>
      <c r="H148" s="3511">
        <v>54750</v>
      </c>
      <c r="I148" s="3490">
        <f t="shared" si="5"/>
        <v>200750</v>
      </c>
      <c r="J148" s="3490">
        <f t="shared" si="4"/>
        <v>11</v>
      </c>
      <c r="K148" s="3515">
        <v>45138</v>
      </c>
      <c r="L148" s="3516">
        <v>45170</v>
      </c>
      <c r="M148" s="3517" t="s">
        <v>4110</v>
      </c>
      <c r="N148" s="3573">
        <v>3</v>
      </c>
      <c r="O148" s="3555">
        <v>1</v>
      </c>
      <c r="P148" s="3516">
        <v>45197</v>
      </c>
      <c r="Q148" s="3487"/>
      <c r="R148" s="3550"/>
      <c r="S148" s="3547" t="s">
        <v>4090</v>
      </c>
      <c r="T148" s="3550" t="s">
        <v>4091</v>
      </c>
      <c r="U148" s="3550" t="s">
        <v>4091</v>
      </c>
    </row>
    <row r="149" spans="1:21" s="3548" customFormat="1" ht="33.75" customHeight="1">
      <c r="A149" s="3484">
        <v>146</v>
      </c>
      <c r="B149" s="3510" t="s">
        <v>4080</v>
      </c>
      <c r="C149" s="3574" t="s">
        <v>4167</v>
      </c>
      <c r="D149" s="3514">
        <v>8.4600000000000009</v>
      </c>
      <c r="E149" s="3511">
        <v>2.5</v>
      </c>
      <c r="F149" s="3511">
        <v>2.5</v>
      </c>
      <c r="G149" s="3511">
        <v>7719.75</v>
      </c>
      <c r="H149" s="3511">
        <v>7719.75</v>
      </c>
      <c r="I149" s="3490">
        <f t="shared" si="5"/>
        <v>15439.5</v>
      </c>
      <c r="J149" s="3490">
        <f t="shared" si="4"/>
        <v>5</v>
      </c>
      <c r="K149" s="3515">
        <v>45142</v>
      </c>
      <c r="L149" s="3516"/>
      <c r="M149" s="3517" t="s">
        <v>4168</v>
      </c>
      <c r="N149" s="3573">
        <v>1</v>
      </c>
      <c r="O149" s="3555"/>
      <c r="P149" s="3516">
        <v>45135</v>
      </c>
      <c r="Q149" s="3487"/>
      <c r="R149" s="3550"/>
      <c r="S149" s="3547" t="s">
        <v>4090</v>
      </c>
      <c r="T149" s="3550" t="s">
        <v>4091</v>
      </c>
      <c r="U149" s="3550" t="s">
        <v>4091</v>
      </c>
    </row>
    <row r="150" spans="1:21" s="3548" customFormat="1" ht="33.75" customHeight="1">
      <c r="A150" s="3484">
        <v>147</v>
      </c>
      <c r="B150" s="3510" t="s">
        <v>4169</v>
      </c>
      <c r="C150" s="3574" t="s">
        <v>4170</v>
      </c>
      <c r="D150" s="3514">
        <v>100</v>
      </c>
      <c r="E150" s="3511"/>
      <c r="F150" s="3511"/>
      <c r="G150" s="3511"/>
      <c r="H150" s="3511"/>
      <c r="I150" s="3490">
        <f t="shared" si="5"/>
        <v>0</v>
      </c>
      <c r="J150" s="3490">
        <f t="shared" si="4"/>
        <v>0</v>
      </c>
      <c r="K150" s="3515">
        <v>45124</v>
      </c>
      <c r="L150" s="3516"/>
      <c r="M150" s="3517" t="s">
        <v>4089</v>
      </c>
      <c r="N150" s="3522" t="s">
        <v>4171</v>
      </c>
      <c r="O150" s="3555"/>
      <c r="P150" s="3516">
        <v>45125</v>
      </c>
      <c r="Q150" s="3487"/>
      <c r="R150" s="3550"/>
      <c r="S150" s="3547" t="s">
        <v>4090</v>
      </c>
      <c r="T150" s="3550" t="s">
        <v>4091</v>
      </c>
      <c r="U150" s="3550" t="s">
        <v>4091</v>
      </c>
    </row>
    <row r="151" spans="1:21" s="3548" customFormat="1" ht="33.75" customHeight="1">
      <c r="A151" s="3484">
        <v>148</v>
      </c>
      <c r="B151" s="3510" t="s">
        <v>4172</v>
      </c>
      <c r="C151" s="3574" t="s">
        <v>4173</v>
      </c>
      <c r="D151" s="3514">
        <v>47</v>
      </c>
      <c r="E151" s="3511">
        <v>5</v>
      </c>
      <c r="F151" s="3511">
        <v>3</v>
      </c>
      <c r="G151" s="3511">
        <v>85775</v>
      </c>
      <c r="H151" s="3511">
        <v>51465</v>
      </c>
      <c r="I151" s="3490">
        <f t="shared" si="5"/>
        <v>137240</v>
      </c>
      <c r="J151" s="3490">
        <f t="shared" si="4"/>
        <v>8</v>
      </c>
      <c r="K151" s="3515">
        <v>45143</v>
      </c>
      <c r="L151" s="3516"/>
      <c r="M151" s="3517" t="s">
        <v>4094</v>
      </c>
      <c r="N151" s="3573">
        <v>2</v>
      </c>
      <c r="O151" s="3555"/>
      <c r="P151" s="3516">
        <v>45194</v>
      </c>
      <c r="Q151" s="3487"/>
      <c r="R151" s="3550"/>
      <c r="S151" s="3547" t="s">
        <v>3911</v>
      </c>
      <c r="T151" s="3550" t="s">
        <v>3997</v>
      </c>
      <c r="U151" s="3550" t="s">
        <v>3997</v>
      </c>
    </row>
    <row r="152" spans="1:21" s="3548" customFormat="1" ht="33.75" hidden="1" customHeight="1">
      <c r="A152" s="3484"/>
      <c r="B152" s="3510"/>
      <c r="C152" s="3574"/>
      <c r="D152" s="3514"/>
      <c r="E152" s="3511"/>
      <c r="F152" s="3511"/>
      <c r="G152" s="3511"/>
      <c r="H152" s="3511"/>
      <c r="I152" s="3490">
        <f t="shared" si="5"/>
        <v>0</v>
      </c>
      <c r="J152" s="3490">
        <f t="shared" si="4"/>
        <v>0</v>
      </c>
      <c r="K152" s="3515"/>
      <c r="L152" s="3516"/>
      <c r="M152" s="3582"/>
      <c r="N152" s="3573"/>
      <c r="O152" s="3555"/>
      <c r="P152" s="3516"/>
      <c r="Q152" s="3487"/>
      <c r="R152" s="3550"/>
      <c r="S152" s="3547"/>
      <c r="T152" s="3550"/>
      <c r="U152" s="3550"/>
    </row>
    <row r="153" spans="1:21" s="3548" customFormat="1" ht="33.75" hidden="1" customHeight="1">
      <c r="A153" s="3484"/>
      <c r="B153" s="3510"/>
      <c r="C153" s="3574"/>
      <c r="D153" s="3514"/>
      <c r="E153" s="3511"/>
      <c r="F153" s="3511"/>
      <c r="G153" s="3511"/>
      <c r="H153" s="3511"/>
      <c r="I153" s="3490">
        <f t="shared" si="5"/>
        <v>0</v>
      </c>
      <c r="J153" s="3490">
        <f t="shared" si="4"/>
        <v>0</v>
      </c>
      <c r="K153" s="3515"/>
      <c r="L153" s="3516"/>
      <c r="M153" s="3517"/>
      <c r="N153" s="3507"/>
      <c r="O153" s="3555"/>
      <c r="P153" s="3516"/>
      <c r="Q153" s="3487"/>
      <c r="R153" s="3550"/>
      <c r="S153" s="3547"/>
      <c r="T153" s="3550"/>
      <c r="U153" s="3550"/>
    </row>
    <row r="154" spans="1:21" s="3548" customFormat="1" ht="33.75" hidden="1" customHeight="1">
      <c r="A154" s="3484"/>
      <c r="B154" s="3510"/>
      <c r="C154" s="3574"/>
      <c r="D154" s="3514"/>
      <c r="E154" s="3511"/>
      <c r="F154" s="3511"/>
      <c r="G154" s="3511"/>
      <c r="H154" s="3511"/>
      <c r="I154" s="3490">
        <f t="shared" si="5"/>
        <v>0</v>
      </c>
      <c r="J154" s="3490">
        <f t="shared" si="4"/>
        <v>0</v>
      </c>
      <c r="K154" s="3515"/>
      <c r="L154" s="3516"/>
      <c r="M154" s="3517"/>
      <c r="N154" s="3507"/>
      <c r="O154" s="3555"/>
      <c r="P154" s="3516"/>
      <c r="Q154" s="3487"/>
      <c r="R154" s="3550"/>
      <c r="S154" s="3547"/>
      <c r="T154" s="3550"/>
      <c r="U154" s="3550"/>
    </row>
    <row r="155" spans="1:21" s="3548" customFormat="1" ht="33.75" hidden="1" customHeight="1">
      <c r="A155" s="3484"/>
      <c r="B155" s="3510"/>
      <c r="C155" s="3574"/>
      <c r="D155" s="3514"/>
      <c r="E155" s="3511"/>
      <c r="F155" s="3511"/>
      <c r="G155" s="3511"/>
      <c r="H155" s="3511"/>
      <c r="I155" s="3490">
        <f t="shared" si="5"/>
        <v>0</v>
      </c>
      <c r="J155" s="3490">
        <f t="shared" si="4"/>
        <v>0</v>
      </c>
      <c r="K155" s="3515"/>
      <c r="L155" s="3516"/>
      <c r="M155" s="3517"/>
      <c r="N155" s="3507"/>
      <c r="O155" s="3555"/>
      <c r="P155" s="3516"/>
      <c r="Q155" s="3487"/>
      <c r="R155" s="3550"/>
      <c r="S155" s="3547"/>
      <c r="T155" s="3550"/>
      <c r="U155" s="3550"/>
    </row>
    <row r="156" spans="1:21" s="3548" customFormat="1" ht="33.75" hidden="1" customHeight="1">
      <c r="A156" s="3484"/>
      <c r="B156" s="3510"/>
      <c r="C156" s="3574"/>
      <c r="D156" s="3514"/>
      <c r="E156" s="3511"/>
      <c r="F156" s="3511"/>
      <c r="G156" s="3511"/>
      <c r="H156" s="3511"/>
      <c r="I156" s="3490">
        <f t="shared" si="5"/>
        <v>0</v>
      </c>
      <c r="J156" s="3490">
        <f t="shared" si="4"/>
        <v>0</v>
      </c>
      <c r="K156" s="3515"/>
      <c r="L156" s="3516"/>
      <c r="M156" s="3517"/>
      <c r="N156" s="3507"/>
      <c r="O156" s="3555"/>
      <c r="P156" s="3516"/>
      <c r="Q156" s="3487"/>
      <c r="R156" s="3550"/>
      <c r="S156" s="3547"/>
      <c r="T156" s="3550"/>
      <c r="U156" s="3550"/>
    </row>
    <row r="157" spans="1:21" s="3548" customFormat="1" ht="33.75" hidden="1" customHeight="1">
      <c r="A157" s="3484"/>
      <c r="B157" s="3510"/>
      <c r="C157" s="3574"/>
      <c r="D157" s="3514"/>
      <c r="E157" s="3511"/>
      <c r="F157" s="3511"/>
      <c r="G157" s="3511"/>
      <c r="H157" s="3511"/>
      <c r="I157" s="3490">
        <f t="shared" si="5"/>
        <v>0</v>
      </c>
      <c r="J157" s="3490"/>
      <c r="K157" s="3515"/>
      <c r="L157" s="3516"/>
      <c r="M157" s="3517"/>
      <c r="N157" s="3507"/>
      <c r="O157" s="3555"/>
      <c r="P157" s="3516"/>
      <c r="Q157" s="3487"/>
      <c r="R157" s="3550"/>
      <c r="S157" s="3547"/>
      <c r="T157" s="3550"/>
      <c r="U157" s="3550"/>
    </row>
    <row r="158" spans="1:21" s="3548" customFormat="1" ht="33.75" hidden="1" customHeight="1">
      <c r="A158" s="3484"/>
      <c r="B158" s="3510"/>
      <c r="C158" s="3574"/>
      <c r="D158" s="3514"/>
      <c r="E158" s="3511"/>
      <c r="F158" s="3511"/>
      <c r="G158" s="3511"/>
      <c r="H158" s="3511"/>
      <c r="I158" s="3490">
        <f t="shared" si="5"/>
        <v>0</v>
      </c>
      <c r="J158" s="3490"/>
      <c r="K158" s="3515"/>
      <c r="L158" s="3556"/>
      <c r="M158" s="3517"/>
      <c r="N158" s="3507"/>
      <c r="O158" s="3555"/>
      <c r="P158" s="3516"/>
      <c r="Q158" s="3487"/>
      <c r="R158" s="3550"/>
      <c r="S158" s="3547"/>
      <c r="T158" s="3550"/>
      <c r="U158" s="3550"/>
    </row>
    <row r="159" spans="1:21" s="3548" customFormat="1" ht="33.75" hidden="1" customHeight="1">
      <c r="A159" s="3484"/>
      <c r="B159" s="3510"/>
      <c r="C159" s="3574"/>
      <c r="D159" s="3514"/>
      <c r="E159" s="3511"/>
      <c r="F159" s="3511"/>
      <c r="G159" s="3511"/>
      <c r="H159" s="3511"/>
      <c r="I159" s="3490">
        <f t="shared" si="5"/>
        <v>0</v>
      </c>
      <c r="J159" s="3490"/>
      <c r="K159" s="3515"/>
      <c r="L159" s="3556"/>
      <c r="M159" s="3517"/>
      <c r="N159" s="3507"/>
      <c r="O159" s="3555"/>
      <c r="P159" s="3516"/>
      <c r="Q159" s="3487"/>
      <c r="R159" s="3550"/>
      <c r="S159" s="3547"/>
      <c r="T159" s="3550"/>
      <c r="U159" s="3550"/>
    </row>
    <row r="160" spans="1:21" s="3548" customFormat="1" ht="33.75" hidden="1" customHeight="1">
      <c r="A160" s="3484"/>
      <c r="B160" s="3510"/>
      <c r="C160" s="3574"/>
      <c r="D160" s="3514"/>
      <c r="E160" s="3511"/>
      <c r="F160" s="3511"/>
      <c r="G160" s="3511"/>
      <c r="H160" s="3511"/>
      <c r="I160" s="3490">
        <f t="shared" si="5"/>
        <v>0</v>
      </c>
      <c r="J160" s="3490"/>
      <c r="K160" s="3515"/>
      <c r="L160" s="3556"/>
      <c r="M160" s="3517"/>
      <c r="N160" s="3507"/>
      <c r="O160" s="3555"/>
      <c r="P160" s="3516"/>
      <c r="Q160" s="3487"/>
      <c r="R160" s="3550"/>
      <c r="S160" s="3547"/>
      <c r="T160" s="3550"/>
      <c r="U160" s="3550"/>
    </row>
    <row r="161" spans="1:21" s="3548" customFormat="1" ht="33.75" hidden="1" customHeight="1">
      <c r="A161" s="3484"/>
      <c r="B161" s="3510"/>
      <c r="C161" s="3574"/>
      <c r="D161" s="3514"/>
      <c r="E161" s="3511"/>
      <c r="F161" s="3511"/>
      <c r="G161" s="3511"/>
      <c r="H161" s="3511"/>
      <c r="I161" s="3490">
        <f t="shared" si="5"/>
        <v>0</v>
      </c>
      <c r="J161" s="3490"/>
      <c r="K161" s="3515"/>
      <c r="L161" s="3556"/>
      <c r="M161" s="3517"/>
      <c r="N161" s="3507"/>
      <c r="O161" s="3555"/>
      <c r="P161" s="3516"/>
      <c r="Q161" s="3487"/>
      <c r="R161" s="3550"/>
      <c r="S161" s="3547"/>
      <c r="T161" s="3550"/>
      <c r="U161" s="3550"/>
    </row>
    <row r="162" spans="1:21" s="3548" customFormat="1" ht="33.75" hidden="1" customHeight="1">
      <c r="A162" s="3484"/>
      <c r="B162" s="3510"/>
      <c r="C162" s="3574"/>
      <c r="D162" s="3514"/>
      <c r="E162" s="3511"/>
      <c r="F162" s="3511"/>
      <c r="G162" s="3511"/>
      <c r="H162" s="3511"/>
      <c r="I162" s="3490">
        <f t="shared" si="5"/>
        <v>0</v>
      </c>
      <c r="J162" s="3490"/>
      <c r="K162" s="3515"/>
      <c r="L162" s="3556"/>
      <c r="M162" s="3517"/>
      <c r="N162" s="3507"/>
      <c r="O162" s="3555"/>
      <c r="P162" s="3516"/>
      <c r="Q162" s="3487"/>
      <c r="R162" s="3550"/>
      <c r="S162" s="3547"/>
      <c r="T162" s="3550"/>
      <c r="U162" s="3550"/>
    </row>
    <row r="163" spans="1:21" s="3548" customFormat="1" ht="33.75" hidden="1" customHeight="1">
      <c r="A163" s="3484"/>
      <c r="B163" s="3510"/>
      <c r="C163" s="3574"/>
      <c r="D163" s="3514"/>
      <c r="E163" s="3511"/>
      <c r="F163" s="3511"/>
      <c r="G163" s="3511"/>
      <c r="H163" s="3511"/>
      <c r="I163" s="3490">
        <f t="shared" si="5"/>
        <v>0</v>
      </c>
      <c r="J163" s="3490"/>
      <c r="K163" s="3515"/>
      <c r="L163" s="3556"/>
      <c r="M163" s="3517"/>
      <c r="N163" s="3507"/>
      <c r="O163" s="3555"/>
      <c r="P163" s="3516"/>
      <c r="Q163" s="3487"/>
      <c r="R163" s="3550"/>
      <c r="S163" s="3547"/>
      <c r="T163" s="3550"/>
      <c r="U163" s="3550"/>
    </row>
    <row r="164" spans="1:21" s="3548" customFormat="1" ht="33.75" hidden="1" customHeight="1">
      <c r="A164" s="3484"/>
      <c r="B164" s="3510"/>
      <c r="C164" s="3574"/>
      <c r="D164" s="3514"/>
      <c r="E164" s="3511"/>
      <c r="F164" s="3511"/>
      <c r="G164" s="3511"/>
      <c r="H164" s="3511"/>
      <c r="I164" s="3490">
        <f t="shared" si="5"/>
        <v>0</v>
      </c>
      <c r="J164" s="3490"/>
      <c r="K164" s="3515"/>
      <c r="L164" s="3556"/>
      <c r="M164" s="3517"/>
      <c r="N164" s="3507"/>
      <c r="O164" s="3555"/>
      <c r="P164" s="3516"/>
      <c r="Q164" s="3487"/>
      <c r="R164" s="3550"/>
      <c r="S164" s="3547"/>
      <c r="T164" s="3550"/>
      <c r="U164" s="3550"/>
    </row>
    <row r="165" spans="1:21" s="3548" customFormat="1" ht="33.75" hidden="1" customHeight="1">
      <c r="A165" s="3484"/>
      <c r="B165" s="3510"/>
      <c r="C165" s="3574"/>
      <c r="D165" s="3514"/>
      <c r="E165" s="3511"/>
      <c r="F165" s="3511"/>
      <c r="G165" s="3511"/>
      <c r="H165" s="3511"/>
      <c r="I165" s="3490">
        <f t="shared" si="5"/>
        <v>0</v>
      </c>
      <c r="J165" s="3490"/>
      <c r="K165" s="3515"/>
      <c r="L165" s="3556"/>
      <c r="M165" s="3517"/>
      <c r="N165" s="3507"/>
      <c r="O165" s="3555"/>
      <c r="P165" s="3516"/>
      <c r="Q165" s="3487"/>
      <c r="R165" s="3550"/>
      <c r="S165" s="3547"/>
      <c r="T165" s="3550"/>
      <c r="U165" s="3550"/>
    </row>
    <row r="166" spans="1:21" s="3548" customFormat="1" ht="33.75" hidden="1" customHeight="1">
      <c r="A166" s="3484"/>
      <c r="B166" s="3510"/>
      <c r="C166" s="3574"/>
      <c r="D166" s="3514"/>
      <c r="E166" s="3511"/>
      <c r="F166" s="3511"/>
      <c r="G166" s="3511"/>
      <c r="H166" s="3511"/>
      <c r="I166" s="3490"/>
      <c r="J166" s="3490"/>
      <c r="K166" s="3515"/>
      <c r="L166" s="3556"/>
      <c r="M166" s="3517"/>
      <c r="N166" s="3507"/>
      <c r="O166" s="3555"/>
      <c r="P166" s="3516"/>
      <c r="Q166" s="3487"/>
      <c r="R166" s="3550"/>
      <c r="S166" s="3547"/>
      <c r="T166" s="3550"/>
      <c r="U166" s="3550"/>
    </row>
    <row r="167" spans="1:21" s="3548" customFormat="1" ht="33.75" hidden="1" customHeight="1">
      <c r="A167" s="3484"/>
      <c r="B167" s="3510"/>
      <c r="C167" s="3574"/>
      <c r="D167" s="3514"/>
      <c r="E167" s="3511"/>
      <c r="F167" s="3511"/>
      <c r="G167" s="3511"/>
      <c r="H167" s="3511"/>
      <c r="I167" s="3490"/>
      <c r="J167" s="3490"/>
      <c r="K167" s="3515"/>
      <c r="L167" s="3556"/>
      <c r="M167" s="3517"/>
      <c r="N167" s="3507"/>
      <c r="O167" s="3555"/>
      <c r="P167" s="3516"/>
      <c r="Q167" s="3487"/>
      <c r="R167" s="3550"/>
      <c r="S167" s="3547"/>
      <c r="T167" s="3550"/>
      <c r="U167" s="3550"/>
    </row>
    <row r="168" spans="1:21" s="3548" customFormat="1" ht="33.75" hidden="1" customHeight="1">
      <c r="A168" s="3484"/>
      <c r="B168" s="3510"/>
      <c r="C168" s="3574"/>
      <c r="D168" s="3514"/>
      <c r="E168" s="3511"/>
      <c r="F168" s="3511"/>
      <c r="G168" s="3511"/>
      <c r="H168" s="3511"/>
      <c r="I168" s="3490"/>
      <c r="J168" s="3490"/>
      <c r="K168" s="3515"/>
      <c r="L168" s="3556"/>
      <c r="M168" s="3517"/>
      <c r="N168" s="3507"/>
      <c r="O168" s="3555"/>
      <c r="P168" s="3516"/>
      <c r="Q168" s="3487"/>
      <c r="R168" s="3550"/>
      <c r="S168" s="3547"/>
      <c r="T168" s="3550"/>
      <c r="U168" s="3550"/>
    </row>
    <row r="169" spans="1:21" s="3548" customFormat="1" ht="33.75" hidden="1" customHeight="1">
      <c r="A169" s="3484"/>
      <c r="B169" s="3510"/>
      <c r="C169" s="3574"/>
      <c r="D169" s="3514"/>
      <c r="E169" s="3511"/>
      <c r="F169" s="3511"/>
      <c r="G169" s="3511"/>
      <c r="H169" s="3511"/>
      <c r="I169" s="3490"/>
      <c r="J169" s="3490"/>
      <c r="K169" s="3515"/>
      <c r="L169" s="3556"/>
      <c r="M169" s="3517"/>
      <c r="N169" s="3507"/>
      <c r="O169" s="3555"/>
      <c r="P169" s="3516"/>
      <c r="Q169" s="3487"/>
      <c r="R169" s="3550"/>
      <c r="S169" s="3547"/>
      <c r="T169" s="3550"/>
      <c r="U169" s="3550"/>
    </row>
    <row r="170" spans="1:21" s="3548" customFormat="1" ht="33.75" hidden="1" customHeight="1">
      <c r="A170" s="3484"/>
      <c r="B170" s="3510"/>
      <c r="C170" s="3574"/>
      <c r="D170" s="3514"/>
      <c r="E170" s="3511"/>
      <c r="F170" s="3511"/>
      <c r="G170" s="3511"/>
      <c r="H170" s="3511"/>
      <c r="I170" s="3490"/>
      <c r="J170" s="3490"/>
      <c r="K170" s="3515"/>
      <c r="L170" s="3556"/>
      <c r="M170" s="3517"/>
      <c r="N170" s="3507"/>
      <c r="O170" s="3555"/>
      <c r="P170" s="3516"/>
      <c r="Q170" s="3487"/>
      <c r="R170" s="3550"/>
      <c r="S170" s="3547"/>
      <c r="T170" s="3550"/>
      <c r="U170" s="3550"/>
    </row>
    <row r="171" spans="1:21" s="3548" customFormat="1" ht="33.75" hidden="1" customHeight="1">
      <c r="A171" s="3484"/>
      <c r="B171" s="3510"/>
      <c r="C171" s="3574"/>
      <c r="D171" s="3514"/>
      <c r="E171" s="3511"/>
      <c r="F171" s="3511"/>
      <c r="G171" s="3511"/>
      <c r="H171" s="3511"/>
      <c r="I171" s="3490"/>
      <c r="J171" s="3490"/>
      <c r="K171" s="3515"/>
      <c r="L171" s="3556"/>
      <c r="M171" s="3517"/>
      <c r="N171" s="3507"/>
      <c r="O171" s="3555"/>
      <c r="P171" s="3516"/>
      <c r="Q171" s="3487"/>
      <c r="R171" s="3550"/>
      <c r="S171" s="3547"/>
      <c r="T171" s="3550"/>
      <c r="U171" s="3550"/>
    </row>
    <row r="172" spans="1:21" s="3548" customFormat="1" ht="33.75" hidden="1" customHeight="1">
      <c r="A172" s="3484"/>
      <c r="B172" s="3510"/>
      <c r="C172" s="3574"/>
      <c r="D172" s="3514"/>
      <c r="E172" s="3511"/>
      <c r="F172" s="3511"/>
      <c r="G172" s="3511"/>
      <c r="H172" s="3511"/>
      <c r="I172" s="3490"/>
      <c r="J172" s="3490"/>
      <c r="K172" s="3515"/>
      <c r="L172" s="3556"/>
      <c r="M172" s="3517"/>
      <c r="N172" s="3507"/>
      <c r="O172" s="3555"/>
      <c r="P172" s="3516"/>
      <c r="Q172" s="3487"/>
      <c r="R172" s="3550"/>
      <c r="S172" s="3547"/>
      <c r="T172" s="3550"/>
      <c r="U172" s="3550"/>
    </row>
    <row r="173" spans="1:21" s="3548" customFormat="1" ht="33.75" hidden="1" customHeight="1">
      <c r="A173" s="3484"/>
      <c r="B173" s="3510"/>
      <c r="C173" s="3574"/>
      <c r="D173" s="3514"/>
      <c r="E173" s="3511"/>
      <c r="F173" s="3511"/>
      <c r="G173" s="3511"/>
      <c r="H173" s="3511"/>
      <c r="I173" s="3490"/>
      <c r="J173" s="3490"/>
      <c r="K173" s="3515"/>
      <c r="L173" s="3556"/>
      <c r="M173" s="3517"/>
      <c r="N173" s="3507"/>
      <c r="O173" s="3555"/>
      <c r="P173" s="3516"/>
      <c r="Q173" s="3487"/>
      <c r="R173" s="3550"/>
      <c r="S173" s="3547"/>
      <c r="T173" s="3550"/>
      <c r="U173" s="3550"/>
    </row>
    <row r="174" spans="1:21" s="3548" customFormat="1" ht="33.75" hidden="1" customHeight="1">
      <c r="A174" s="3484"/>
      <c r="B174" s="3510"/>
      <c r="C174" s="3574"/>
      <c r="D174" s="3514"/>
      <c r="E174" s="3511"/>
      <c r="F174" s="3511"/>
      <c r="G174" s="3511"/>
      <c r="H174" s="3511"/>
      <c r="I174" s="3490"/>
      <c r="J174" s="3490"/>
      <c r="K174" s="3515"/>
      <c r="L174" s="3556"/>
      <c r="M174" s="3517"/>
      <c r="N174" s="3507"/>
      <c r="O174" s="3555"/>
      <c r="P174" s="3516"/>
      <c r="Q174" s="3487"/>
      <c r="R174" s="3550"/>
      <c r="S174" s="3547"/>
      <c r="T174" s="3550"/>
      <c r="U174" s="3550"/>
    </row>
    <row r="175" spans="1:21" s="3548" customFormat="1" ht="33.75" hidden="1" customHeight="1">
      <c r="A175" s="3484"/>
      <c r="B175" s="3510"/>
      <c r="C175" s="3574"/>
      <c r="D175" s="3514"/>
      <c r="E175" s="3511"/>
      <c r="F175" s="3511"/>
      <c r="G175" s="3511"/>
      <c r="H175" s="3511"/>
      <c r="I175" s="3490"/>
      <c r="J175" s="3490"/>
      <c r="K175" s="3515"/>
      <c r="L175" s="3556"/>
      <c r="M175" s="3517"/>
      <c r="N175" s="3507"/>
      <c r="O175" s="3555"/>
      <c r="P175" s="3516"/>
      <c r="Q175" s="3487"/>
      <c r="R175" s="3550"/>
      <c r="S175" s="3547"/>
      <c r="T175" s="3550"/>
      <c r="U175" s="3550"/>
    </row>
    <row r="176" spans="1:21" s="3548" customFormat="1" ht="33.75" hidden="1" customHeight="1">
      <c r="A176" s="3484"/>
      <c r="B176" s="3510"/>
      <c r="C176" s="3574"/>
      <c r="D176" s="3514"/>
      <c r="E176" s="3511"/>
      <c r="F176" s="3511"/>
      <c r="G176" s="3511"/>
      <c r="H176" s="3511"/>
      <c r="I176" s="3490"/>
      <c r="J176" s="3490"/>
      <c r="K176" s="3515"/>
      <c r="L176" s="3556"/>
      <c r="M176" s="3517"/>
      <c r="N176" s="3507"/>
      <c r="O176" s="3555"/>
      <c r="P176" s="3516"/>
      <c r="Q176" s="3487"/>
      <c r="R176" s="3550"/>
      <c r="S176" s="3547"/>
      <c r="T176" s="3550"/>
      <c r="U176" s="3550"/>
    </row>
    <row r="177" spans="1:21" s="3548" customFormat="1" ht="33.75" hidden="1" customHeight="1">
      <c r="A177" s="3484"/>
      <c r="B177" s="3510"/>
      <c r="C177" s="3574"/>
      <c r="D177" s="3514"/>
      <c r="E177" s="3511"/>
      <c r="F177" s="3511"/>
      <c r="G177" s="3511"/>
      <c r="H177" s="3511"/>
      <c r="I177" s="3490"/>
      <c r="J177" s="3490"/>
      <c r="K177" s="3515"/>
      <c r="L177" s="3556"/>
      <c r="M177" s="3517"/>
      <c r="N177" s="3507"/>
      <c r="O177" s="3555"/>
      <c r="P177" s="3516"/>
      <c r="Q177" s="3487"/>
      <c r="R177" s="3550"/>
      <c r="S177" s="3547"/>
      <c r="T177" s="3550"/>
      <c r="U177" s="3550"/>
    </row>
    <row r="178" spans="1:21" s="3548" customFormat="1" ht="33.75" hidden="1" customHeight="1">
      <c r="A178" s="3484"/>
      <c r="B178" s="3510"/>
      <c r="C178" s="3574"/>
      <c r="D178" s="3514"/>
      <c r="E178" s="3511"/>
      <c r="F178" s="3511"/>
      <c r="G178" s="3511"/>
      <c r="H178" s="3511"/>
      <c r="I178" s="3490"/>
      <c r="J178" s="3490"/>
      <c r="K178" s="3515"/>
      <c r="L178" s="3556"/>
      <c r="M178" s="3517"/>
      <c r="N178" s="3507"/>
      <c r="O178" s="3555"/>
      <c r="P178" s="3516"/>
      <c r="Q178" s="3487"/>
      <c r="R178" s="3550"/>
      <c r="S178" s="3547"/>
      <c r="T178" s="3550"/>
      <c r="U178" s="3550"/>
    </row>
    <row r="179" spans="1:21" s="3548" customFormat="1" ht="33.75" hidden="1" customHeight="1">
      <c r="A179" s="3484"/>
      <c r="B179" s="3510"/>
      <c r="C179" s="3574"/>
      <c r="D179" s="3514"/>
      <c r="E179" s="3511"/>
      <c r="F179" s="3511"/>
      <c r="G179" s="3511"/>
      <c r="H179" s="3511"/>
      <c r="I179" s="3490"/>
      <c r="J179" s="3490"/>
      <c r="K179" s="3515"/>
      <c r="L179" s="3556"/>
      <c r="M179" s="3517"/>
      <c r="N179" s="3507"/>
      <c r="O179" s="3555"/>
      <c r="P179" s="3516"/>
      <c r="Q179" s="3487"/>
      <c r="R179" s="3550"/>
      <c r="S179" s="3547"/>
      <c r="T179" s="3550"/>
      <c r="U179" s="3550"/>
    </row>
    <row r="180" spans="1:21" s="3548" customFormat="1" ht="33.75" hidden="1" customHeight="1">
      <c r="A180" s="3484"/>
      <c r="B180" s="3510"/>
      <c r="C180" s="3574"/>
      <c r="D180" s="3514"/>
      <c r="E180" s="3511"/>
      <c r="F180" s="3511"/>
      <c r="G180" s="3511"/>
      <c r="H180" s="3511"/>
      <c r="I180" s="3490"/>
      <c r="J180" s="3490"/>
      <c r="K180" s="3515"/>
      <c r="L180" s="3556"/>
      <c r="M180" s="3517"/>
      <c r="N180" s="3507"/>
      <c r="O180" s="3555"/>
      <c r="P180" s="3516"/>
      <c r="Q180" s="3487"/>
      <c r="R180" s="3550"/>
      <c r="S180" s="3547"/>
      <c r="T180" s="3550"/>
      <c r="U180" s="3550"/>
    </row>
    <row r="181" spans="1:21" s="3548" customFormat="1" ht="33.75" hidden="1" customHeight="1">
      <c r="A181" s="3484"/>
      <c r="B181" s="3510"/>
      <c r="C181" s="3574"/>
      <c r="D181" s="3514"/>
      <c r="E181" s="3511"/>
      <c r="F181" s="3511"/>
      <c r="G181" s="3511"/>
      <c r="H181" s="3511"/>
      <c r="I181" s="3490"/>
      <c r="J181" s="3490"/>
      <c r="K181" s="3515"/>
      <c r="L181" s="3556"/>
      <c r="M181" s="3517"/>
      <c r="N181" s="3507"/>
      <c r="O181" s="3555"/>
      <c r="P181" s="3516"/>
      <c r="Q181" s="3487"/>
      <c r="R181" s="3550"/>
      <c r="S181" s="3547"/>
      <c r="T181" s="3550"/>
      <c r="U181" s="3550"/>
    </row>
    <row r="182" spans="1:21" s="3548" customFormat="1" ht="33.75" hidden="1" customHeight="1">
      <c r="A182" s="3484"/>
      <c r="B182" s="3510"/>
      <c r="C182" s="3574"/>
      <c r="D182" s="3514"/>
      <c r="E182" s="3511"/>
      <c r="F182" s="3511"/>
      <c r="G182" s="3511"/>
      <c r="H182" s="3511"/>
      <c r="I182" s="3490"/>
      <c r="J182" s="3490"/>
      <c r="K182" s="3515"/>
      <c r="L182" s="3556"/>
      <c r="M182" s="3517"/>
      <c r="N182" s="3507"/>
      <c r="O182" s="3555"/>
      <c r="P182" s="3516"/>
      <c r="Q182" s="3487"/>
      <c r="R182" s="3550"/>
      <c r="S182" s="3547"/>
      <c r="T182" s="3550"/>
      <c r="U182" s="3550"/>
    </row>
    <row r="183" spans="1:21" s="3548" customFormat="1" ht="33.75" hidden="1" customHeight="1">
      <c r="A183" s="3484"/>
      <c r="B183" s="3510"/>
      <c r="C183" s="3574"/>
      <c r="D183" s="3514"/>
      <c r="E183" s="3511"/>
      <c r="F183" s="3511"/>
      <c r="G183" s="3511"/>
      <c r="H183" s="3511"/>
      <c r="I183" s="3490"/>
      <c r="J183" s="3490"/>
      <c r="K183" s="3515"/>
      <c r="L183" s="3556"/>
      <c r="M183" s="3517"/>
      <c r="N183" s="3507"/>
      <c r="O183" s="3555"/>
      <c r="P183" s="3516"/>
      <c r="Q183" s="3487"/>
      <c r="R183" s="3550"/>
      <c r="S183" s="3547"/>
      <c r="T183" s="3550"/>
      <c r="U183" s="3550"/>
    </row>
    <row r="184" spans="1:21" s="3548" customFormat="1" ht="33.75" hidden="1" customHeight="1">
      <c r="A184" s="3484"/>
      <c r="B184" s="3553"/>
      <c r="C184" s="3551"/>
      <c r="D184" s="3552"/>
      <c r="E184" s="3490"/>
      <c r="F184" s="3490"/>
      <c r="G184" s="3490"/>
      <c r="H184" s="3490"/>
      <c r="I184" s="3490"/>
      <c r="J184" s="3490"/>
      <c r="K184" s="3545"/>
      <c r="L184" s="3486"/>
      <c r="M184" s="3494"/>
      <c r="N184" s="3484"/>
      <c r="O184" s="3546"/>
      <c r="P184" s="3516"/>
      <c r="Q184" s="3487"/>
      <c r="R184" s="3550"/>
      <c r="S184" s="3547"/>
      <c r="T184" s="3550"/>
      <c r="U184" s="3550"/>
    </row>
    <row r="185" spans="1:21" s="3548" customFormat="1" ht="33.75" hidden="1" customHeight="1">
      <c r="A185" s="3484"/>
      <c r="B185" s="3487"/>
      <c r="C185" s="3496"/>
      <c r="D185" s="3504"/>
      <c r="E185" s="3490"/>
      <c r="F185" s="3490"/>
      <c r="G185" s="3490"/>
      <c r="H185" s="3490"/>
      <c r="I185" s="3490"/>
      <c r="J185" s="3490"/>
      <c r="K185" s="3583"/>
      <c r="L185" s="3545"/>
      <c r="M185" s="3484"/>
      <c r="N185" s="3484"/>
      <c r="O185" s="3484"/>
      <c r="P185" s="3550"/>
      <c r="Q185" s="3487"/>
      <c r="R185" s="3550"/>
      <c r="S185" s="3550"/>
      <c r="T185" s="3550"/>
      <c r="U185" s="3550"/>
    </row>
    <row r="186" spans="1:21" s="3509" customFormat="1" ht="22.9" customHeight="1">
      <c r="A186" s="3736" t="s">
        <v>4174</v>
      </c>
      <c r="B186" s="3736"/>
      <c r="C186" s="3737">
        <v>47559</v>
      </c>
      <c r="D186" s="3490" t="s">
        <v>4175</v>
      </c>
      <c r="E186" s="3584">
        <f>D189/C186</f>
        <v>0.89528921970604947</v>
      </c>
      <c r="F186" s="3585"/>
      <c r="G186" s="3490"/>
      <c r="H186" s="3490"/>
      <c r="I186" s="3490"/>
      <c r="J186" s="3490"/>
      <c r="K186" s="3583"/>
      <c r="L186" s="3583"/>
      <c r="M186" s="3586"/>
      <c r="N186" s="3586"/>
      <c r="O186" s="3586"/>
      <c r="P186" s="3485"/>
      <c r="Q186" s="3487"/>
      <c r="R186" s="3484"/>
      <c r="S186" s="3484"/>
      <c r="T186" s="3587"/>
      <c r="U186" s="3587"/>
    </row>
    <row r="187" spans="1:21" s="3509" customFormat="1" ht="22.9" customHeight="1">
      <c r="A187" s="3736"/>
      <c r="B187" s="3736"/>
      <c r="C187" s="3738"/>
      <c r="D187" s="3490" t="s">
        <v>4176</v>
      </c>
      <c r="E187" s="3584"/>
      <c r="F187" s="3585"/>
      <c r="G187" s="3490"/>
      <c r="H187" s="3490"/>
      <c r="I187" s="3490"/>
      <c r="J187" s="3490"/>
      <c r="K187" s="3583"/>
      <c r="L187" s="3583"/>
      <c r="M187" s="3586"/>
      <c r="N187" s="3586"/>
      <c r="O187" s="3586"/>
      <c r="P187" s="3485"/>
      <c r="Q187" s="3487"/>
      <c r="R187" s="3484"/>
      <c r="S187" s="3484"/>
      <c r="T187" s="3587"/>
      <c r="U187" s="3587"/>
    </row>
    <row r="188" spans="1:21" s="3509" customFormat="1" ht="22.9" customHeight="1">
      <c r="A188" s="3736"/>
      <c r="B188" s="3736"/>
      <c r="C188" s="3739"/>
      <c r="D188" s="3490" t="s">
        <v>4177</v>
      </c>
      <c r="E188" s="3584"/>
      <c r="F188" s="3585"/>
      <c r="G188" s="3490"/>
      <c r="H188" s="3490"/>
      <c r="I188" s="3490"/>
      <c r="J188" s="3490"/>
      <c r="K188" s="3583"/>
      <c r="L188" s="3583"/>
      <c r="M188" s="3586"/>
      <c r="N188" s="3586"/>
      <c r="O188" s="3586"/>
      <c r="P188" s="3583"/>
      <c r="Q188" s="3588"/>
      <c r="R188" s="3586"/>
      <c r="S188" s="3586"/>
      <c r="T188" s="3587"/>
      <c r="U188" s="3587"/>
    </row>
    <row r="189" spans="1:21" s="3509" customFormat="1" ht="22.9" customHeight="1">
      <c r="A189" s="3740" t="s">
        <v>3659</v>
      </c>
      <c r="B189" s="3740"/>
      <c r="C189" s="3589"/>
      <c r="D189" s="3590">
        <f>SUM(D4:D185)</f>
        <v>42579.060000000005</v>
      </c>
      <c r="E189" s="3591"/>
      <c r="F189" s="3592"/>
      <c r="G189" s="3593">
        <f>SUM(G4:G185)</f>
        <v>45963549.530000001</v>
      </c>
      <c r="H189" s="3593">
        <f>SUM(H4:H185)</f>
        <v>33449021.210000001</v>
      </c>
      <c r="I189" s="3593">
        <f>SUM(I4:I185)</f>
        <v>79412570.74000001</v>
      </c>
      <c r="J189" s="3593"/>
      <c r="K189" s="3594"/>
      <c r="L189" s="3583"/>
      <c r="M189" s="3586"/>
      <c r="N189" s="3586"/>
      <c r="O189" s="3586"/>
      <c r="P189" s="3583"/>
      <c r="Q189" s="3588"/>
      <c r="R189" s="3595"/>
      <c r="S189" s="3586"/>
      <c r="T189" s="3587"/>
      <c r="U189" s="3587"/>
    </row>
    <row r="192" spans="1:21">
      <c r="A192" s="3597"/>
      <c r="C192" s="3597"/>
      <c r="D192" s="3597"/>
      <c r="E192" s="3597"/>
      <c r="F192" s="3597"/>
      <c r="G192" s="3597"/>
      <c r="H192" s="3597"/>
      <c r="I192" s="3597"/>
      <c r="J192" s="3597"/>
      <c r="K192" s="3602"/>
      <c r="L192" s="3602"/>
      <c r="M192" s="3597"/>
    </row>
    <row r="193" spans="1:13">
      <c r="A193" s="3597"/>
      <c r="C193" s="3597"/>
      <c r="D193" s="3597" t="s">
        <v>4180</v>
      </c>
      <c r="E193" s="3597" t="s">
        <v>4189</v>
      </c>
      <c r="F193" s="3597" t="s">
        <v>4181</v>
      </c>
      <c r="G193" s="3597"/>
      <c r="H193" s="3597" t="s">
        <v>4183</v>
      </c>
      <c r="I193" s="3597" t="s">
        <v>4184</v>
      </c>
      <c r="J193" s="3597"/>
      <c r="K193" s="3602"/>
      <c r="L193" s="3602"/>
      <c r="M193" s="3597"/>
    </row>
    <row r="194" spans="1:13">
      <c r="A194" s="3597"/>
      <c r="B194" s="3597" t="s">
        <v>4178</v>
      </c>
      <c r="C194" s="3597" t="s">
        <v>4179</v>
      </c>
      <c r="D194" s="3597">
        <v>3060</v>
      </c>
      <c r="E194" s="3601" t="s">
        <v>4182</v>
      </c>
      <c r="F194" s="3601">
        <v>44324</v>
      </c>
      <c r="G194" s="3601">
        <v>44688</v>
      </c>
      <c r="H194" s="3597">
        <v>4685034.1500000004</v>
      </c>
      <c r="I194" s="3605">
        <f>H194/$D$194/$L$194</f>
        <v>4.1946764705882353</v>
      </c>
      <c r="J194" s="3597" t="s">
        <v>3783</v>
      </c>
      <c r="K194" s="3602"/>
      <c r="L194" s="3603">
        <v>365</v>
      </c>
      <c r="M194" s="3597"/>
    </row>
    <row r="195" spans="1:13">
      <c r="A195" s="3597"/>
      <c r="C195" s="3597"/>
      <c r="D195" s="3597"/>
      <c r="E195" s="3597"/>
      <c r="F195" s="3601">
        <v>44689</v>
      </c>
      <c r="G195" s="3601">
        <v>45053</v>
      </c>
      <c r="H195" s="3597">
        <v>4685034.1500000004</v>
      </c>
      <c r="I195" s="3605">
        <f t="shared" ref="I195:I203" si="6">H195/$D$194/$L$194</f>
        <v>4.1946764705882353</v>
      </c>
      <c r="J195" s="3597"/>
      <c r="K195" s="3602"/>
      <c r="L195" s="3602"/>
      <c r="M195" s="3597"/>
    </row>
    <row r="196" spans="1:13">
      <c r="A196" s="3597"/>
      <c r="C196" s="3597"/>
      <c r="D196" s="3597" t="s">
        <v>4185</v>
      </c>
      <c r="E196" s="3597"/>
      <c r="F196" s="3601">
        <v>45054</v>
      </c>
      <c r="G196" s="3601">
        <v>45419</v>
      </c>
      <c r="H196" s="3604">
        <f>H195*(1+5%)</f>
        <v>4919285.8575000009</v>
      </c>
      <c r="I196" s="3605">
        <f t="shared" si="6"/>
        <v>4.404410294117648</v>
      </c>
      <c r="J196" s="3597"/>
      <c r="K196" s="3602"/>
      <c r="L196" s="3602"/>
      <c r="M196" s="3597"/>
    </row>
    <row r="197" spans="1:13">
      <c r="A197" s="3597"/>
      <c r="C197" s="3597"/>
      <c r="D197" s="3597"/>
      <c r="E197" s="3597"/>
      <c r="F197" s="3601">
        <v>45420</v>
      </c>
      <c r="G197" s="3601">
        <v>45784</v>
      </c>
      <c r="H197" s="3604">
        <f>H196</f>
        <v>4919285.8575000009</v>
      </c>
      <c r="I197" s="3605">
        <f t="shared" si="6"/>
        <v>4.404410294117648</v>
      </c>
      <c r="J197" s="3597"/>
      <c r="K197" s="3602"/>
      <c r="L197" s="3602"/>
      <c r="M197" s="3597"/>
    </row>
    <row r="198" spans="1:13">
      <c r="A198" s="3597"/>
      <c r="C198" s="3597"/>
      <c r="D198" s="3597"/>
      <c r="E198" s="3597"/>
      <c r="F198" s="3601">
        <v>45785</v>
      </c>
      <c r="G198" s="3601">
        <v>46149</v>
      </c>
      <c r="H198" s="3597">
        <f>H196*(1+5%)</f>
        <v>5165250.1503750011</v>
      </c>
      <c r="I198" s="3605">
        <f t="shared" si="6"/>
        <v>4.6246308088235306</v>
      </c>
      <c r="J198" s="3597"/>
      <c r="K198" s="3602"/>
      <c r="L198" s="3602"/>
      <c r="M198" s="3597"/>
    </row>
    <row r="199" spans="1:13">
      <c r="A199" s="3597"/>
      <c r="C199" s="3597"/>
      <c r="D199" s="3597"/>
      <c r="E199" s="3597"/>
      <c r="F199" s="3601">
        <v>46150</v>
      </c>
      <c r="G199" s="3601">
        <v>46514</v>
      </c>
      <c r="H199" s="3597">
        <f>H198</f>
        <v>5165250.1503750011</v>
      </c>
      <c r="I199" s="3605">
        <f t="shared" si="6"/>
        <v>4.6246308088235306</v>
      </c>
      <c r="J199" s="3597"/>
      <c r="K199" s="3602"/>
      <c r="L199" s="3602"/>
      <c r="M199" s="3597"/>
    </row>
    <row r="200" spans="1:13">
      <c r="A200" s="3597"/>
      <c r="C200" s="3597"/>
      <c r="D200" s="3597"/>
      <c r="E200" s="3597"/>
      <c r="F200" s="3601">
        <v>46515</v>
      </c>
      <c r="G200" s="3601">
        <v>46880</v>
      </c>
      <c r="H200" s="3597">
        <f>H198*(1+5%)</f>
        <v>5423512.6578937517</v>
      </c>
      <c r="I200" s="3605">
        <f t="shared" si="6"/>
        <v>4.8558623492647079</v>
      </c>
      <c r="J200" s="3597"/>
      <c r="K200" s="3602"/>
      <c r="L200" s="3602"/>
      <c r="M200" s="3597"/>
    </row>
    <row r="201" spans="1:13">
      <c r="A201" s="3597"/>
      <c r="C201" s="3597"/>
      <c r="D201" s="3597"/>
      <c r="E201" s="3597"/>
      <c r="F201" s="3601">
        <v>46881</v>
      </c>
      <c r="G201" s="3601">
        <v>47245</v>
      </c>
      <c r="H201" s="3597">
        <f>H200</f>
        <v>5423512.6578937517</v>
      </c>
      <c r="I201" s="3605">
        <f t="shared" si="6"/>
        <v>4.8558623492647079</v>
      </c>
      <c r="J201" s="3597"/>
      <c r="K201" s="3602"/>
      <c r="L201" s="3602"/>
      <c r="M201" s="3597"/>
    </row>
    <row r="202" spans="1:13">
      <c r="A202" s="3597"/>
      <c r="C202" s="3597"/>
      <c r="D202" s="3597"/>
      <c r="E202" s="3597"/>
      <c r="F202" s="3601">
        <v>47246</v>
      </c>
      <c r="G202" s="3601">
        <v>47610</v>
      </c>
      <c r="H202" s="3597">
        <f>H200*(1+5%)</f>
        <v>5694688.29078844</v>
      </c>
      <c r="I202" s="3605">
        <f t="shared" si="6"/>
        <v>5.0986554667279433</v>
      </c>
      <c r="J202" s="3597"/>
      <c r="K202" s="3602"/>
      <c r="L202" s="3602"/>
      <c r="M202" s="3597"/>
    </row>
    <row r="203" spans="1:13">
      <c r="A203" s="3597"/>
      <c r="C203" s="3597"/>
      <c r="D203" s="3597"/>
      <c r="E203" s="3597"/>
      <c r="F203" s="3601">
        <v>47611</v>
      </c>
      <c r="G203" s="3601">
        <v>47975</v>
      </c>
      <c r="H203" s="3597">
        <f>H202</f>
        <v>5694688.29078844</v>
      </c>
      <c r="I203" s="3605">
        <f t="shared" si="6"/>
        <v>5.0986554667279433</v>
      </c>
      <c r="J203" s="3597"/>
      <c r="K203" s="3602"/>
      <c r="L203" s="3602"/>
      <c r="M203" s="3597"/>
    </row>
    <row r="204" spans="1:13">
      <c r="A204" s="3597"/>
      <c r="C204" s="3597"/>
      <c r="D204" s="3597"/>
      <c r="E204" s="3597"/>
      <c r="F204" s="3597"/>
      <c r="G204" s="3597"/>
      <c r="H204" s="3597"/>
      <c r="I204" s="3597"/>
      <c r="J204" s="3597"/>
      <c r="K204" s="3602"/>
      <c r="L204" s="3602"/>
      <c r="M204" s="3597"/>
    </row>
    <row r="205" spans="1:13">
      <c r="A205" s="3597"/>
      <c r="C205" s="3597"/>
      <c r="D205" s="3597"/>
      <c r="E205" s="3597"/>
      <c r="F205" s="3597"/>
      <c r="G205" s="3597"/>
      <c r="H205" s="3597"/>
      <c r="I205" s="3597"/>
      <c r="J205" s="3597"/>
      <c r="K205" s="3602"/>
      <c r="L205" s="3602"/>
      <c r="M205" s="3597"/>
    </row>
    <row r="206" spans="1:13">
      <c r="A206" s="3597"/>
      <c r="C206" s="3597"/>
      <c r="D206" s="3597" t="s">
        <v>4180</v>
      </c>
      <c r="E206" s="3597" t="s">
        <v>4189</v>
      </c>
      <c r="F206" s="3597" t="s">
        <v>4181</v>
      </c>
      <c r="G206" s="3597"/>
      <c r="H206" s="3597" t="s">
        <v>4183</v>
      </c>
      <c r="I206" s="3597" t="s">
        <v>4184</v>
      </c>
      <c r="J206" s="3597"/>
      <c r="K206" s="3602"/>
      <c r="L206" s="3602"/>
      <c r="M206" s="3597"/>
    </row>
    <row r="207" spans="1:13">
      <c r="A207" s="3597"/>
      <c r="B207" s="3597" t="s">
        <v>4186</v>
      </c>
      <c r="C207" s="3597" t="s">
        <v>4187</v>
      </c>
      <c r="D207" s="3597">
        <v>2228</v>
      </c>
      <c r="E207" s="3597" t="s">
        <v>4190</v>
      </c>
      <c r="F207" s="3601">
        <v>44743</v>
      </c>
      <c r="G207" s="3601">
        <v>45107</v>
      </c>
      <c r="H207" s="3597"/>
      <c r="I207" s="3597"/>
      <c r="J207" s="3597"/>
      <c r="K207" s="3602"/>
      <c r="L207" s="3602"/>
      <c r="M207" s="3597"/>
    </row>
    <row r="208" spans="1:13">
      <c r="A208" s="3597"/>
      <c r="C208" s="3597"/>
      <c r="D208" s="3597"/>
      <c r="E208" s="3597"/>
      <c r="F208" s="3601">
        <v>45108</v>
      </c>
      <c r="G208" s="3601">
        <v>45473</v>
      </c>
      <c r="H208" s="3597"/>
      <c r="I208" s="3597"/>
      <c r="J208" s="3597"/>
      <c r="K208" s="3602"/>
      <c r="L208" s="3602"/>
      <c r="M208" s="3597"/>
    </row>
    <row r="209" spans="1:13">
      <c r="A209" s="3597"/>
      <c r="C209" s="3597"/>
      <c r="D209" s="3597" t="s">
        <v>4188</v>
      </c>
      <c r="E209" s="3597"/>
      <c r="F209" s="3601">
        <v>45474</v>
      </c>
      <c r="G209" s="3601">
        <v>45838</v>
      </c>
      <c r="H209" s="3597"/>
      <c r="I209" s="3597"/>
      <c r="J209" s="3597"/>
      <c r="K209" s="3602"/>
      <c r="L209" s="3602"/>
      <c r="M209" s="3597"/>
    </row>
    <row r="210" spans="1:13">
      <c r="A210" s="3597"/>
      <c r="C210" s="3597"/>
      <c r="D210" s="3597"/>
      <c r="E210" s="3597"/>
      <c r="F210" s="3601">
        <v>45839</v>
      </c>
      <c r="G210" s="3601">
        <v>46203</v>
      </c>
      <c r="H210" s="3597"/>
      <c r="I210" s="3597"/>
      <c r="J210" s="3597"/>
      <c r="K210" s="3602"/>
      <c r="L210" s="3602"/>
      <c r="M210" s="3597"/>
    </row>
    <row r="211" spans="1:13">
      <c r="A211" s="3597"/>
      <c r="C211" s="3597"/>
      <c r="D211" s="3597"/>
      <c r="E211" s="3597"/>
      <c r="F211" s="3601">
        <v>46204</v>
      </c>
      <c r="G211" s="3601">
        <v>46568</v>
      </c>
      <c r="H211" s="3597"/>
      <c r="I211" s="3597"/>
      <c r="J211" s="3597"/>
      <c r="K211" s="3602"/>
      <c r="L211" s="3602"/>
      <c r="M211" s="3597"/>
    </row>
    <row r="212" spans="1:13">
      <c r="A212" s="3597"/>
      <c r="C212" s="3597"/>
      <c r="D212" s="3597"/>
      <c r="E212" s="3597"/>
      <c r="F212" s="3601">
        <v>46569</v>
      </c>
      <c r="G212" s="3601">
        <v>46934</v>
      </c>
      <c r="H212" s="3597"/>
      <c r="I212" s="3597"/>
      <c r="J212" s="3597"/>
      <c r="K212" s="3602"/>
      <c r="L212" s="3602"/>
      <c r="M212" s="3597"/>
    </row>
    <row r="213" spans="1:13">
      <c r="A213" s="3597"/>
      <c r="C213" s="3597"/>
      <c r="D213" s="3597"/>
      <c r="E213" s="3597"/>
      <c r="F213" s="3601">
        <v>46935</v>
      </c>
      <c r="G213" s="3601">
        <v>47149</v>
      </c>
      <c r="H213" s="3597"/>
      <c r="I213" s="3597"/>
      <c r="J213" s="3597"/>
      <c r="K213" s="3602"/>
      <c r="L213" s="3602"/>
      <c r="M213" s="3597"/>
    </row>
    <row r="214" spans="1:13">
      <c r="A214" s="3597"/>
      <c r="C214" s="3597"/>
      <c r="D214" s="3597"/>
      <c r="E214" s="3597"/>
      <c r="F214" s="3597"/>
      <c r="G214" s="3597"/>
      <c r="H214" s="3597"/>
      <c r="I214" s="3597"/>
      <c r="J214" s="3597"/>
      <c r="K214" s="3602"/>
      <c r="L214" s="3602"/>
      <c r="M214" s="3597"/>
    </row>
    <row r="215" spans="1:13">
      <c r="A215" s="3597"/>
      <c r="C215" s="3597"/>
      <c r="D215" s="3597"/>
      <c r="E215" s="3597"/>
      <c r="F215" s="3597"/>
      <c r="G215" s="3597"/>
      <c r="H215" s="3597"/>
      <c r="I215" s="3597"/>
      <c r="J215" s="3597"/>
      <c r="K215" s="3602"/>
      <c r="L215" s="3602"/>
      <c r="M215" s="3597"/>
    </row>
    <row r="216" spans="1:13">
      <c r="A216" s="3597"/>
      <c r="C216" s="3597"/>
      <c r="D216" s="3597"/>
      <c r="E216" s="3597"/>
      <c r="F216" s="3597"/>
      <c r="G216" s="3597"/>
      <c r="H216" s="3597"/>
      <c r="I216" s="3597"/>
      <c r="J216" s="3597"/>
      <c r="K216" s="3602"/>
      <c r="L216" s="3602"/>
      <c r="M216" s="3597"/>
    </row>
    <row r="217" spans="1:13">
      <c r="A217" s="3597"/>
      <c r="C217" s="3597"/>
      <c r="D217" s="3597"/>
      <c r="E217" s="3597"/>
      <c r="F217" s="3597"/>
      <c r="G217" s="3597"/>
      <c r="H217" s="3597"/>
      <c r="I217" s="3597"/>
      <c r="J217" s="3597"/>
      <c r="K217" s="3602"/>
      <c r="L217" s="3602"/>
      <c r="M217" s="3597"/>
    </row>
    <row r="218" spans="1:13">
      <c r="A218" s="3597"/>
      <c r="C218" s="3597"/>
      <c r="D218" s="3597"/>
      <c r="E218" s="3597"/>
      <c r="F218" s="3597"/>
      <c r="G218" s="3597"/>
      <c r="H218" s="3597"/>
      <c r="I218" s="3597"/>
      <c r="J218" s="3597"/>
      <c r="K218" s="3602"/>
      <c r="L218" s="3602"/>
      <c r="M218" s="3597"/>
    </row>
    <row r="219" spans="1:13">
      <c r="A219" s="3597"/>
      <c r="C219" s="3597"/>
      <c r="D219" s="3597"/>
      <c r="E219" s="3597"/>
      <c r="F219" s="3597"/>
      <c r="G219" s="3597"/>
      <c r="H219" s="3597"/>
      <c r="I219" s="3597"/>
      <c r="J219" s="3597"/>
      <c r="K219" s="3602"/>
      <c r="L219" s="3602"/>
      <c r="M219" s="3597"/>
    </row>
    <row r="220" spans="1:13">
      <c r="A220" s="3597"/>
      <c r="C220" s="3597"/>
      <c r="D220" s="3597"/>
      <c r="E220" s="3597"/>
      <c r="F220" s="3597"/>
      <c r="G220" s="3597"/>
      <c r="H220" s="3597"/>
      <c r="I220" s="3597"/>
      <c r="J220" s="3597"/>
      <c r="K220" s="3602"/>
      <c r="L220" s="3602"/>
      <c r="M220" s="3597"/>
    </row>
    <row r="221" spans="1:13">
      <c r="A221" s="3597"/>
      <c r="C221" s="3597"/>
      <c r="D221" s="3597"/>
      <c r="E221" s="3597"/>
      <c r="F221" s="3597"/>
      <c r="G221" s="3597"/>
      <c r="H221" s="3597"/>
      <c r="I221" s="3597"/>
      <c r="J221" s="3597"/>
      <c r="K221" s="3602"/>
      <c r="L221" s="3602"/>
      <c r="M221" s="3597"/>
    </row>
    <row r="222" spans="1:13">
      <c r="A222" s="3597"/>
      <c r="C222" s="3597"/>
      <c r="D222" s="3597"/>
      <c r="E222" s="3597"/>
      <c r="F222" s="3597"/>
      <c r="G222" s="3597"/>
      <c r="H222" s="3597"/>
      <c r="I222" s="3597"/>
      <c r="J222" s="3597"/>
      <c r="K222" s="3602"/>
      <c r="L222" s="3602"/>
      <c r="M222" s="3597"/>
    </row>
    <row r="223" spans="1:13">
      <c r="A223" s="3597"/>
      <c r="C223" s="3597"/>
      <c r="D223" s="3597"/>
      <c r="E223" s="3597"/>
      <c r="F223" s="3597"/>
      <c r="G223" s="3597"/>
      <c r="H223" s="3597"/>
      <c r="I223" s="3597"/>
      <c r="J223" s="3597"/>
      <c r="K223" s="3602"/>
      <c r="L223" s="3602"/>
      <c r="M223" s="3597"/>
    </row>
    <row r="224" spans="1:13">
      <c r="A224" s="3597"/>
      <c r="C224" s="3597"/>
      <c r="D224" s="3597"/>
      <c r="E224" s="3597"/>
      <c r="F224" s="3597"/>
      <c r="G224" s="3597"/>
      <c r="H224" s="3597"/>
      <c r="I224" s="3597"/>
      <c r="J224" s="3597"/>
      <c r="K224" s="3602"/>
      <c r="L224" s="3602"/>
      <c r="M224" s="3597"/>
    </row>
    <row r="225" spans="1:13">
      <c r="A225" s="3597"/>
      <c r="C225" s="3597"/>
      <c r="D225" s="3597"/>
      <c r="E225" s="3597"/>
      <c r="F225" s="3597"/>
      <c r="G225" s="3597"/>
      <c r="H225" s="3597"/>
      <c r="I225" s="3597"/>
      <c r="J225" s="3597"/>
      <c r="K225" s="3602"/>
      <c r="L225" s="3602"/>
      <c r="M225" s="3597"/>
    </row>
    <row r="226" spans="1:13">
      <c r="A226" s="3597"/>
      <c r="C226" s="3597"/>
      <c r="D226" s="3597"/>
      <c r="E226" s="3597"/>
      <c r="F226" s="3597"/>
      <c r="G226" s="3597"/>
      <c r="H226" s="3597"/>
      <c r="I226" s="3597"/>
      <c r="J226" s="3597"/>
      <c r="K226" s="3602"/>
      <c r="L226" s="3602"/>
      <c r="M226" s="3597"/>
    </row>
    <row r="227" spans="1:13">
      <c r="A227" s="3597"/>
      <c r="C227" s="3597"/>
      <c r="D227" s="3597"/>
      <c r="E227" s="3597"/>
      <c r="F227" s="3597"/>
      <c r="G227" s="3597"/>
      <c r="H227" s="3597"/>
      <c r="I227" s="3597"/>
      <c r="J227" s="3597"/>
      <c r="K227" s="3602"/>
      <c r="L227" s="3602"/>
      <c r="M227" s="3597"/>
    </row>
    <row r="228" spans="1:13">
      <c r="A228" s="3597"/>
      <c r="C228" s="3597"/>
      <c r="D228" s="3597"/>
      <c r="E228" s="3597"/>
      <c r="F228" s="3597"/>
      <c r="G228" s="3597"/>
      <c r="H228" s="3597"/>
      <c r="I228" s="3597"/>
      <c r="J228" s="3597"/>
      <c r="K228" s="3602"/>
      <c r="L228" s="3602"/>
      <c r="M228" s="3597"/>
    </row>
    <row r="229" spans="1:13">
      <c r="A229" s="3597"/>
      <c r="C229" s="3597"/>
      <c r="D229" s="3597"/>
      <c r="E229" s="3597"/>
      <c r="F229" s="3597"/>
      <c r="G229" s="3597"/>
      <c r="H229" s="3597"/>
      <c r="I229" s="3597"/>
      <c r="J229" s="3597"/>
      <c r="K229" s="3602"/>
      <c r="L229" s="3602"/>
      <c r="M229" s="3597"/>
    </row>
    <row r="230" spans="1:13">
      <c r="A230" s="3597"/>
      <c r="C230" s="3597"/>
      <c r="D230" s="3597"/>
      <c r="E230" s="3597"/>
      <c r="F230" s="3597"/>
      <c r="G230" s="3597"/>
      <c r="H230" s="3597"/>
      <c r="I230" s="3597"/>
      <c r="J230" s="3597"/>
      <c r="K230" s="3602"/>
      <c r="L230" s="3602"/>
      <c r="M230" s="3597"/>
    </row>
    <row r="231" spans="1:13">
      <c r="A231" s="3597"/>
      <c r="C231" s="3597"/>
      <c r="D231" s="3597"/>
      <c r="E231" s="3597"/>
      <c r="F231" s="3597"/>
      <c r="G231" s="3597"/>
      <c r="H231" s="3597"/>
      <c r="I231" s="3597"/>
      <c r="J231" s="3597"/>
      <c r="K231" s="3602"/>
      <c r="L231" s="3602"/>
      <c r="M231" s="3597"/>
    </row>
    <row r="232" spans="1:13">
      <c r="A232" s="3597"/>
      <c r="C232" s="3597"/>
      <c r="D232" s="3597"/>
      <c r="E232" s="3597"/>
      <c r="F232" s="3597"/>
      <c r="G232" s="3597"/>
      <c r="H232" s="3597"/>
      <c r="I232" s="3597"/>
      <c r="J232" s="3597"/>
      <c r="K232" s="3602"/>
      <c r="L232" s="3602"/>
      <c r="M232" s="3597"/>
    </row>
    <row r="233" spans="1:13">
      <c r="A233" s="3597"/>
      <c r="C233" s="3597"/>
      <c r="D233" s="3597"/>
      <c r="E233" s="3597"/>
      <c r="F233" s="3597"/>
      <c r="G233" s="3597"/>
      <c r="H233" s="3597"/>
      <c r="I233" s="3597"/>
      <c r="J233" s="3597"/>
      <c r="K233" s="3602"/>
      <c r="L233" s="3602"/>
      <c r="M233" s="3597"/>
    </row>
    <row r="234" spans="1:13">
      <c r="A234" s="3597"/>
      <c r="C234" s="3597"/>
      <c r="D234" s="3597"/>
      <c r="E234" s="3597"/>
      <c r="F234" s="3597"/>
      <c r="G234" s="3597"/>
      <c r="H234" s="3597"/>
      <c r="I234" s="3597"/>
      <c r="J234" s="3597"/>
      <c r="K234" s="3602"/>
      <c r="L234" s="3602"/>
      <c r="M234" s="3597"/>
    </row>
  </sheetData>
  <autoFilter ref="A3:AG97"/>
  <mergeCells count="4">
    <mergeCell ref="A2:S2"/>
    <mergeCell ref="A186:B188"/>
    <mergeCell ref="C186:C188"/>
    <mergeCell ref="A189:B189"/>
  </mergeCells>
  <phoneticPr fontId="134" type="noConversion"/>
  <dataValidations count="1">
    <dataValidation type="list" allowBlank="1" showInputMessage="1" showErrorMessage="1" sqref="M9:M10 M184:M189 M105 M16:M86 M88:M101">
      <formula1>"1,2,3,6,12"</formula1>
    </dataValidation>
  </dataValidations>
  <pageMargins left="0.75" right="0.75" top="1" bottom="1" header="0.5" footer="0.5"/>
  <pageSetup paperSize="9" orientation="portrait" r:id="rId1"/>
  <ignoredErrors>
    <ignoredError sqref="H198:H202"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645" t="str">
        <f>项目基本情况!B1</f>
        <v>北京市朝阳区清林东路4号6号楼负2层B202、负3层B302商业用房房地产抵押价值预评估</v>
      </c>
      <c r="C37" s="3645"/>
      <c r="D37" s="3645"/>
      <c r="E37" s="3645"/>
      <c r="F37" s="3645"/>
      <c r="G37" s="3645"/>
      <c r="H37" s="3645"/>
      <c r="I37" s="3645"/>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8" sqref="D28"/>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17848.889999999985</v>
      </c>
      <c r="C1" s="2681"/>
      <c r="D1" s="2681"/>
      <c r="E1" s="2681"/>
      <c r="F1" s="2681"/>
      <c r="G1" s="2682"/>
      <c r="H1" s="2683"/>
      <c r="I1" s="2683"/>
      <c r="J1" s="2683"/>
      <c r="K1" s="2683"/>
    </row>
    <row r="2" spans="1:11" ht="16.5">
      <c r="A2" s="2507" t="s">
        <v>651</v>
      </c>
      <c r="B2" s="2507">
        <f>SUM(C14:C23)</f>
        <v>0</v>
      </c>
      <c r="C2" s="2681"/>
      <c r="D2" s="2681"/>
      <c r="E2" s="2681"/>
      <c r="F2" s="2681"/>
      <c r="G2" s="2682"/>
      <c r="H2" s="2683"/>
      <c r="I2" s="2683"/>
      <c r="J2" s="2683"/>
      <c r="K2" s="2683"/>
    </row>
    <row r="3" spans="1:11" ht="16.5">
      <c r="A3" s="2507" t="s">
        <v>660</v>
      </c>
      <c r="B3" s="2509">
        <f>项目基本情况!D3</f>
        <v>45189</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16467</v>
      </c>
      <c r="C5" s="2507">
        <f ca="1">IF(B5=D14,'结果表-负2层'!H102,ROUND(B5*10000/$B$1,0))</f>
        <v>9226</v>
      </c>
      <c r="D5" s="2507" t="e">
        <f ca="1">ROUND(B5*10000/$B$2,0)</f>
        <v>#DIV/0!</v>
      </c>
      <c r="E5" s="2681"/>
      <c r="F5" s="2682"/>
      <c r="G5" s="2682"/>
      <c r="H5" s="2683"/>
      <c r="I5" s="2683"/>
      <c r="J5" s="2683"/>
      <c r="K5" s="2683"/>
    </row>
    <row r="6" spans="1:11" ht="16.5">
      <c r="A6" s="2507" t="s">
        <v>654</v>
      </c>
      <c r="B6" s="2507">
        <f ca="1">SUM(G14:G23)</f>
        <v>16467</v>
      </c>
      <c r="C6" s="2507">
        <f ca="1">IF(B6=G14,'结果表-负2层'!H108,ROUND(B6*10000/$B$1,0))</f>
        <v>9226</v>
      </c>
      <c r="D6" s="2507" t="e">
        <f ca="1">ROUND(B6*10000/$B$2,0)</f>
        <v>#DIV/0!</v>
      </c>
      <c r="E6" s="2681"/>
      <c r="F6" s="2682"/>
      <c r="G6" s="2682"/>
      <c r="H6" s="2683"/>
      <c r="I6" s="2683"/>
      <c r="J6" s="2683"/>
      <c r="K6" s="2683"/>
    </row>
    <row r="7" spans="1:11" ht="16.5">
      <c r="A7" s="2507" t="s">
        <v>662</v>
      </c>
      <c r="B7" s="2507">
        <f>SUM(H14:H23)</f>
        <v>0</v>
      </c>
      <c r="C7" s="2507" t="str">
        <f>IF(B7=H14,'结果表-负2层'!H110,ROUND(B7*10000/$B$1,0))</f>
        <v>——</v>
      </c>
      <c r="D7" s="2507" t="e">
        <f>ROUND(B7*10000/$B$2,0)</f>
        <v>#DIV/0!</v>
      </c>
      <c r="E7" s="2681"/>
      <c r="F7" s="2682"/>
      <c r="G7" s="2682"/>
      <c r="H7" s="2683"/>
      <c r="I7" s="2683"/>
      <c r="J7" s="2683"/>
      <c r="K7" s="2683"/>
    </row>
    <row r="8" spans="1:11" ht="16.5">
      <c r="A8" s="2507" t="s">
        <v>587</v>
      </c>
      <c r="B8" s="2507">
        <f>SUM(I14:I23)</f>
        <v>0</v>
      </c>
      <c r="C8" s="2507" t="str">
        <f>IF(B8=I14,'结果表-负2层'!H112,ROUND(B8*10000/$B$1,0))</f>
        <v>——</v>
      </c>
      <c r="D8" s="2507" t="e">
        <f>ROUND(B8*10000/$B$2,0)</f>
        <v>#DIV/0!</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3356</v>
      </c>
      <c r="D10" s="2507" t="s">
        <v>3357</v>
      </c>
      <c r="E10" s="3436"/>
      <c r="F10" s="3440" t="s">
        <v>3358</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f ca="1">D14+D15</f>
        <v>8497</v>
      </c>
      <c r="E12" s="2681"/>
      <c r="F12" s="2682"/>
      <c r="G12" s="2682">
        <f ca="1">G14+G15</f>
        <v>8497</v>
      </c>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4242</v>
      </c>
      <c r="B14" s="2513">
        <f>'数据-汇总表'!G19</f>
        <v>2852.38</v>
      </c>
      <c r="C14" s="2513"/>
      <c r="D14" s="2513">
        <f ca="1">'结果表-负2层'!H101</f>
        <v>4411</v>
      </c>
      <c r="E14" s="2513">
        <f ca="1">ROUND(D14*10000/B14,0)</f>
        <v>15464</v>
      </c>
      <c r="F14" s="2513" t="e">
        <f ca="1">ROUND(D14*10000/C14,0)</f>
        <v>#DIV/0!</v>
      </c>
      <c r="G14" s="2513">
        <f ca="1">'结果表-负2层'!H107</f>
        <v>4411</v>
      </c>
      <c r="H14" s="2513"/>
      <c r="I14" s="2513"/>
      <c r="J14" s="2682"/>
      <c r="K14" s="2683"/>
    </row>
    <row r="15" spans="1:11" ht="16.5">
      <c r="A15" s="2512" t="s">
        <v>4243</v>
      </c>
      <c r="B15" s="2514">
        <f>'数据-汇总表'!G20</f>
        <v>3127.15</v>
      </c>
      <c r="C15" s="2514"/>
      <c r="D15" s="2514">
        <f ca="1">'结果表-负3层'!H101</f>
        <v>4086</v>
      </c>
      <c r="E15" s="2513">
        <f t="shared" ref="E15:E23" ca="1" si="0">ROUND(D15*10000/B15,0)</f>
        <v>13066</v>
      </c>
      <c r="F15" s="2513" t="e">
        <f t="shared" ref="F15:F23" ca="1" si="1">ROUND(D15*10000/C15,0)</f>
        <v>#DIV/0!</v>
      </c>
      <c r="G15" s="1328">
        <f ca="1">'结果表-负3层'!H107</f>
        <v>4086</v>
      </c>
      <c r="H15" s="1328"/>
      <c r="I15" s="2514"/>
      <c r="J15" s="2682"/>
      <c r="K15" s="2683"/>
    </row>
    <row r="16" spans="1:11" ht="16.5">
      <c r="A16" s="2512" t="s">
        <v>648</v>
      </c>
      <c r="B16" s="2514">
        <f>[2]系统读取表!$B$14</f>
        <v>11869.359999999982</v>
      </c>
      <c r="C16" s="2514"/>
      <c r="D16" s="2514">
        <f ca="1">[2]系统读取表!$D$14</f>
        <v>7970</v>
      </c>
      <c r="E16" s="2513">
        <f t="shared" ca="1" si="0"/>
        <v>6715</v>
      </c>
      <c r="F16" s="2513" t="e">
        <f t="shared" ca="1" si="1"/>
        <v>#DIV/0!</v>
      </c>
      <c r="G16" s="1328">
        <f ca="1">[2]系统读取表!$G$14</f>
        <v>7970</v>
      </c>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B118" sqref="B118:I118"/>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4228</v>
      </c>
      <c r="D1" s="1744"/>
      <c r="E1" s="1744"/>
      <c r="F1" s="1746" t="s">
        <v>1261</v>
      </c>
      <c r="G1" s="1558" t="s">
        <v>3382</v>
      </c>
      <c r="H1" s="1747" t="str">
        <f>IF(G1="现房","——","估价对象范围")</f>
        <v>——</v>
      </c>
      <c r="I1" s="1748"/>
    </row>
    <row r="2" spans="1:12" ht="21.75" customHeight="1" thickBot="1">
      <c r="A2" s="3775" t="str">
        <f>项目基本情况!S2</f>
        <v>北京市朝阳区清林东路4号6号楼负2层B202、负3层B302商业用房房地产</v>
      </c>
      <c r="B2" s="3776"/>
      <c r="C2" s="3776"/>
      <c r="D2" s="3776"/>
      <c r="E2" s="3776"/>
      <c r="F2" s="3776"/>
      <c r="G2" s="3776"/>
      <c r="H2" s="3776"/>
      <c r="I2" s="3777"/>
    </row>
    <row r="3" spans="1:12" ht="12.75">
      <c r="A3" s="3779" t="s">
        <v>1262</v>
      </c>
      <c r="B3" s="3780"/>
      <c r="C3" s="3780"/>
      <c r="D3" s="3780"/>
      <c r="E3" s="3780"/>
      <c r="F3" s="3780"/>
      <c r="G3" s="3780"/>
      <c r="H3" s="3780"/>
      <c r="I3" s="3780"/>
    </row>
    <row r="4" spans="1:12" ht="14.25">
      <c r="A4" s="1751" t="s">
        <v>1263</v>
      </c>
      <c r="B4" s="1752" t="s">
        <v>1264</v>
      </c>
      <c r="C4" s="1753" t="s">
        <v>4233</v>
      </c>
      <c r="D4" s="1753" t="s">
        <v>4235</v>
      </c>
      <c r="E4" s="3781" t="s">
        <v>1265</v>
      </c>
      <c r="F4" s="3782"/>
      <c r="G4" s="3782"/>
      <c r="H4" s="3782"/>
      <c r="I4" s="3783"/>
      <c r="K4" s="146" t="str">
        <f>IF(ISNUMBER(FIND("比较法",'结果表-负2层'!C4)),"比较法",IF(ISNUMBER(FIND("成本法",'结果表-负2层'!C4)),"成本法",IF(ISNUMBER(FIND("假设开发法",'结果表-负2层'!C4)),"假设开发法",IF(ISNUMBER(FIND("收益法",'结果表-负2层'!C4)),"收益法","基准地价系数修正法"))))</f>
        <v>成本法</v>
      </c>
      <c r="L4" s="146" t="str">
        <f>IF(ISNUMBER(FIND("比较法",'结果表-负2层'!D4)),"比较法",IF(ISNUMBER(FIND("成本法",'结果表-负2层'!D4)),"成本法",IF(ISNUMBER(FIND("假设开发法",'结果表-负2层'!D4)),"假设开发法",IF(ISNUMBER(FIND("收益法",'结果表-负2层'!D4)),"收益法","基准地价系数修正法"))))</f>
        <v>收益法</v>
      </c>
    </row>
    <row r="5" spans="1:12" ht="12.75">
      <c r="A5" s="3755" t="s">
        <v>1266</v>
      </c>
      <c r="B5" s="3742">
        <v>25</v>
      </c>
      <c r="C5" s="3758"/>
      <c r="D5" s="3778"/>
      <c r="E5" s="131" t="s">
        <v>1267</v>
      </c>
      <c r="F5" s="1754"/>
      <c r="G5" s="1754"/>
      <c r="H5" s="1754"/>
      <c r="I5" s="1370"/>
    </row>
    <row r="6" spans="1:12" ht="12.75">
      <c r="A6" s="3755"/>
      <c r="B6" s="3742"/>
      <c r="C6" s="3759"/>
      <c r="D6" s="3778"/>
      <c r="E6" s="131" t="s">
        <v>1268</v>
      </c>
      <c r="F6" s="1754"/>
      <c r="G6" s="1754"/>
      <c r="H6" s="1754"/>
      <c r="I6" s="1370"/>
    </row>
    <row r="7" spans="1:12" ht="12.75">
      <c r="A7" s="3755"/>
      <c r="B7" s="3742"/>
      <c r="C7" s="3760"/>
      <c r="D7" s="3778"/>
      <c r="E7" s="131" t="s">
        <v>1269</v>
      </c>
      <c r="F7" s="1754"/>
      <c r="G7" s="1754"/>
      <c r="H7" s="1754"/>
      <c r="I7" s="1370"/>
    </row>
    <row r="8" spans="1:12" ht="12.75">
      <c r="A8" s="3755" t="s">
        <v>1270</v>
      </c>
      <c r="B8" s="3742">
        <v>15</v>
      </c>
      <c r="C8" s="3758"/>
      <c r="D8" s="3778"/>
      <c r="E8" s="131" t="s">
        <v>1271</v>
      </c>
      <c r="F8" s="1754"/>
      <c r="G8" s="1754"/>
      <c r="H8" s="1754"/>
      <c r="I8" s="1370"/>
    </row>
    <row r="9" spans="1:12" ht="12.75">
      <c r="A9" s="3755"/>
      <c r="B9" s="3742"/>
      <c r="C9" s="3760"/>
      <c r="D9" s="3778"/>
      <c r="E9" s="131" t="s">
        <v>1272</v>
      </c>
      <c r="F9" s="1754"/>
      <c r="G9" s="1754"/>
      <c r="H9" s="1754"/>
      <c r="I9" s="1370"/>
    </row>
    <row r="10" spans="1:12" ht="12.75">
      <c r="A10" s="3755" t="s">
        <v>1273</v>
      </c>
      <c r="B10" s="3742">
        <v>15</v>
      </c>
      <c r="C10" s="3758"/>
      <c r="D10" s="3778"/>
      <c r="E10" s="131" t="s">
        <v>1274</v>
      </c>
      <c r="F10" s="1754"/>
      <c r="G10" s="1754"/>
      <c r="H10" s="1754"/>
      <c r="I10" s="1370"/>
    </row>
    <row r="11" spans="1:12" ht="12.75">
      <c r="A11" s="3755"/>
      <c r="B11" s="3742"/>
      <c r="C11" s="3760"/>
      <c r="D11" s="3778"/>
      <c r="E11" s="131" t="s">
        <v>1275</v>
      </c>
      <c r="F11" s="1754"/>
      <c r="G11" s="1754"/>
      <c r="H11" s="1754"/>
      <c r="I11" s="1370"/>
    </row>
    <row r="12" spans="1:12" ht="12.75">
      <c r="A12" s="3755" t="s">
        <v>1276</v>
      </c>
      <c r="B12" s="3742">
        <v>15</v>
      </c>
      <c r="C12" s="3758"/>
      <c r="D12" s="3778"/>
      <c r="E12" s="131" t="s">
        <v>1277</v>
      </c>
      <c r="F12" s="1754"/>
      <c r="G12" s="1754"/>
      <c r="H12" s="1754"/>
      <c r="I12" s="1370"/>
    </row>
    <row r="13" spans="1:12" ht="12.75">
      <c r="A13" s="3755"/>
      <c r="B13" s="3742"/>
      <c r="C13" s="3760"/>
      <c r="D13" s="3778"/>
      <c r="E13" s="131" t="s">
        <v>1278</v>
      </c>
      <c r="F13" s="1754"/>
      <c r="G13" s="1754"/>
      <c r="H13" s="1754"/>
      <c r="I13" s="1370"/>
    </row>
    <row r="14" spans="1:12" ht="12.75">
      <c r="A14" s="3755" t="s">
        <v>1279</v>
      </c>
      <c r="B14" s="3742">
        <v>30</v>
      </c>
      <c r="C14" s="3758">
        <v>5</v>
      </c>
      <c r="D14" s="3778">
        <v>5</v>
      </c>
      <c r="E14" s="131" t="s">
        <v>1280</v>
      </c>
      <c r="F14" s="1754"/>
      <c r="G14" s="1754"/>
      <c r="H14" s="1754"/>
      <c r="I14" s="1370"/>
    </row>
    <row r="15" spans="1:12" ht="12.75">
      <c r="A15" s="3755"/>
      <c r="B15" s="3742"/>
      <c r="C15" s="3759"/>
      <c r="D15" s="3778"/>
      <c r="E15" s="131" t="s">
        <v>1281</v>
      </c>
      <c r="F15" s="1754"/>
      <c r="G15" s="1754"/>
      <c r="H15" s="1754"/>
      <c r="I15" s="1370"/>
    </row>
    <row r="16" spans="1:12" ht="12.75">
      <c r="A16" s="3755"/>
      <c r="B16" s="3742"/>
      <c r="C16" s="3760"/>
      <c r="D16" s="3778"/>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65" t="s">
        <v>2126</v>
      </c>
      <c r="F18" s="3766"/>
      <c r="G18" s="3766"/>
      <c r="H18" s="3766"/>
      <c r="I18" s="3766"/>
      <c r="J18" s="725" t="s">
        <v>3688</v>
      </c>
      <c r="K18" s="302" t="s">
        <v>1287</v>
      </c>
      <c r="L18" s="302">
        <f>IF(C1="",'数据-汇总表'!E3,SUMIF(项目类型,C1,'数据-汇总表'!E17:E26)+SUMIF(项目类型,C1,'数据-汇总表'!I17:I26))</f>
        <v>2852.38</v>
      </c>
      <c r="M18" s="302">
        <f>IF(C1="",'数据-汇总表'!E3,SUMIF(项目类型,C1,'数据-汇总表'!E17:E26))</f>
        <v>2852.38</v>
      </c>
    </row>
    <row r="19" spans="1:36" ht="15">
      <c r="A19" s="1758" t="s">
        <v>1288</v>
      </c>
      <c r="B19" s="1759" t="s">
        <v>1289</v>
      </c>
      <c r="C19" s="134">
        <f ca="1">SUMIF(INDIRECT("'"&amp;C4&amp;"'"&amp;"!A:A"),'结果表-负2层'!B19,INDIRECT("'"&amp;C4&amp;"'"&amp;"!B:B"))</f>
        <v>3890</v>
      </c>
      <c r="D19" s="135">
        <f ca="1">SUMIF(INDIRECT("'"&amp;D4&amp;"'"&amp;"!A:A"),'结果表-负2层'!B19,INDIRECT("'"&amp;D4&amp;"'"&amp;"!B:B"))</f>
        <v>4932</v>
      </c>
      <c r="E19" s="1758" t="s">
        <v>1290</v>
      </c>
      <c r="F19" s="1759" t="s">
        <v>1289</v>
      </c>
      <c r="G19" s="136">
        <f ca="1">ROUND(C19*$C$18+D19*$D$18,0)</f>
        <v>4411</v>
      </c>
      <c r="H19" s="1760" t="s">
        <v>1291</v>
      </c>
      <c r="I19" s="129"/>
      <c r="K19" s="302" t="s">
        <v>1292</v>
      </c>
      <c r="L19" s="302">
        <f>IF(C1="",'数据-汇总表'!D3,SUMIF(项目类型,C1,'数据-汇总表'!D17:D26)+SUMIF(项目类型,C1,'数据-汇总表'!H17:H27))</f>
        <v>360.47</v>
      </c>
      <c r="M19" s="302">
        <f>IF(C1="",'数据-汇总表'!D3,SUMIF(项目类型,C1,'数据-汇总表'!D17:D26))</f>
        <v>360.47</v>
      </c>
    </row>
    <row r="20" spans="1:36" ht="15">
      <c r="A20" s="1761"/>
      <c r="B20" s="1023" t="s">
        <v>1293</v>
      </c>
      <c r="C20" s="137">
        <f ca="1">SUMIF(INDIRECT("'"&amp;C4&amp;"'"&amp;"!A:A"),'结果表-负2层'!B20,INDIRECT("'"&amp;C4&amp;"'"&amp;"!B:B"))</f>
        <v>13638</v>
      </c>
      <c r="D20" s="138">
        <f ca="1">SUMIF(INDIRECT("'"&amp;D4&amp;"'"&amp;"!A:A"),'结果表-负2层'!B20,INDIRECT("'"&amp;D4&amp;"'"&amp;"!B:B"))</f>
        <v>17291</v>
      </c>
      <c r="E20" s="1761"/>
      <c r="F20" s="1023" t="s">
        <v>1293</v>
      </c>
      <c r="G20" s="139">
        <f ca="1">ROUND(C20*$C$18+D20*$D$18,0)</f>
        <v>15465</v>
      </c>
      <c r="H20" s="805" t="s">
        <v>1294</v>
      </c>
      <c r="I20" s="129"/>
      <c r="J20" s="725">
        <v>16565</v>
      </c>
    </row>
    <row r="21" spans="1:36" ht="15" customHeight="1" thickBot="1">
      <c r="A21" s="825"/>
      <c r="B21" s="1762" t="s">
        <v>1295</v>
      </c>
      <c r="C21" s="719">
        <f ca="1">ROUND(C19*10000/L19,0)</f>
        <v>107915</v>
      </c>
      <c r="D21" s="720">
        <f ca="1">ROUND(D19*10000/L19,0)</f>
        <v>136821</v>
      </c>
      <c r="E21" s="825"/>
      <c r="F21" s="1762" t="s">
        <v>1295</v>
      </c>
      <c r="G21" s="140">
        <f ca="1">ROUND(G19*10000/L19,0)</f>
        <v>122368</v>
      </c>
      <c r="H21" s="1763" t="s">
        <v>1294</v>
      </c>
      <c r="I21" s="129"/>
    </row>
    <row r="22" spans="1:36" ht="15" thickBot="1">
      <c r="A22" s="1685" t="s">
        <v>1296</v>
      </c>
      <c r="B22" s="1764"/>
      <c r="C22" s="1765"/>
      <c r="D22" s="721">
        <f ca="1">IF(C19&lt;D19,D19/C19-1,C19/D19-1)</f>
        <v>0.26786632390745502</v>
      </c>
      <c r="E22" s="129"/>
      <c r="F22" s="129"/>
      <c r="G22" s="129"/>
      <c r="H22" s="129"/>
      <c r="I22" s="129"/>
    </row>
    <row r="23" spans="1:36" ht="13.5" thickBot="1">
      <c r="A23" s="1744"/>
      <c r="B23" s="1744"/>
      <c r="C23" s="1744"/>
      <c r="D23" s="1744"/>
      <c r="E23" s="129"/>
      <c r="F23" s="129"/>
      <c r="G23" s="129"/>
      <c r="H23" s="129"/>
      <c r="I23" s="129"/>
    </row>
    <row r="24" spans="1:36" ht="14.25">
      <c r="A24" s="3749" t="s">
        <v>1297</v>
      </c>
      <c r="B24" s="1759" t="s">
        <v>1289</v>
      </c>
      <c r="C24" s="136">
        <f>IF(B30=0,0,D30)</f>
        <v>0</v>
      </c>
      <c r="D24" s="1766"/>
      <c r="E24" s="129"/>
      <c r="F24" s="129"/>
      <c r="G24" s="129"/>
      <c r="H24" s="129"/>
      <c r="I24" s="129"/>
    </row>
    <row r="25" spans="1:36" ht="14.25">
      <c r="A25" s="3750"/>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4411</v>
      </c>
      <c r="D32" s="1772" t="s">
        <v>3690</v>
      </c>
      <c r="E32" s="129"/>
      <c r="F32" s="129"/>
      <c r="G32" s="129"/>
      <c r="H32" s="129"/>
      <c r="I32" s="129"/>
    </row>
    <row r="33" spans="1:15" ht="15">
      <c r="A33" s="783" t="s">
        <v>1304</v>
      </c>
      <c r="B33" s="1773"/>
      <c r="C33" s="1774" t="s">
        <v>3689</v>
      </c>
      <c r="D33" s="1775" t="s">
        <v>4233</v>
      </c>
      <c r="E33" s="1776" t="s">
        <v>1305</v>
      </c>
      <c r="F33" s="1777" t="str">
        <f>IF(D32="楼面单价","取值（单价）","取值（总价）")</f>
        <v>取值（总价）</v>
      </c>
      <c r="G33" s="129"/>
      <c r="H33" s="129"/>
      <c r="I33" s="129"/>
    </row>
    <row r="34" spans="1:15" ht="15">
      <c r="A34" s="1778"/>
      <c r="B34" s="1779" t="s">
        <v>1306</v>
      </c>
      <c r="C34" s="148">
        <f ca="1">IF(C33="自定义",F34,C32-C35)</f>
        <v>2183</v>
      </c>
      <c r="D34" s="858">
        <f ca="1">IF(C33="自定义",ROUND(C34/C32,3),IF(C33="收益比率",SUMIF(INDIRECT("'"&amp;D33&amp;"'"&amp;"!b:b"),"土地收益比率",INDIRECT("'"&amp;D33&amp;"'"&amp;"!c:c")),SUMIF(INDIRECT("'"&amp;D33&amp;"'"&amp;"!b:b"),"土地成本比率",INDIRECT("'"&amp;D33&amp;"'"&amp;"!c:c"))))</f>
        <v>0.495</v>
      </c>
      <c r="E34" s="1780" t="s">
        <v>1307</v>
      </c>
      <c r="F34" s="1327"/>
      <c r="G34" s="129"/>
      <c r="H34" s="129"/>
      <c r="I34" s="129"/>
    </row>
    <row r="35" spans="1:15" ht="15.75" thickBot="1">
      <c r="A35" s="1781"/>
      <c r="B35" s="1782" t="s">
        <v>1308</v>
      </c>
      <c r="C35" s="1167">
        <f ca="1">IF(C33="自定义",F35,ROUND(C32*D35,0))</f>
        <v>2228</v>
      </c>
      <c r="D35" s="1168">
        <f ca="1">IF(C33="自定义",ROUND(C35/C32,3),IF(C33="收益比率",SUMIF(INDIRECT("'"&amp;D33&amp;"'"&amp;"!b:b"),"建筑物收益比率",INDIRECT("'"&amp;D33&amp;"'"&amp;"!c:c")),SUMIF(INDIRECT("'"&amp;D33&amp;"'"&amp;"!b:b"),"建筑物成本比率",INDIRECT("'"&amp;D33&amp;"'"&amp;"!c:c"))))</f>
        <v>0.505</v>
      </c>
      <c r="E35" s="1783" t="s">
        <v>1309</v>
      </c>
      <c r="F35" s="154"/>
      <c r="G35" s="129"/>
      <c r="H35" s="129"/>
      <c r="I35" s="129"/>
    </row>
    <row r="36" spans="1:15" ht="15.75" thickBot="1">
      <c r="A36" s="3769" t="s">
        <v>1310</v>
      </c>
      <c r="B36" s="1784" t="s">
        <v>1311</v>
      </c>
      <c r="C36" s="145"/>
      <c r="D36" s="1785"/>
      <c r="E36" s="1786"/>
      <c r="F36" s="1787"/>
      <c r="G36" s="129"/>
      <c r="H36" s="129"/>
      <c r="I36" s="129"/>
    </row>
    <row r="37" spans="1:15" ht="15.75" thickBot="1">
      <c r="A37" s="3770"/>
      <c r="B37" s="1671" t="s">
        <v>1312</v>
      </c>
      <c r="C37" s="147"/>
      <c r="D37" s="1136"/>
      <c r="E37" s="1136"/>
      <c r="F37" s="1787"/>
      <c r="G37" s="129"/>
      <c r="H37" s="129"/>
      <c r="I37" s="129"/>
    </row>
    <row r="38" spans="1:15" ht="15.75" thickBot="1">
      <c r="A38" s="3771"/>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746" t="s">
        <v>1324</v>
      </c>
      <c r="B45" s="3747"/>
      <c r="C45" s="3748"/>
      <c r="D45" s="155">
        <f ca="1">ROUND(H101*F45,0)</f>
        <v>4411</v>
      </c>
      <c r="E45" s="156" t="s">
        <v>1325</v>
      </c>
      <c r="F45" s="157">
        <v>1</v>
      </c>
      <c r="G45" s="158" t="s">
        <v>1326</v>
      </c>
      <c r="H45" s="129"/>
      <c r="I45" s="129"/>
      <c r="J45" s="3824" t="s">
        <v>1327</v>
      </c>
      <c r="K45" s="3824"/>
      <c r="L45" s="3824"/>
      <c r="M45" s="3824"/>
      <c r="N45" s="3824"/>
      <c r="O45" s="3824"/>
    </row>
    <row r="46" spans="1:15" ht="14.25" hidden="1" customHeight="1">
      <c r="A46" s="3743" t="s">
        <v>1328</v>
      </c>
      <c r="B46" s="3744"/>
      <c r="C46" s="3744"/>
      <c r="D46" s="3744"/>
      <c r="E46" s="3744"/>
      <c r="F46" s="3744"/>
      <c r="G46" s="3745"/>
      <c r="H46" s="1803"/>
      <c r="I46" s="159"/>
      <c r="J46" s="2518">
        <v>1</v>
      </c>
      <c r="K46" s="3805" t="s">
        <v>1329</v>
      </c>
      <c r="L46" s="3805"/>
      <c r="M46" s="3825"/>
      <c r="N46" s="3825"/>
      <c r="O46" s="3825"/>
    </row>
    <row r="47" spans="1:15" ht="12" hidden="1" customHeight="1">
      <c r="A47" s="160" t="s">
        <v>1330</v>
      </c>
      <c r="B47" s="161"/>
      <c r="C47" s="162"/>
      <c r="D47" s="1084" t="s">
        <v>1331</v>
      </c>
      <c r="E47" s="302" t="s">
        <v>1332</v>
      </c>
      <c r="F47" s="163" t="s">
        <v>1333</v>
      </c>
      <c r="G47" s="2541" t="s">
        <v>1334</v>
      </c>
      <c r="H47" s="2542"/>
      <c r="I47" s="159"/>
      <c r="J47" s="2518">
        <v>2</v>
      </c>
      <c r="K47" s="3805" t="s">
        <v>1335</v>
      </c>
      <c r="L47" s="3805"/>
      <c r="M47" s="3826">
        <f>'数据-取费表'!B2</f>
        <v>45189</v>
      </c>
      <c r="N47" s="3826"/>
      <c r="O47" s="3826"/>
    </row>
    <row r="48" spans="1:15" ht="25.5" hidden="1">
      <c r="A48" s="3774" t="s">
        <v>1336</v>
      </c>
      <c r="B48" s="3757"/>
      <c r="C48" s="3757"/>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1337</v>
      </c>
      <c r="H48" s="2545"/>
      <c r="I48" s="1803"/>
      <c r="J48" s="2518">
        <v>3</v>
      </c>
      <c r="K48" s="3805" t="s">
        <v>1338</v>
      </c>
      <c r="L48" s="3805"/>
      <c r="M48" s="3827">
        <f ca="1">H101</f>
        <v>4411</v>
      </c>
      <c r="N48" s="3827"/>
      <c r="O48" s="3827"/>
    </row>
    <row r="49" spans="1:35" ht="25.5" hidden="1" customHeight="1">
      <c r="A49" s="2330" t="s">
        <v>1339</v>
      </c>
      <c r="B49" s="3741" t="s">
        <v>1340</v>
      </c>
      <c r="C49" s="3741"/>
      <c r="D49" s="1587">
        <v>0</v>
      </c>
      <c r="E49" s="324" t="s">
        <v>1341</v>
      </c>
      <c r="F49" s="2419" t="s">
        <v>28</v>
      </c>
      <c r="G49" s="3811"/>
      <c r="H49" s="2307" t="s">
        <v>2129</v>
      </c>
      <c r="I49" s="2308"/>
      <c r="J49" s="2518">
        <v>4</v>
      </c>
      <c r="K49" s="3805" t="str">
        <f>IF(项目基本情况!E8="房地产抵押价值","房地产抵押价值","抵押担保权已注销时的房地产抵押价值")</f>
        <v>房地产抵押价值</v>
      </c>
      <c r="L49" s="3805"/>
      <c r="M49" s="3827">
        <f ca="1">IF(项目基本情况!E8="房地产抵押价值",H107,H109)</f>
        <v>4411</v>
      </c>
      <c r="N49" s="3827"/>
      <c r="O49" s="3827"/>
    </row>
    <row r="50" spans="1:35" ht="25.5" hidden="1" customHeight="1">
      <c r="A50" s="2546"/>
      <c r="B50" s="3741" t="s">
        <v>1342</v>
      </c>
      <c r="C50" s="3741"/>
      <c r="D50" s="2547"/>
      <c r="E50" s="332"/>
      <c r="F50" s="2419"/>
      <c r="G50" s="3812"/>
      <c r="H50" s="2309" t="s">
        <v>2130</v>
      </c>
      <c r="I50" s="2308"/>
      <c r="J50" s="3824" t="s">
        <v>1343</v>
      </c>
      <c r="K50" s="3824"/>
      <c r="L50" s="3824"/>
      <c r="M50" s="3824"/>
      <c r="N50" s="3824"/>
      <c r="O50" s="3824"/>
    </row>
    <row r="51" spans="1:35" ht="20.45" hidden="1" customHeight="1">
      <c r="A51" s="2548"/>
      <c r="B51" s="3741" t="s">
        <v>1344</v>
      </c>
      <c r="C51" s="3741"/>
      <c r="D51" s="1084"/>
      <c r="E51" s="327"/>
      <c r="F51" s="2419"/>
      <c r="G51" s="3813"/>
      <c r="H51" s="2309" t="s">
        <v>2131</v>
      </c>
      <c r="I51" s="2308"/>
      <c r="J51" s="2519" t="s">
        <v>1345</v>
      </c>
      <c r="K51" s="3805" t="s">
        <v>1346</v>
      </c>
      <c r="L51" s="3805"/>
      <c r="M51" s="2519" t="s">
        <v>1347</v>
      </c>
      <c r="N51" s="2519" t="s">
        <v>1348</v>
      </c>
      <c r="O51" s="2519" t="s">
        <v>1349</v>
      </c>
    </row>
    <row r="52" spans="1:35" ht="24" hidden="1" customHeight="1">
      <c r="A52" s="2332" t="s">
        <v>1350</v>
      </c>
      <c r="B52" s="3741" t="s">
        <v>1351</v>
      </c>
      <c r="C52" s="3741"/>
      <c r="D52" s="1084">
        <f ca="1">ROUND(D45*'数据-取费表'!B41/(1+'数据-取费表'!C42),0)</f>
        <v>235</v>
      </c>
      <c r="E52" s="2331" t="s">
        <v>1352</v>
      </c>
      <c r="F52" s="2549">
        <f>'数据-取费表'!B41</f>
        <v>5.6000000000000001E-2</v>
      </c>
      <c r="G52" s="2550"/>
      <c r="H52" s="2539"/>
      <c r="I52" s="1804"/>
      <c r="J52" s="2518">
        <v>1</v>
      </c>
      <c r="K52" s="3806" t="s">
        <v>1353</v>
      </c>
      <c r="L52" s="3806"/>
      <c r="M52" s="2520" t="b">
        <f>D48</f>
        <v>0</v>
      </c>
      <c r="N52" s="2518" t="str">
        <f>E48</f>
        <v>销售额×税（费）率</v>
      </c>
      <c r="O52" s="2521">
        <f>F48</f>
        <v>5.6000000000000001E-2</v>
      </c>
    </row>
    <row r="53" spans="1:35" ht="12" hidden="1" customHeight="1">
      <c r="A53" s="2332" t="s">
        <v>1354</v>
      </c>
      <c r="B53" s="3767" t="s">
        <v>2286</v>
      </c>
      <c r="C53" s="3768"/>
      <c r="D53" s="1084">
        <f ca="1">ROUND(D45*'数据-取费表'!B41/(1+'数据-取费表'!C42),0)</f>
        <v>235</v>
      </c>
      <c r="E53" s="2331" t="s">
        <v>1352</v>
      </c>
      <c r="F53" s="2549">
        <f>'数据-取费表'!B41</f>
        <v>5.6000000000000001E-2</v>
      </c>
      <c r="G53" s="2550"/>
      <c r="H53" s="2539"/>
      <c r="I53" s="1804"/>
      <c r="J53" s="2518">
        <v>2</v>
      </c>
      <c r="K53" s="3806" t="s">
        <v>1355</v>
      </c>
      <c r="L53" s="3806"/>
      <c r="M53" s="2520">
        <f t="shared" ref="M53:O54" ca="1" si="0">D55</f>
        <v>2</v>
      </c>
      <c r="N53" s="2518" t="str">
        <f t="shared" si="0"/>
        <v>销售额×税（费）率</v>
      </c>
      <c r="O53" s="2521" t="str">
        <f t="shared" si="0"/>
        <v>免征</v>
      </c>
    </row>
    <row r="54" spans="1:35" ht="12" hidden="1" customHeight="1">
      <c r="A54" s="2332" t="s">
        <v>1356</v>
      </c>
      <c r="B54" s="3767" t="s">
        <v>2287</v>
      </c>
      <c r="C54" s="3768"/>
      <c r="D54" s="1084">
        <f ca="1">C68</f>
        <v>235</v>
      </c>
      <c r="E54" s="327" t="s">
        <v>1357</v>
      </c>
      <c r="F54" s="2549">
        <f>'数据-取费表'!B41</f>
        <v>5.6000000000000001E-2</v>
      </c>
      <c r="G54" s="2550"/>
      <c r="H54" s="2551"/>
      <c r="I54" s="1804"/>
      <c r="J54" s="2518">
        <v>3</v>
      </c>
      <c r="K54" s="3806" t="s">
        <v>1358</v>
      </c>
      <c r="L54" s="3806"/>
      <c r="M54" s="2520">
        <f t="shared" ca="1" si="0"/>
        <v>2497</v>
      </c>
      <c r="N54" s="2518" t="str">
        <f t="shared" si="0"/>
        <v>增值额×税（费）率</v>
      </c>
      <c r="O54" s="2522" t="str">
        <f t="shared" si="0"/>
        <v>免征</v>
      </c>
    </row>
    <row r="55" spans="1:35" ht="24" hidden="1" customHeight="1">
      <c r="A55" s="3756" t="s">
        <v>1359</v>
      </c>
      <c r="B55" s="3757"/>
      <c r="C55" s="3757"/>
      <c r="D55" s="2321">
        <f ca="1">IF(H55="个人住宅",0,ROUND(D45*I55,0))</f>
        <v>2</v>
      </c>
      <c r="E55" s="2331" t="s">
        <v>1360</v>
      </c>
      <c r="F55" s="2549" t="str">
        <f>IF(H55="正常",I55,"免征")</f>
        <v>免征</v>
      </c>
      <c r="G55" s="2550"/>
      <c r="H55" s="2545"/>
      <c r="I55" s="165">
        <f>'数据-取费表'!B49</f>
        <v>5.0000000000000001E-4</v>
      </c>
      <c r="J55" s="2518">
        <f>IF(H59="非个人房产","",4)</f>
        <v>4</v>
      </c>
      <c r="K55" s="3806" t="str">
        <f>IF(H59="非个人房产","——","个人所得税")</f>
        <v>个人所得税</v>
      </c>
      <c r="L55" s="3806"/>
      <c r="M55" s="2523">
        <f ca="1">D59</f>
        <v>42</v>
      </c>
      <c r="N55" s="2037" t="str">
        <f>E59</f>
        <v>差额计税</v>
      </c>
      <c r="O55" s="2524">
        <f>F59</f>
        <v>0.01</v>
      </c>
    </row>
    <row r="56" spans="1:35" ht="24.75" hidden="1">
      <c r="A56" s="3756" t="s">
        <v>1361</v>
      </c>
      <c r="B56" s="3757"/>
      <c r="C56" s="3757"/>
      <c r="D56" s="2321">
        <f ca="1">IF(H56="个人住宅",D57,D58)</f>
        <v>2497</v>
      </c>
      <c r="E56" s="2331" t="s">
        <v>1362</v>
      </c>
      <c r="F56" s="2549" t="str">
        <f>IF(H56="正常",F58,"免征")</f>
        <v>免征</v>
      </c>
      <c r="G56" s="2552" t="s">
        <v>1363</v>
      </c>
      <c r="H56" s="2553"/>
      <c r="I56" s="1805"/>
      <c r="J56" s="2518" t="str">
        <f>IF(项目基本情况!K6="上海银行",IF(J55="",4,J55+1),"")</f>
        <v/>
      </c>
      <c r="K56" s="3829" t="str">
        <f>IF(项目基本情况!K6="上海银行","其他处置费用","")</f>
        <v/>
      </c>
      <c r="L56" s="3830"/>
      <c r="M56" s="2520" t="str">
        <f>IF(项目基本情况!K6="上海银行",M69,"")</f>
        <v/>
      </c>
      <c r="N56" s="3829" t="str">
        <f>IF(项目基本情况!K6="上海银行","包含处置中涉及的律师、诉讼、拍卖、评估等费用","")</f>
        <v/>
      </c>
      <c r="O56" s="3832"/>
    </row>
    <row r="57" spans="1:35" ht="12.75" hidden="1">
      <c r="A57" s="2332" t="s">
        <v>1339</v>
      </c>
      <c r="B57" s="3767" t="s">
        <v>1364</v>
      </c>
      <c r="C57" s="3768"/>
      <c r="D57" s="1587">
        <v>0</v>
      </c>
      <c r="E57" s="324" t="s">
        <v>1341</v>
      </c>
      <c r="F57" s="302"/>
      <c r="G57" s="2550"/>
      <c r="H57" s="2554"/>
      <c r="I57" s="1805"/>
      <c r="J57" s="3806">
        <f>IF(AND(J55="",J56=""),4,IF(项目基本情况!K6="上海银行",'结果表-负2层'!J56+1,'结果表-负2层'!J55+1))</f>
        <v>5</v>
      </c>
      <c r="K57" s="3806" t="s">
        <v>1365</v>
      </c>
      <c r="L57" s="2525" t="s">
        <v>1366</v>
      </c>
      <c r="M57" s="2526"/>
      <c r="N57" s="2527">
        <f ca="1">SUMIF(M52:M56,"&lt;9e307")</f>
        <v>2541</v>
      </c>
      <c r="O57" s="2528"/>
      <c r="P57" s="2685">
        <f ca="1">N57/M49</f>
        <v>0.57605985037406482</v>
      </c>
    </row>
    <row r="58" spans="1:35" ht="24.75" hidden="1">
      <c r="A58" s="2332" t="s">
        <v>1350</v>
      </c>
      <c r="B58" s="3767" t="s">
        <v>1367</v>
      </c>
      <c r="C58" s="3741"/>
      <c r="D58" s="2321">
        <f ca="1">IF(H58="转让取得",C81,C97)</f>
        <v>2497</v>
      </c>
      <c r="E58" s="2331" t="s">
        <v>1362</v>
      </c>
      <c r="F58" s="302" t="s">
        <v>28</v>
      </c>
      <c r="G58" s="2550"/>
      <c r="H58" s="2553"/>
      <c r="I58" s="1805"/>
      <c r="J58" s="3806"/>
      <c r="K58" s="3806"/>
      <c r="L58" s="2525" t="s">
        <v>1368</v>
      </c>
      <c r="M58" s="2529"/>
      <c r="N58" s="2530" t="str">
        <f ca="1">NUMBERSTRING(INT(N57*10000),2)&amp;"元整"</f>
        <v>贰仟伍佰肆拾壹万元整</v>
      </c>
      <c r="O58" s="2531"/>
    </row>
    <row r="59" spans="1:35" ht="24.75" hidden="1" thickBot="1">
      <c r="A59" s="3809" t="s">
        <v>1369</v>
      </c>
      <c r="B59" s="3810"/>
      <c r="C59" s="3810"/>
      <c r="D59" s="2555">
        <f ca="1">IF(H59="非个人房产","——",IF(H59="个人住宅（满五唯一有凭证）",0,IF(H59="个人其他（无凭证）",ROUND(D45*F59,0),ROUND(C67*F59,0))))</f>
        <v>42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1"/>
      <c r="I59" s="2310" t="s">
        <v>2132</v>
      </c>
      <c r="J59" s="3807">
        <f>J57+1</f>
        <v>6</v>
      </c>
      <c r="K59" s="3806" t="s">
        <v>1370</v>
      </c>
      <c r="L59" s="2518" t="s">
        <v>1366</v>
      </c>
      <c r="M59" s="2532"/>
      <c r="N59" s="2533">
        <f ca="1">M49-N57</f>
        <v>1870</v>
      </c>
      <c r="O59" s="2534"/>
    </row>
    <row r="60" spans="1:35" ht="12" hidden="1" customHeight="1">
      <c r="A60" s="1806"/>
      <c r="B60" s="1744"/>
      <c r="C60" s="1744"/>
      <c r="D60" s="1744"/>
      <c r="E60" s="1575"/>
      <c r="F60" s="1805"/>
      <c r="G60" s="1805"/>
      <c r="H60" s="1807"/>
      <c r="I60" s="129"/>
      <c r="J60" s="3808"/>
      <c r="K60" s="3806"/>
      <c r="L60" s="2525" t="s">
        <v>1368</v>
      </c>
      <c r="M60" s="2529"/>
      <c r="N60" s="2530" t="str">
        <f ca="1">NUMBERSTRING(INT(N59*10000),2)&amp;"元整"</f>
        <v>壹仟捌佰柒拾万元整</v>
      </c>
      <c r="O60" s="2531"/>
    </row>
    <row r="61" spans="1:35" ht="13.5" hidden="1" thickBot="1">
      <c r="A61" s="3754" t="s">
        <v>1371</v>
      </c>
      <c r="B61" s="3754"/>
      <c r="C61" s="3754"/>
      <c r="D61" s="3754"/>
      <c r="E61" s="3754"/>
      <c r="F61" s="1805"/>
      <c r="G61" s="1805"/>
      <c r="H61" s="1807"/>
      <c r="I61" s="129"/>
      <c r="J61" s="2518">
        <f>J59+1</f>
        <v>7</v>
      </c>
      <c r="K61" s="3806" t="s">
        <v>1372</v>
      </c>
      <c r="L61" s="3806"/>
      <c r="M61" s="2535"/>
      <c r="N61" s="2536">
        <f ca="1">ROUND(N59*10000/'数据-汇总表'!E3,0)</f>
        <v>3127</v>
      </c>
      <c r="O61" s="2537"/>
    </row>
    <row r="62" spans="1:35" ht="12.75" hidden="1">
      <c r="A62" s="3772" t="s">
        <v>1373</v>
      </c>
      <c r="B62" s="3773"/>
      <c r="C62" s="2018"/>
      <c r="D62" s="2018" t="s">
        <v>1374</v>
      </c>
      <c r="E62" s="166" t="s">
        <v>1375</v>
      </c>
      <c r="F62" s="1805"/>
      <c r="G62" s="1805"/>
      <c r="H62" s="1807"/>
      <c r="I62" s="129"/>
    </row>
    <row r="63" spans="1:35" ht="12.75" hidden="1">
      <c r="A63" s="173" t="s">
        <v>330</v>
      </c>
      <c r="B63" s="167" t="s">
        <v>1376</v>
      </c>
      <c r="C63" s="2559">
        <f ca="1">ROUND((C64+C65)/(1+'数据-取费表'!C42),0)</f>
        <v>4201</v>
      </c>
      <c r="D63" s="167"/>
      <c r="E63" s="168"/>
      <c r="F63" s="1805"/>
      <c r="G63" s="1805"/>
      <c r="H63" s="1807"/>
      <c r="I63" s="129"/>
      <c r="J63" s="3831" t="s">
        <v>1377</v>
      </c>
      <c r="K63" s="1329" t="s">
        <v>1378</v>
      </c>
      <c r="L63" s="1329">
        <f ca="1">IF(M49&gt;10000,M49*0.5%,IF(AND(M49&gt;1000,M49&lt;=10000),M49*1%,IF(AND(M49&gt;100,M49&lt;=1000),M49*3%,IF(AND(M49&gt;10,M49&lt;=100),M49*5%,M49*8%))))</f>
        <v>44.11</v>
      </c>
      <c r="M63" s="302">
        <f ca="1">ROUND(L63,1)</f>
        <v>44.1</v>
      </c>
      <c r="N63" s="2538"/>
      <c r="Z63" s="1749"/>
      <c r="AI63" s="1750"/>
    </row>
    <row r="64" spans="1:35" ht="14.25" hidden="1" customHeight="1">
      <c r="A64" s="169" t="s">
        <v>325</v>
      </c>
      <c r="B64" s="170" t="s">
        <v>1379</v>
      </c>
      <c r="C64" s="2560">
        <f ca="1">D45</f>
        <v>4411</v>
      </c>
      <c r="D64" s="170" t="s">
        <v>26</v>
      </c>
      <c r="E64" s="172"/>
      <c r="F64" s="1805"/>
      <c r="G64" s="1805"/>
      <c r="H64" s="1807"/>
      <c r="I64" s="129"/>
      <c r="J64" s="3831"/>
      <c r="K64" s="1329" t="s">
        <v>1380</v>
      </c>
      <c r="L64" s="1329">
        <f ca="1">IF(M49&gt;2000,M49*0.5%,IF(AND(M49&gt;1000,M49&lt;=2000),M49*0.6%,IF(AND(M49&gt;500,M49&lt;=1000),M49*0.7%,IF(AND(M49&gt;200,M49&lt;=500),M49*0.8%,IF(AND(M49&gt;100,M49&lt;=200),M49*0.9%,IF(AND(M49&gt;50,M49&lt;=100),M49*1%,IF(AND(M49&gt;20,M49&lt;=50),M49*1.5%,IF(AND(M49&gt;10,M49&lt;=20),M49*2%,IF(AND(M49&gt;1,M49&lt;=10),M49*2.5%)))))))))</f>
        <v>22.055</v>
      </c>
      <c r="M64" s="302">
        <f t="shared" ref="M64:M65" ca="1" si="1">ROUND(L64,1)</f>
        <v>22.1</v>
      </c>
      <c r="N64" s="2539" t="s">
        <v>1381</v>
      </c>
      <c r="Z64" s="1749"/>
      <c r="AI64" s="1750"/>
    </row>
    <row r="65" spans="1:35" ht="14.25" hidden="1" customHeight="1">
      <c r="A65" s="169" t="s">
        <v>326</v>
      </c>
      <c r="B65" s="170" t="s">
        <v>1382</v>
      </c>
      <c r="C65" s="2561"/>
      <c r="D65" s="170"/>
      <c r="E65" s="172"/>
      <c r="F65" s="1805"/>
      <c r="G65" s="1805"/>
      <c r="H65" s="1807"/>
      <c r="I65" s="129"/>
      <c r="J65" s="3831"/>
      <c r="K65" s="1329" t="s">
        <v>1383</v>
      </c>
      <c r="L65" s="1329">
        <f ca="1">IF(M49&gt;1000,M49*0.1%,IF(AND(M49&gt;500,M49&lt;=1000),M49*0.5%,IF(AND(M49&gt;50,M49&lt;=500),M49*1%,IF(AND(M49&gt;1,M49&lt;=50),M49*1.5%))))</f>
        <v>4.4110000000000005</v>
      </c>
      <c r="M65" s="302">
        <f t="shared" ca="1" si="1"/>
        <v>4.4000000000000004</v>
      </c>
      <c r="N65" s="2539" t="s">
        <v>1381</v>
      </c>
      <c r="Z65" s="1749"/>
      <c r="AI65" s="1750"/>
    </row>
    <row r="66" spans="1:35" ht="14.25" hidden="1" customHeight="1">
      <c r="A66" s="173" t="s">
        <v>327</v>
      </c>
      <c r="B66" s="174" t="s">
        <v>1384</v>
      </c>
      <c r="C66" s="2562"/>
      <c r="D66" s="174" t="s">
        <v>26</v>
      </c>
      <c r="E66" s="1335" t="s">
        <v>669</v>
      </c>
      <c r="F66" s="1805"/>
      <c r="G66" s="1805"/>
      <c r="H66" s="1807"/>
      <c r="I66" s="129"/>
      <c r="J66" s="3831"/>
      <c r="K66" s="1329" t="s">
        <v>1385</v>
      </c>
      <c r="L66" s="1329">
        <f ca="1">M49*0.5%</f>
        <v>22.055</v>
      </c>
      <c r="M66" s="302">
        <f ca="1">IF(L66&gt;0.5,0.5,ROUND(L66,0))</f>
        <v>0.5</v>
      </c>
      <c r="N66" s="2539" t="s">
        <v>1386</v>
      </c>
      <c r="Z66" s="1749"/>
      <c r="AI66" s="1750"/>
    </row>
    <row r="67" spans="1:35" ht="14.25" hidden="1" customHeight="1">
      <c r="A67" s="173" t="s">
        <v>328</v>
      </c>
      <c r="B67" s="174" t="s">
        <v>1387</v>
      </c>
      <c r="C67" s="2563">
        <f ca="1">C63-C66</f>
        <v>4201</v>
      </c>
      <c r="D67" s="170" t="s">
        <v>26</v>
      </c>
      <c r="E67" s="172"/>
      <c r="F67" s="1805"/>
      <c r="G67" s="1805"/>
      <c r="H67" s="1807"/>
      <c r="I67" s="129"/>
      <c r="J67" s="3831"/>
      <c r="K67" s="1329" t="s">
        <v>1388</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49"/>
      <c r="AI67" s="1750"/>
    </row>
    <row r="68" spans="1:35" ht="14.25" hidden="1" customHeight="1" thickBot="1">
      <c r="A68" s="176" t="s">
        <v>329</v>
      </c>
      <c r="B68" s="177" t="s">
        <v>1389</v>
      </c>
      <c r="C68" s="2564">
        <f ca="1">IF(C67&lt;=0,0,ROUND(C67*D68,0))</f>
        <v>235</v>
      </c>
      <c r="D68" s="2565">
        <f>'数据-取费表'!B41</f>
        <v>5.6000000000000001E-2</v>
      </c>
      <c r="E68" s="178"/>
      <c r="F68" s="1805"/>
      <c r="G68" s="1805"/>
      <c r="H68" s="1807"/>
      <c r="I68" s="129"/>
      <c r="J68" s="3831"/>
      <c r="K68" s="1329" t="s">
        <v>1390</v>
      </c>
      <c r="L68" s="1329">
        <f ca="1">IF(M49&gt;10000,M49*0.5%,IF(AND(M49&gt;5000,M49&lt;=10000),M49*1%,IF(AND(M49&gt;1000,M49&lt;=5000),M49*2%,IF(AND(M49&gt;200,M49&lt;=1000),M49*3%,M49*5%))))</f>
        <v>88.22</v>
      </c>
      <c r="M68" s="302">
        <f ca="1">ROUND(L68,1)</f>
        <v>88.2</v>
      </c>
      <c r="N68" s="2538"/>
      <c r="Z68" s="1749"/>
      <c r="AI68" s="1750"/>
    </row>
    <row r="69" spans="1:35" s="1769" customFormat="1" ht="16.5" hidden="1" customHeight="1">
      <c r="A69" s="1808"/>
      <c r="B69" s="1809"/>
      <c r="C69" s="1810"/>
      <c r="D69" s="1811"/>
      <c r="E69" s="1812"/>
      <c r="F69" s="1575"/>
      <c r="G69" s="1575"/>
      <c r="H69" s="1574"/>
      <c r="I69" s="1744"/>
      <c r="J69" s="3831"/>
      <c r="K69" s="1329" t="s">
        <v>1391</v>
      </c>
      <c r="L69" s="1329"/>
      <c r="M69" s="302">
        <f ca="1">ROUND(SUM(M63:M68),0)</f>
        <v>162</v>
      </c>
      <c r="N69" s="2540">
        <f ca="1">M69/M49</f>
        <v>3.6726365903423257E-2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793" t="s">
        <v>1392</v>
      </c>
      <c r="B70" s="3794"/>
      <c r="C70" s="3794"/>
      <c r="D70" s="3794"/>
      <c r="E70" s="3794"/>
      <c r="F70" s="3794"/>
      <c r="G70" s="3794"/>
      <c r="H70" s="379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772" t="s">
        <v>1373</v>
      </c>
      <c r="B71" s="3773"/>
      <c r="C71" s="2018"/>
      <c r="D71" s="2018"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63">
        <f ca="1">ROUND(D45/(1+'数据-取费表'!C42),0)</f>
        <v>4201</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63">
        <f ca="1">C74+C78</f>
        <v>25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9">
        <v>0.05</v>
      </c>
      <c r="E76" s="3767" t="s">
        <v>1400</v>
      </c>
      <c r="F76" s="3741"/>
      <c r="G76" s="3741"/>
      <c r="H76" s="379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71">
        <f ca="1">ROUND(D45*D78/(1+'数据-取费表'!C42),0)</f>
        <v>25</v>
      </c>
      <c r="D78" s="2572">
        <f>'数据-取费表'!B43</f>
        <v>6.000000000000001E-3</v>
      </c>
      <c r="E78" s="3751" t="s">
        <v>1404</v>
      </c>
      <c r="F78" s="3752"/>
      <c r="G78" s="3752"/>
      <c r="H78" s="376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63">
        <f ca="1">C72-C73</f>
        <v>4176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73">
        <f ca="1">IF(C79&lt;=0,0,C79/C73)</f>
        <v>167.04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4">
        <f ca="1">ROUND(IF(C79&lt;=0,0,IF(C80&gt;=200%,C79*60%-C73*35%,IF(C80&gt;=100%,C79*50%-C73*15%,IF(C80&gt;=50%,C79*40%-C73*5%,IF(C80&lt;50%,C79*30%,0))))),0)</f>
        <v>2497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793" t="s">
        <v>1408</v>
      </c>
      <c r="B83" s="3794"/>
      <c r="C83" s="3794"/>
      <c r="D83" s="3794"/>
      <c r="E83" s="3794"/>
      <c r="F83" s="3794"/>
      <c r="G83" s="3794"/>
      <c r="H83" s="379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772" t="s">
        <v>1373</v>
      </c>
      <c r="B84" s="3773"/>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63">
        <f ca="1">ROUND(D45/(1+'数据-取费表'!C42),0)</f>
        <v>4201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63">
        <f ca="1">IF(H88="仅含出让金",C87+C90+C91+C92+C93+C94,C87+C91+C92+C93+C94)</f>
        <v>25</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7"/>
      <c r="D88" s="2572"/>
      <c r="E88" s="193" t="s">
        <v>1411</v>
      </c>
      <c r="F88" s="2324"/>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71">
        <f>ROUND(C88*D89,0)</f>
        <v>0</v>
      </c>
      <c r="D89" s="2572">
        <f>'数据-取费表'!B48+'数据-取费表'!B49</f>
        <v>3.0499999999999999E-2</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7"/>
      <c r="D90" s="2572"/>
      <c r="E90" s="193" t="str">
        <f>IF(H88="-","土地取得成本中已包含该笔费用"," ")</f>
        <v xml:space="preserve"> </v>
      </c>
      <c r="F90" s="2324"/>
      <c r="G90" s="3833" t="s">
        <v>2124</v>
      </c>
      <c r="H90" s="3834"/>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71">
        <f>IF(H91="——",'成本法-负2层'!C33,I91)</f>
        <v>0</v>
      </c>
      <c r="D91" s="2572"/>
      <c r="E91" s="3751" t="s">
        <v>1417</v>
      </c>
      <c r="F91" s="3752"/>
      <c r="G91" s="375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71">
        <f>ROUND((C87+C90+C91)*D92,0)</f>
        <v>0</v>
      </c>
      <c r="D92" s="2578"/>
      <c r="E92" s="3751" t="s">
        <v>1420</v>
      </c>
      <c r="F92" s="3752"/>
      <c r="G92" s="3752"/>
      <c r="H92" s="3761"/>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71">
        <f ca="1">ROUND(D45*D93/(1+'数据-取费表'!C42),0)</f>
        <v>25</v>
      </c>
      <c r="D93" s="2572">
        <f>'数据-取费表'!B43</f>
        <v>6.000000000000001E-3</v>
      </c>
      <c r="E93" s="3751" t="s">
        <v>1404</v>
      </c>
      <c r="F93" s="3752"/>
      <c r="G93" s="3752"/>
      <c r="H93" s="376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7">
        <f>ROUND((C87+C90+C91)*D94,0)</f>
        <v>0</v>
      </c>
      <c r="D94" s="2572">
        <v>0.2</v>
      </c>
      <c r="E94" s="3762" t="s">
        <v>1424</v>
      </c>
      <c r="F94" s="3763"/>
      <c r="G94" s="3763"/>
      <c r="H94" s="376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63">
        <f ca="1">ROUND(C85-C86,0)</f>
        <v>4176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73">
        <f ca="1">IF(C95&lt;=0,0,C95/C86)</f>
        <v>167.04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4">
        <f ca="1">ROUND(IF(C95&lt;=0,0,IF(C96&gt;=200%,C95*60%-C86*35%,IF(C96&gt;=100%,C95*50%-C86*15%,IF(C96&gt;=50%,C95*40%-C86*5%,IF(C96&lt;50%,C95*30%,0))))),0)</f>
        <v>2497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28" t="s">
        <v>1426</v>
      </c>
      <c r="B100" s="3729"/>
      <c r="C100" s="3729"/>
      <c r="D100" s="3753"/>
      <c r="E100" s="3729" t="s">
        <v>1427</v>
      </c>
      <c r="F100" s="3729"/>
      <c r="G100" s="3729"/>
      <c r="H100" s="3753"/>
      <c r="I100" s="129"/>
    </row>
    <row r="101" spans="1:35" ht="18.75" customHeight="1">
      <c r="A101" s="3814" t="s">
        <v>1428</v>
      </c>
      <c r="B101" s="3815"/>
      <c r="C101" s="2580" t="str">
        <f>C4</f>
        <v>成本法-负2层</v>
      </c>
      <c r="D101" s="2581" t="str">
        <f>D4</f>
        <v>收益法-负2层</v>
      </c>
      <c r="E101" s="3828" t="s">
        <v>1429</v>
      </c>
      <c r="F101" s="3785"/>
      <c r="G101" s="1824" t="s">
        <v>1430</v>
      </c>
      <c r="H101" s="2590">
        <f ca="1">H118</f>
        <v>4411</v>
      </c>
      <c r="I101" s="129"/>
    </row>
    <row r="102" spans="1:35" ht="18.75" customHeight="1">
      <c r="A102" s="3787" t="s">
        <v>1431</v>
      </c>
      <c r="B102" s="2579" t="s">
        <v>1430</v>
      </c>
      <c r="C102" s="2580">
        <f ca="1">IF(D32="楼面单价",ROUND(C19,0),C19)</f>
        <v>3890</v>
      </c>
      <c r="D102" s="2581">
        <f ca="1">IF(D32="楼面单价",ROUND(D19,0),D19)</f>
        <v>4932</v>
      </c>
      <c r="E102" s="3828"/>
      <c r="F102" s="3785"/>
      <c r="G102" s="1824" t="s">
        <v>1432</v>
      </c>
      <c r="H102" s="2550">
        <f ca="1">I118</f>
        <v>15464</v>
      </c>
      <c r="I102" s="129"/>
    </row>
    <row r="103" spans="1:35" ht="42.75" customHeight="1">
      <c r="A103" s="3787"/>
      <c r="B103" s="2579" t="s">
        <v>1432</v>
      </c>
      <c r="C103" s="2582">
        <f ca="1">C20</f>
        <v>13638</v>
      </c>
      <c r="D103" s="2583">
        <f ca="1">D20</f>
        <v>17291</v>
      </c>
      <c r="E103" s="3822" t="s">
        <v>1433</v>
      </c>
      <c r="F103" s="3823"/>
      <c r="G103" s="1825" t="s">
        <v>1434</v>
      </c>
      <c r="H103" s="2590">
        <f>IF(D36="正常操作",H104+H105+H106,H105+H106)</f>
        <v>0</v>
      </c>
      <c r="I103" s="129"/>
    </row>
    <row r="104" spans="1:35" ht="18.75" customHeight="1">
      <c r="A104" s="3787" t="s">
        <v>1435</v>
      </c>
      <c r="B104" s="2584" t="s">
        <v>1430</v>
      </c>
      <c r="C104" s="2585">
        <f ca="1">H118</f>
        <v>4411</v>
      </c>
      <c r="D104" s="2586"/>
      <c r="E104" s="1671" t="s">
        <v>1436</v>
      </c>
      <c r="F104" s="1663"/>
      <c r="G104" s="1825" t="s">
        <v>1434</v>
      </c>
      <c r="H104" s="2591">
        <f>IF(D36="同一抵押权人同一抵押物续贷",C36&amp;"（续贷，未扣减，详见特别提示）",C36)</f>
        <v>0</v>
      </c>
      <c r="I104" s="129"/>
    </row>
    <row r="105" spans="1:35" ht="18.75" customHeight="1" thickBot="1">
      <c r="A105" s="3788"/>
      <c r="B105" s="2587" t="s">
        <v>1432</v>
      </c>
      <c r="C105" s="2588">
        <f ca="1">I118</f>
        <v>15464</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784" t="str">
        <f>IF(项目基本情况!E8="已注销","——","3.房地产抵押价值")</f>
        <v>3.房地产抵押价值</v>
      </c>
      <c r="F107" s="3785"/>
      <c r="G107" s="1824" t="s">
        <v>1430</v>
      </c>
      <c r="H107" s="2590">
        <f ca="1">IF(E107="——","——",H101-H103)</f>
        <v>4411</v>
      </c>
      <c r="I107" s="129"/>
    </row>
    <row r="108" spans="1:35" ht="18.75" customHeight="1">
      <c r="A108" s="129"/>
      <c r="B108" s="129"/>
      <c r="C108" s="129"/>
      <c r="D108" s="129"/>
      <c r="E108" s="3784"/>
      <c r="F108" s="3785"/>
      <c r="G108" s="1824" t="s">
        <v>1432</v>
      </c>
      <c r="H108" s="2550">
        <f ca="1">IF(H107=H101,H102,ROUND(H107*10000/'数据-汇总表'!E3,0))</f>
        <v>15464</v>
      </c>
      <c r="I108" s="129"/>
    </row>
    <row r="109" spans="1:35" ht="18.75" customHeight="1">
      <c r="A109" s="129"/>
      <c r="B109" s="129"/>
      <c r="C109" s="129"/>
      <c r="D109" s="129"/>
      <c r="E109" s="3784" t="str">
        <f>IF(项目基本情况!E8="已注销及未注销","4.抵押担保权已注销时的房地产抵押价值",IF(项目基本情况!E8="已注销","3.抵押担保权已注销时的房地产抵押价值","——"))</f>
        <v>——</v>
      </c>
      <c r="F109" s="3785"/>
      <c r="G109" s="1824" t="s">
        <v>1430</v>
      </c>
      <c r="H109" s="2593" t="str">
        <f>IF(E109="——","——",H101-H105-H106)</f>
        <v>——</v>
      </c>
      <c r="I109" s="129"/>
    </row>
    <row r="110" spans="1:35" ht="18.75" customHeight="1">
      <c r="A110" s="129"/>
      <c r="B110" s="129"/>
      <c r="C110" s="129"/>
      <c r="D110" s="129"/>
      <c r="E110" s="3784"/>
      <c r="F110" s="3785"/>
      <c r="G110" s="1824" t="s">
        <v>1432</v>
      </c>
      <c r="H110" s="2550" t="str">
        <f>IF(H109="——","——",ROUND(H109*10000/'数据-汇总表'!E3,0))</f>
        <v>——</v>
      </c>
      <c r="I110" s="129"/>
    </row>
    <row r="111" spans="1:35" ht="18.75" customHeight="1">
      <c r="A111" s="129"/>
      <c r="B111" s="129"/>
      <c r="C111" s="129"/>
      <c r="D111" s="129"/>
      <c r="E111" s="3816" t="str">
        <f>IF(项目基本情况!E9="抵押净值",IF(OR(项目基本情况!E8="已注销",项目基本情况!E8="房地产抵押价值"),"4.抵押净值","5.抵押净值"),"——")</f>
        <v>——</v>
      </c>
      <c r="F111" s="3786"/>
      <c r="G111" s="1824" t="s">
        <v>1430</v>
      </c>
      <c r="H111" s="2590" t="str">
        <f>IF(E111="——","——",N59)</f>
        <v>——</v>
      </c>
      <c r="I111" s="129"/>
    </row>
    <row r="112" spans="1:35" ht="18.75" customHeight="1" thickBot="1">
      <c r="A112" s="129"/>
      <c r="B112" s="129"/>
      <c r="C112" s="129"/>
      <c r="D112" s="129"/>
      <c r="E112" s="3817"/>
      <c r="F112" s="3818"/>
      <c r="G112" s="1827" t="s">
        <v>1432</v>
      </c>
      <c r="H112" s="2594" t="str">
        <f>IF(E111="——","——",N61)</f>
        <v>——</v>
      </c>
      <c r="I112" s="129"/>
    </row>
    <row r="113" spans="1:27" ht="18.75" customHeight="1">
      <c r="A113" s="129"/>
      <c r="B113" s="129"/>
      <c r="C113" s="129"/>
      <c r="D113" s="129"/>
      <c r="E113" s="3789" t="s">
        <v>1438</v>
      </c>
      <c r="F113" s="3789"/>
      <c r="G113" s="3789"/>
      <c r="H113" s="3789"/>
      <c r="I113" s="129"/>
    </row>
    <row r="114" spans="1:27" ht="3.75" customHeight="1">
      <c r="A114" s="1744"/>
      <c r="B114" s="1744"/>
      <c r="C114" s="1744"/>
      <c r="D114" s="1744"/>
      <c r="E114" s="1806"/>
      <c r="F114" s="1806"/>
      <c r="G114" s="1806"/>
      <c r="H114" s="1806"/>
      <c r="I114" s="1744"/>
    </row>
    <row r="115" spans="1:27" ht="18.75" customHeight="1">
      <c r="A115" s="3799" t="s">
        <v>1440</v>
      </c>
      <c r="B115" s="3800"/>
      <c r="C115" s="3800"/>
      <c r="D115" s="3800"/>
      <c r="E115" s="3800"/>
      <c r="F115" s="3800"/>
      <c r="G115" s="3800"/>
      <c r="H115" s="3800"/>
      <c r="I115" s="3801"/>
    </row>
    <row r="116" spans="1:27" ht="27" customHeight="1">
      <c r="A116" s="3755" t="s">
        <v>1441</v>
      </c>
      <c r="B116" s="3790" t="s">
        <v>3685</v>
      </c>
      <c r="C116" s="3790" t="s">
        <v>3686</v>
      </c>
      <c r="D116" s="3803" t="s">
        <v>1442</v>
      </c>
      <c r="E116" s="3804"/>
      <c r="F116" s="3798" t="s">
        <v>3687</v>
      </c>
      <c r="G116" s="3798"/>
      <c r="H116" s="3755" t="s">
        <v>1443</v>
      </c>
      <c r="I116" s="3755"/>
    </row>
    <row r="117" spans="1:27" ht="18.75" customHeight="1">
      <c r="A117" s="3755"/>
      <c r="B117" s="3791"/>
      <c r="C117" s="3791"/>
      <c r="D117" s="2326" t="s">
        <v>1444</v>
      </c>
      <c r="E117" s="2326" t="s">
        <v>1445</v>
      </c>
      <c r="F117" s="2326" t="s">
        <v>1444</v>
      </c>
      <c r="G117" s="2326" t="s">
        <v>1446</v>
      </c>
      <c r="H117" s="2326" t="s">
        <v>1444</v>
      </c>
      <c r="I117" s="2326" t="s">
        <v>1446</v>
      </c>
    </row>
    <row r="118" spans="1:27" ht="24.75" customHeight="1">
      <c r="A118" s="2595" t="str">
        <f>项目基本情况!S2</f>
        <v>北京市朝阳区清林东路4号6号楼负2层B202、负3层B302商业用房房地产</v>
      </c>
      <c r="B118" s="2326">
        <f>M18</f>
        <v>2852.38</v>
      </c>
      <c r="C118" s="2326">
        <f>M19</f>
        <v>360.47</v>
      </c>
      <c r="D118" s="2326">
        <f ca="1">ROUND(IF(D32="总价",C34,E118*B118/10000),0)</f>
        <v>2183</v>
      </c>
      <c r="E118" s="2326">
        <f ca="1">ROUND(IF(C33="自定义",IF(D32="楼面单价",C34,D118*10000/B118),I118-G118),0)</f>
        <v>7653</v>
      </c>
      <c r="F118" s="2326">
        <f ca="1">ROUND(IF(D32="总价",C35,G118*B118/10000),0)</f>
        <v>2228</v>
      </c>
      <c r="G118" s="2326">
        <f ca="1">ROUND(IF(D32="楼面单价",C35,F118*10000/B118),0)</f>
        <v>7811</v>
      </c>
      <c r="H118" s="2326">
        <f ca="1">ROUND(IF(D32="总价",C32,I118*B118/10000),0)</f>
        <v>4411</v>
      </c>
      <c r="I118" s="2326">
        <f ca="1">ROUND(IF(D32="楼面单价",C32,H118*10000/B118),0)</f>
        <v>15464</v>
      </c>
    </row>
    <row r="119" spans="1:27" ht="18.75" customHeight="1">
      <c r="A119" s="3755" t="s">
        <v>1447</v>
      </c>
      <c r="B119" s="3755"/>
      <c r="C119" s="3755"/>
      <c r="D119" s="3795" t="str">
        <f ca="1">NUMBERSTRING(INT(D118*10000),2)&amp;"元整"</f>
        <v>贰仟壹佰捌拾叁万元整</v>
      </c>
      <c r="E119" s="3797"/>
      <c r="F119" s="3795" t="str">
        <f ca="1">NUMBERSTRING(INT(F118*10000),2)&amp;"元整"</f>
        <v>贰仟贰佰贰拾捌万元整</v>
      </c>
      <c r="G119" s="3797"/>
      <c r="H119" s="3795" t="str">
        <f ca="1">NUMBERSTRING(INT(H118*10000),2)&amp;"元整"</f>
        <v>肆仟肆佰壹拾壹万元整</v>
      </c>
      <c r="I119" s="3797"/>
    </row>
    <row r="120" spans="1:27" ht="18.75" customHeight="1">
      <c r="A120" s="3819" t="str">
        <f>IF(项目基本情况!B9="房地产市场价值","",MID(E103,3,LEN(E103)-2))</f>
        <v>估价师知悉的法定优先受偿款</v>
      </c>
      <c r="B120" s="3820"/>
      <c r="C120" s="3821"/>
      <c r="D120" s="3819">
        <f>H103</f>
        <v>0</v>
      </c>
      <c r="E120" s="3820"/>
      <c r="F120" s="3820"/>
      <c r="G120" s="3820"/>
      <c r="H120" s="3820"/>
      <c r="I120" s="382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5" t="s">
        <v>1447</v>
      </c>
      <c r="B121" s="3796"/>
      <c r="C121" s="3797"/>
      <c r="D121" s="3795" t="str">
        <f>IF(D120=0,"零元整",NUMBERSTRING(INT(D120*10000),2)&amp;"元整")</f>
        <v>零元整</v>
      </c>
      <c r="E121" s="3796"/>
      <c r="F121" s="3796"/>
      <c r="G121" s="3796"/>
      <c r="H121" s="3796"/>
      <c r="I121" s="3797"/>
      <c r="AA121" s="725"/>
    </row>
    <row r="122" spans="1:27" ht="18.75" customHeight="1">
      <c r="A122" s="3786" t="str">
        <f>IF(项目基本情况!B9="房地产市场价值","",MID(E107,3,LEN(E107)-2))</f>
        <v>房地产抵押价值</v>
      </c>
      <c r="B122" s="3786"/>
      <c r="C122" s="3786"/>
      <c r="D122" s="3819">
        <f ca="1">H107</f>
        <v>4411</v>
      </c>
      <c r="E122" s="3820"/>
      <c r="F122" s="3820"/>
      <c r="G122" s="3820"/>
      <c r="H122" s="3820"/>
      <c r="I122" s="3821"/>
      <c r="AA122" s="725"/>
    </row>
    <row r="123" spans="1:27" ht="18.75" customHeight="1">
      <c r="A123" s="3755" t="s">
        <v>1447</v>
      </c>
      <c r="B123" s="3755"/>
      <c r="C123" s="3755"/>
      <c r="D123" s="3795" t="str">
        <f ca="1">NUMBERSTRING(INT(D122*10000),2)&amp;"元整"</f>
        <v>肆仟肆佰壹拾壹万元整</v>
      </c>
      <c r="E123" s="3796"/>
      <c r="F123" s="3796"/>
      <c r="G123" s="3796"/>
      <c r="H123" s="3796"/>
      <c r="I123" s="3797"/>
      <c r="AA123" s="725"/>
    </row>
    <row r="124" spans="1:27" ht="18.75" customHeight="1">
      <c r="A124" s="3786" t="str">
        <f>IF(项目基本情况!B9="房地产市场价值","",MID(E109,3,LEN(E109)-2))</f>
        <v/>
      </c>
      <c r="B124" s="3786"/>
      <c r="C124" s="3786"/>
      <c r="D124" s="3819" t="str">
        <f>H109</f>
        <v>——</v>
      </c>
      <c r="E124" s="3820"/>
      <c r="F124" s="3820"/>
      <c r="G124" s="3820"/>
      <c r="H124" s="3820"/>
      <c r="I124" s="3821"/>
      <c r="AA124" s="725"/>
    </row>
    <row r="125" spans="1:27" ht="18.75" customHeight="1">
      <c r="A125" s="3755" t="s">
        <v>1447</v>
      </c>
      <c r="B125" s="3755"/>
      <c r="C125" s="3755"/>
      <c r="D125" s="3795" t="e">
        <f>NUMBERSTRING(INT(D124*10000),2)&amp;"元整"</f>
        <v>#VALUE!</v>
      </c>
      <c r="E125" s="3796"/>
      <c r="F125" s="3796"/>
      <c r="G125" s="3796"/>
      <c r="H125" s="3796"/>
      <c r="I125" s="3797"/>
      <c r="AA125" s="725"/>
    </row>
    <row r="126" spans="1:27" ht="18.75" customHeight="1">
      <c r="A126" s="3786" t="str">
        <f>IF(项目基本情况!B9="房地产市场价值","",MID(E111,3,LEN(E111)-2))</f>
        <v/>
      </c>
      <c r="B126" s="3786"/>
      <c r="C126" s="3786"/>
      <c r="D126" s="3819" t="str">
        <f>H111</f>
        <v>——</v>
      </c>
      <c r="E126" s="3820"/>
      <c r="F126" s="3820"/>
      <c r="G126" s="3820"/>
      <c r="H126" s="3820"/>
      <c r="I126" s="3821"/>
      <c r="AA126" s="725"/>
    </row>
    <row r="127" spans="1:27" ht="18.75" customHeight="1">
      <c r="A127" s="3755" t="s">
        <v>1447</v>
      </c>
      <c r="B127" s="3755"/>
      <c r="C127" s="3755"/>
      <c r="D127" s="3795" t="e">
        <f>NUMBERSTRING(INT(D126*10000),2)&amp;"元整"</f>
        <v>#VALUE!</v>
      </c>
      <c r="E127" s="3796"/>
      <c r="F127" s="3796"/>
      <c r="G127" s="3796"/>
      <c r="H127" s="3796"/>
      <c r="I127" s="3797"/>
      <c r="AA127" s="725"/>
    </row>
    <row r="128" spans="1:27" ht="21.75" customHeight="1">
      <c r="A128" s="3802" t="s">
        <v>1448</v>
      </c>
      <c r="B128" s="3802"/>
      <c r="C128" s="3802"/>
      <c r="D128" s="3802"/>
      <c r="E128" s="3802"/>
      <c r="F128" s="3802"/>
      <c r="G128" s="3802"/>
      <c r="H128" s="3802"/>
      <c r="I128" s="3802"/>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5979.5300000000007</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2312</v>
      </c>
      <c r="C2" s="1996" t="s">
        <v>1930</v>
      </c>
      <c r="D2" s="1997" t="s">
        <v>1931</v>
      </c>
      <c r="E2" s="3417"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21203</v>
      </c>
      <c r="U2" s="1210"/>
      <c r="V2" s="3356">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3867</v>
      </c>
      <c r="C3" s="1996" t="s">
        <v>1936</v>
      </c>
      <c r="D3" s="1997" t="s">
        <v>1937</v>
      </c>
      <c r="E3" s="3415"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1.1838</v>
      </c>
      <c r="T3" s="3356">
        <f t="shared" si="0"/>
        <v>16712</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842"/>
      <c r="B4" s="3843"/>
      <c r="C4" s="3843"/>
      <c r="D4" s="3844"/>
      <c r="E4" s="3844"/>
      <c r="F4" s="3844"/>
      <c r="G4" s="3844"/>
      <c r="H4" s="3844"/>
      <c r="I4" s="3844"/>
      <c r="J4" s="3845"/>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14124</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6">
        <f>ROUND(SUMPRODUCT((B106:B110=R5)*(C105:N105=G2)*(C106:N110)),4)</f>
        <v>0.88239999999999996</v>
      </c>
      <c r="T5" s="3356">
        <f t="shared" si="0"/>
        <v>12457</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11971</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3238</v>
      </c>
      <c r="B7" s="2018"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1355" t="s">
        <v>1950</v>
      </c>
      <c r="X7" s="1211" t="str">
        <f>G2</f>
        <v>五级</v>
      </c>
      <c r="Y7" s="1211" t="s">
        <v>1951</v>
      </c>
      <c r="Z7" s="1212">
        <f>G3</f>
        <v>2.5</v>
      </c>
      <c r="AA7" s="1213"/>
      <c r="AB7" s="1213"/>
      <c r="AC7" s="1214"/>
      <c r="AD7" s="1215"/>
      <c r="AE7" s="1215"/>
      <c r="AF7" s="1215"/>
      <c r="AG7" s="1215"/>
      <c r="AH7" s="1215"/>
      <c r="AI7" s="1215"/>
      <c r="AJ7" s="1216"/>
    </row>
    <row r="8" spans="1:36" ht="25.5">
      <c r="A8" s="3294"/>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839" t="s">
        <v>1955</v>
      </c>
      <c r="X8" s="3840"/>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4"/>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841"/>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84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v>1</v>
      </c>
      <c r="D12" s="3302" t="s">
        <v>3241</v>
      </c>
      <c r="E12" s="3303" t="s">
        <v>3242</v>
      </c>
      <c r="F12" s="3304"/>
      <c r="G12" s="3305"/>
      <c r="H12" s="3305"/>
      <c r="I12" s="3305"/>
      <c r="J12" s="3306"/>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1977</v>
      </c>
      <c r="C13" s="752">
        <f>ROUND(C16*D16*E16*F16*G16*H16*I16*J16,4)</f>
        <v>0</v>
      </c>
      <c r="D13" s="2032" t="s">
        <v>1978</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7" t="s">
        <v>1980</v>
      </c>
      <c r="C14" s="2038" t="s">
        <v>1981</v>
      </c>
      <c r="D14" s="1347" t="s">
        <v>1982</v>
      </c>
      <c r="E14" s="27" t="s">
        <v>1983</v>
      </c>
      <c r="F14" s="3307" t="s">
        <v>3244</v>
      </c>
      <c r="G14" s="3307" t="s">
        <v>3244</v>
      </c>
      <c r="H14" s="3307" t="s">
        <v>3244</v>
      </c>
      <c r="I14" s="3307" t="s">
        <v>3244</v>
      </c>
      <c r="J14" s="3307" t="s">
        <v>3244</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0.88249999999999995</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46" t="s">
        <v>3255</v>
      </c>
      <c r="B20" s="167" t="s">
        <v>1989</v>
      </c>
      <c r="C20" s="3320">
        <f>ROUND(IF(F21="与级别开发程度一致",0,(G21-E21)/C21),0)</f>
        <v>0</v>
      </c>
      <c r="D20" s="3336" t="s">
        <v>1993</v>
      </c>
      <c r="E20" s="3337"/>
      <c r="F20" s="3852" t="s">
        <v>1990</v>
      </c>
      <c r="G20" s="3853"/>
      <c r="H20" s="3321" t="s">
        <v>3383</v>
      </c>
      <c r="I20" s="3321" t="s">
        <v>3384</v>
      </c>
      <c r="J20" s="3322" t="s">
        <v>3385</v>
      </c>
      <c r="K20" s="2044" t="s">
        <v>3386</v>
      </c>
      <c r="L20" s="2044" t="s">
        <v>3387</v>
      </c>
      <c r="M20" s="2044" t="s">
        <v>3389</v>
      </c>
      <c r="N20" s="2044" t="s">
        <v>3675</v>
      </c>
      <c r="O20" s="2045" t="s">
        <v>3388</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847"/>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50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1995</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8" t="s">
        <v>3257</v>
      </c>
      <c r="I23" s="3339" t="str">
        <f>IF(H23="季度增幅（自定义）",SUMIF(N25:N28,E2,O25:O28),"")</f>
        <v/>
      </c>
      <c r="J23" s="3441" t="s">
        <v>3256</v>
      </c>
      <c r="K23" s="1122"/>
      <c r="L23" s="2052" t="s">
        <v>1999</v>
      </c>
      <c r="M23" s="1325">
        <f>ROUND(SUMIF(地价!B2:G2,E2,地价!B16:G16),0)</f>
        <v>350</v>
      </c>
      <c r="N23" s="2053" t="s">
        <v>2000</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3674</v>
      </c>
      <c r="C25" s="768">
        <f>IF(B25="容积率修正",IF(G3&lt;10,D26,J26),C27)</f>
        <v>0</v>
      </c>
      <c r="D25" s="2064"/>
      <c r="E25" s="2064"/>
      <c r="F25" s="2064"/>
      <c r="G25" s="2064"/>
      <c r="H25" s="2064"/>
      <c r="I25" s="2064"/>
      <c r="J25" s="2065"/>
      <c r="K25" s="1122"/>
      <c r="L25" s="2783"/>
      <c r="M25" s="2783"/>
      <c r="N25" s="2066" t="s">
        <v>2008</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40" t="s">
        <v>3258</v>
      </c>
      <c r="D26" s="1349">
        <f>IF(E26=G26,F26,IF(G3&lt;10,ROUND(F26+(H26-F26)*(G3-E26)/(G26-E26),4),"——"))</f>
        <v>1</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3259</v>
      </c>
      <c r="J26" s="769" t="str">
        <f>IF(G3&gt;=10,D115,"——")</f>
        <v>——</v>
      </c>
      <c r="K26" s="1122"/>
      <c r="L26" s="2783"/>
      <c r="M26" s="2783"/>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3"/>
      <c r="M28" s="2783"/>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80" t="s">
        <v>2018</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2312</v>
      </c>
      <c r="D30" s="2080"/>
      <c r="E30" s="2043"/>
      <c r="F30" s="2081"/>
      <c r="G30" s="2043"/>
      <c r="H30" s="2043"/>
      <c r="I30" s="2043"/>
      <c r="J30" s="2082"/>
      <c r="K30" s="1116"/>
      <c r="L30" s="3346" t="s">
        <v>1931</v>
      </c>
      <c r="M30" s="3347" t="s">
        <v>1985</v>
      </c>
      <c r="N30" s="3347" t="s">
        <v>1986</v>
      </c>
      <c r="O30" s="3347" t="s">
        <v>1987</v>
      </c>
      <c r="P30" s="3347" t="s">
        <v>1988</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578</v>
      </c>
      <c r="D31" s="2084"/>
      <c r="E31" s="2085"/>
      <c r="F31" s="2086"/>
      <c r="G31" s="2085"/>
      <c r="H31" s="2085"/>
      <c r="I31" s="2085"/>
      <c r="J31" s="2087"/>
      <c r="K31" s="1116"/>
      <c r="L31" s="3348" t="s">
        <v>1991</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9" t="s">
        <v>1994</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2"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2" t="s">
        <v>3266</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50"/>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7"/>
      <c r="K37" s="3354" t="s">
        <v>3267</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51"/>
      <c r="B38" s="2038" t="s">
        <v>2032</v>
      </c>
      <c r="C38" s="175">
        <f>ROUND(D5*C22*C23*C24*C28*F38,0)</f>
        <v>4235</v>
      </c>
      <c r="D38" s="2095">
        <f>清单!B279</f>
        <v>2852.38</v>
      </c>
      <c r="E38" s="171">
        <f t="shared" ref="E38:E42" si="4">ROUND(C38*D38/10000,0)</f>
        <v>1208</v>
      </c>
      <c r="F38" s="171">
        <f>SUMIF(修正!A57:A68,G2,修正!C57:C68)</f>
        <v>0.3</v>
      </c>
      <c r="G38" s="171">
        <f>ROUND(IF(E2="工业",C38*$M$42,C38*$M$41),0)</f>
        <v>1059</v>
      </c>
      <c r="H38" s="171">
        <f t="shared" ref="H38:H42" si="5">D38</f>
        <v>2852.38</v>
      </c>
      <c r="I38" s="171">
        <f t="shared" ref="I38:I42" si="6">ROUND(G38*H38/10000,0)</f>
        <v>302</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51"/>
      <c r="B39" s="2038" t="s">
        <v>3260</v>
      </c>
      <c r="C39" s="175">
        <f>ROUND(D5*C22*C23*C24*C28*F39,0)</f>
        <v>3529</v>
      </c>
      <c r="D39" s="2095">
        <f>清单!B280</f>
        <v>3127.15</v>
      </c>
      <c r="E39" s="171">
        <f t="shared" si="4"/>
        <v>1104</v>
      </c>
      <c r="F39" s="171">
        <f>SUMIF(修正!A57:A68,G2,修正!D57:D68)</f>
        <v>0.25</v>
      </c>
      <c r="G39" s="171">
        <f>ROUND(IF(E2="工业",C39*$M$42,C39*$M$41),0)</f>
        <v>882</v>
      </c>
      <c r="H39" s="171">
        <f t="shared" si="5"/>
        <v>3127.15</v>
      </c>
      <c r="I39" s="171">
        <f t="shared" si="6"/>
        <v>276</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c r="E42" s="187">
        <f t="shared" si="4"/>
        <v>0</v>
      </c>
      <c r="F42" s="764">
        <f>SUMIF(修正!A57:A68,G2,修正!G57:G68)</f>
        <v>0.15</v>
      </c>
      <c r="G42" s="187">
        <f>ROUND(IF(E2="工业",C42*$M$42,C42*$M$41),0)</f>
        <v>565</v>
      </c>
      <c r="H42" s="187">
        <f t="shared" si="5"/>
        <v>0</v>
      </c>
      <c r="I42" s="187">
        <f t="shared" si="6"/>
        <v>0</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2">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2">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t="s">
        <v>3676</v>
      </c>
      <c r="D52" s="1062">
        <f t="shared" si="7"/>
        <v>6.0000000000000001E-3</v>
      </c>
      <c r="E52" s="742"/>
      <c r="F52" s="1811"/>
      <c r="G52" s="1060">
        <f t="shared" si="12"/>
        <v>6.0000000000000001E-3</v>
      </c>
      <c r="H52" s="1063">
        <f t="shared" si="8"/>
        <v>6.0000000000000001E-3</v>
      </c>
      <c r="I52" s="3362">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2">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2">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2">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2">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2">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3">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2">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2">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3"/>
        <v>0</v>
      </c>
      <c r="E63" s="742"/>
      <c r="F63" s="1811"/>
      <c r="G63" s="1060"/>
      <c r="H63" s="1063" t="str">
        <f t="shared" si="14"/>
        <v>——</v>
      </c>
      <c r="I63" s="3362">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2">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2">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2">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2">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2">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3">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2">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2">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8"/>
        <v>0</v>
      </c>
      <c r="E74" s="744"/>
      <c r="F74" s="1811"/>
      <c r="G74" s="1060"/>
      <c r="H74" s="1063" t="str">
        <f t="shared" si="19"/>
        <v>——</v>
      </c>
      <c r="I74" s="3362">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2">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2">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2">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2">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2">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3">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2">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2">
        <v>0.3</v>
      </c>
      <c r="J84" s="1061">
        <f t="shared" si="25"/>
        <v>0</v>
      </c>
      <c r="K84" s="1061">
        <f t="shared" si="26"/>
        <v>0</v>
      </c>
      <c r="L84" s="1061">
        <v>0</v>
      </c>
      <c r="M84" s="1061">
        <f t="shared" si="27"/>
        <v>0</v>
      </c>
      <c r="N84" s="1061">
        <f t="shared" si="27"/>
        <v>0</v>
      </c>
      <c r="Z84" s="1995"/>
      <c r="AA84" s="2050"/>
      <c r="AG84" s="1118"/>
      <c r="AK84" s="2050"/>
    </row>
    <row r="85" spans="1:37" ht="36">
      <c r="A85" s="3364" t="s">
        <v>3271</v>
      </c>
      <c r="B85" s="2131">
        <f>估价对象房地状况!G17</f>
        <v>0</v>
      </c>
      <c r="C85" s="2041"/>
      <c r="D85" s="1062">
        <f t="shared" si="23"/>
        <v>0</v>
      </c>
      <c r="E85" s="744"/>
      <c r="F85" s="1811"/>
      <c r="G85" s="1060"/>
      <c r="H85" s="1063" t="str">
        <f t="shared" si="24"/>
        <v>——</v>
      </c>
      <c r="I85" s="3362">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2">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2">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2">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2">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3">
        <v>0.05</v>
      </c>
      <c r="J90" s="1061">
        <f t="shared" si="25"/>
        <v>0</v>
      </c>
      <c r="K90" s="1061">
        <f t="shared" si="26"/>
        <v>0</v>
      </c>
      <c r="L90" s="1061">
        <v>0</v>
      </c>
      <c r="M90" s="1061">
        <f t="shared" si="27"/>
        <v>0</v>
      </c>
      <c r="N90" s="1061">
        <f t="shared" si="27"/>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3274</v>
      </c>
      <c r="B94" s="3365" t="str">
        <f>估价对象房地状况!C18</f>
        <v>估价对象周边道路状况、公共交通通达情况、停车便捷程度，综合评价交通便捷度较好</v>
      </c>
      <c r="C94" s="2041"/>
      <c r="D94" s="3361">
        <f t="shared" ref="D94:D101" si="31">SUMIF($J$60:$N$60,C94,J94:N94)</f>
        <v>0</v>
      </c>
      <c r="E94" s="3378"/>
      <c r="F94" s="1811"/>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3270</v>
      </c>
      <c r="B95" s="3365">
        <f>估价对象房地状况!C19</f>
        <v>0</v>
      </c>
      <c r="C95" s="2041"/>
      <c r="D95" s="3361">
        <f t="shared" si="31"/>
        <v>0</v>
      </c>
      <c r="E95" s="3378"/>
      <c r="F95" s="1811"/>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3275</v>
      </c>
      <c r="B96" s="3380" t="s">
        <v>3286</v>
      </c>
      <c r="C96" s="2041"/>
      <c r="D96" s="3361">
        <f t="shared" si="31"/>
        <v>0</v>
      </c>
      <c r="E96" s="3378"/>
      <c r="F96" s="1811"/>
      <c r="G96" s="3368"/>
      <c r="H96" s="3416" t="str">
        <f t="shared" si="32"/>
        <v>——</v>
      </c>
      <c r="I96" s="3362">
        <v>0.05</v>
      </c>
      <c r="J96" s="3340">
        <f t="shared" si="28"/>
        <v>0</v>
      </c>
      <c r="K96" s="3340">
        <f t="shared" si="29"/>
        <v>0</v>
      </c>
      <c r="L96" s="3340">
        <v>0</v>
      </c>
      <c r="M96" s="3340">
        <f t="shared" si="30"/>
        <v>0</v>
      </c>
      <c r="N96" s="3340">
        <f t="shared" si="30"/>
        <v>0</v>
      </c>
    </row>
    <row r="97" spans="1:14" ht="24">
      <c r="A97" s="3374" t="s">
        <v>3276</v>
      </c>
      <c r="B97" s="3365">
        <f>估价对象房地状况!C24</f>
        <v>0</v>
      </c>
      <c r="C97" s="2041"/>
      <c r="D97" s="3361">
        <f t="shared" si="31"/>
        <v>0</v>
      </c>
      <c r="E97" s="3378"/>
      <c r="F97" s="1811"/>
      <c r="G97" s="3368"/>
      <c r="H97" s="3416" t="str">
        <f t="shared" si="32"/>
        <v>——</v>
      </c>
      <c r="I97" s="3362">
        <v>0.05</v>
      </c>
      <c r="J97" s="3340">
        <f t="shared" si="28"/>
        <v>0</v>
      </c>
      <c r="K97" s="3340">
        <f t="shared" si="29"/>
        <v>0</v>
      </c>
      <c r="L97" s="3340">
        <v>0</v>
      </c>
      <c r="M97" s="3340">
        <f t="shared" si="30"/>
        <v>0</v>
      </c>
      <c r="N97" s="3340">
        <f t="shared" si="30"/>
        <v>0</v>
      </c>
    </row>
    <row r="98" spans="1:14" ht="24">
      <c r="A98" s="3374" t="s">
        <v>3277</v>
      </c>
      <c r="B98" s="3381" t="s">
        <v>3287</v>
      </c>
      <c r="C98" s="2041"/>
      <c r="D98" s="3361">
        <f t="shared" si="31"/>
        <v>0</v>
      </c>
      <c r="E98" s="3378"/>
      <c r="F98" s="1811"/>
      <c r="G98" s="3368"/>
      <c r="H98" s="3416" t="str">
        <f t="shared" si="32"/>
        <v>——</v>
      </c>
      <c r="I98" s="3362">
        <v>0.06</v>
      </c>
      <c r="J98" s="3340">
        <f t="shared" si="28"/>
        <v>0</v>
      </c>
      <c r="K98" s="3340">
        <f t="shared" si="29"/>
        <v>0</v>
      </c>
      <c r="L98" s="3340">
        <v>0</v>
      </c>
      <c r="M98" s="3340">
        <f t="shared" si="30"/>
        <v>0</v>
      </c>
      <c r="N98" s="3340">
        <f t="shared" si="30"/>
        <v>0</v>
      </c>
    </row>
    <row r="99" spans="1:14" ht="25.5">
      <c r="A99" s="3374" t="s">
        <v>3278</v>
      </c>
      <c r="B99" s="3365" t="str">
        <f>估价对象房地状况!C21</f>
        <v>估价对象所在区域公共配套设施齐备情况</v>
      </c>
      <c r="C99" s="2041"/>
      <c r="D99" s="3361">
        <f t="shared" si="31"/>
        <v>0</v>
      </c>
      <c r="E99" s="3378"/>
      <c r="F99" s="1811"/>
      <c r="G99" s="3368"/>
      <c r="H99" s="3416" t="str">
        <f t="shared" si="32"/>
        <v>——</v>
      </c>
      <c r="I99" s="3362">
        <v>0.06</v>
      </c>
      <c r="J99" s="3340">
        <f t="shared" si="28"/>
        <v>0</v>
      </c>
      <c r="K99" s="3340">
        <f t="shared" si="29"/>
        <v>0</v>
      </c>
      <c r="L99" s="3340">
        <v>0</v>
      </c>
      <c r="M99" s="3340">
        <f t="shared" si="30"/>
        <v>0</v>
      </c>
      <c r="N99" s="3340">
        <f t="shared" si="30"/>
        <v>0</v>
      </c>
    </row>
    <row r="100" spans="1:14" ht="25.5">
      <c r="A100" s="3374" t="s">
        <v>3279</v>
      </c>
      <c r="B100" s="3365" t="str">
        <f>估价对象房地状况!C22</f>
        <v>估价对象所在区域基础设施水平</v>
      </c>
      <c r="C100" s="2041"/>
      <c r="D100" s="3361">
        <f t="shared" si="31"/>
        <v>0</v>
      </c>
      <c r="E100" s="3378"/>
      <c r="F100" s="1811"/>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3280</v>
      </c>
      <c r="B101" s="3382" t="str">
        <f>估价对象房地状况!C20</f>
        <v>区域自然环境：；人文环境；综合评价环境状况一般</v>
      </c>
      <c r="C101" s="2041"/>
      <c r="D101" s="3361">
        <f t="shared" si="31"/>
        <v>0</v>
      </c>
      <c r="E101" s="3379"/>
      <c r="F101" s="1811"/>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848" t="s">
        <v>3295</v>
      </c>
      <c r="B103" s="3848"/>
      <c r="C103" s="3848"/>
      <c r="D103" s="3848"/>
      <c r="E103" s="3848"/>
      <c r="F103" s="3848"/>
      <c r="G103" s="3848"/>
      <c r="H103" s="3848"/>
      <c r="I103" s="3848"/>
      <c r="J103" s="3848"/>
      <c r="K103" s="3385"/>
      <c r="L103" s="3385"/>
      <c r="M103" s="3385"/>
      <c r="N103" s="3385"/>
    </row>
    <row r="104" spans="1:14">
      <c r="A104" s="3849" t="s">
        <v>3296</v>
      </c>
      <c r="B104" s="3849" t="s">
        <v>3297</v>
      </c>
      <c r="C104" s="3386" t="s">
        <v>3298</v>
      </c>
      <c r="D104" s="3387"/>
      <c r="E104" s="3387"/>
      <c r="F104" s="3387"/>
      <c r="G104" s="3387"/>
      <c r="H104" s="3387"/>
      <c r="I104" s="3387"/>
      <c r="J104" s="3388"/>
      <c r="K104" s="3389"/>
      <c r="L104" s="3389"/>
      <c r="M104" s="3389"/>
      <c r="N104" s="3389"/>
    </row>
    <row r="105" spans="1:14">
      <c r="A105" s="3849"/>
      <c r="B105" s="3849"/>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835"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3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3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3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3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36"/>
      <c r="B111" s="3390" t="s">
        <v>3269</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837"/>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838" t="s">
        <v>3312</v>
      </c>
      <c r="B113" s="3838"/>
      <c r="C113" s="3838"/>
      <c r="D113" s="3838"/>
      <c r="E113" s="3838"/>
      <c r="F113" s="3838"/>
      <c r="G113" s="3838"/>
      <c r="H113" s="3838"/>
      <c r="I113" s="3838"/>
      <c r="J113" s="383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2.5</v>
      </c>
      <c r="C116" s="3395" t="s">
        <v>3314</v>
      </c>
      <c r="D116" s="3396">
        <f>SUMPRODUCT((A118:A122=F116)*(B117:M117=H116)*B118:M122)</f>
        <v>0.91400000000000003</v>
      </c>
      <c r="E116" s="1997" t="s">
        <v>3315</v>
      </c>
      <c r="F116" s="3397" t="str">
        <f>E2</f>
        <v>商业</v>
      </c>
      <c r="G116" s="1997" t="s">
        <v>3316</v>
      </c>
      <c r="H116" s="3397" t="str">
        <f>G2</f>
        <v>五级</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6">I118</f>
        <v>0.80359999999999998</v>
      </c>
      <c r="K118" s="3383">
        <f t="shared" si="36"/>
        <v>0.80359999999999998</v>
      </c>
      <c r="L118" s="3383">
        <f t="shared" si="36"/>
        <v>0.80359999999999998</v>
      </c>
      <c r="M118" s="3406">
        <f t="shared" si="36"/>
        <v>0.80359999999999998</v>
      </c>
      <c r="N118" s="3393"/>
    </row>
    <row r="119" spans="1:14">
      <c r="A119" s="3405" t="s">
        <v>3330</v>
      </c>
      <c r="B119" s="3383">
        <f>ROUND(0.993-0.0112*B116,4)</f>
        <v>0.96499999999999997</v>
      </c>
      <c r="C119" s="3383">
        <f>B119</f>
        <v>0.96499999999999997</v>
      </c>
      <c r="D119" s="3383">
        <f>ROUND(0.9415-0.0142*B116,4)</f>
        <v>0.90600000000000003</v>
      </c>
      <c r="E119" s="3383">
        <f t="shared" ref="E119:H120" si="37">D119</f>
        <v>0.90600000000000003</v>
      </c>
      <c r="F119" s="3383">
        <f t="shared" si="37"/>
        <v>0.90600000000000003</v>
      </c>
      <c r="G119" s="3383">
        <f t="shared" si="37"/>
        <v>0.90600000000000003</v>
      </c>
      <c r="H119" s="3383">
        <f t="shared" si="37"/>
        <v>0.90600000000000003</v>
      </c>
      <c r="I119" s="3383">
        <f>ROUND(0.838-0.0182*B116,4)</f>
        <v>0.79249999999999998</v>
      </c>
      <c r="J119" s="3383">
        <f t="shared" si="36"/>
        <v>0.79249999999999998</v>
      </c>
      <c r="K119" s="3383">
        <f t="shared" si="36"/>
        <v>0.79249999999999998</v>
      </c>
      <c r="L119" s="3383">
        <f t="shared" si="36"/>
        <v>0.79249999999999998</v>
      </c>
      <c r="M119" s="3406">
        <f t="shared" si="36"/>
        <v>0.79249999999999998</v>
      </c>
      <c r="N119" s="3393"/>
    </row>
    <row r="120" spans="1:14">
      <c r="A120" s="3405" t="s">
        <v>3331</v>
      </c>
      <c r="B120" s="3383">
        <f>ROUND(0.9448-0.0115*B116,4)</f>
        <v>0.91610000000000003</v>
      </c>
      <c r="C120" s="3383">
        <f>B120</f>
        <v>0.91610000000000003</v>
      </c>
      <c r="D120" s="3383">
        <f>ROUND(0.937-0.0145*B116,4)</f>
        <v>0.90080000000000005</v>
      </c>
      <c r="E120" s="3383">
        <f t="shared" si="37"/>
        <v>0.90080000000000005</v>
      </c>
      <c r="F120" s="3383">
        <f t="shared" si="37"/>
        <v>0.90080000000000005</v>
      </c>
      <c r="G120" s="3383">
        <f t="shared" si="37"/>
        <v>0.90080000000000005</v>
      </c>
      <c r="H120" s="3383">
        <f t="shared" si="37"/>
        <v>0.90080000000000005</v>
      </c>
      <c r="I120" s="3383">
        <f>ROUND(0.7965-0.0185*B116,4)</f>
        <v>0.75029999999999997</v>
      </c>
      <c r="J120" s="3383">
        <f t="shared" si="36"/>
        <v>0.75029999999999997</v>
      </c>
      <c r="K120" s="3383">
        <f t="shared" si="36"/>
        <v>0.75029999999999997</v>
      </c>
      <c r="L120" s="3383">
        <f t="shared" si="36"/>
        <v>0.75029999999999997</v>
      </c>
      <c r="M120" s="3406">
        <f t="shared" si="36"/>
        <v>0.75029999999999997</v>
      </c>
      <c r="N120" s="3393"/>
    </row>
    <row r="121" spans="1:14" ht="13.5" thickBot="1">
      <c r="A121" s="3407" t="s">
        <v>3332</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6"/>
        <v>0.54300000000000004</v>
      </c>
      <c r="K121" s="3408">
        <f t="shared" si="36"/>
        <v>0.54300000000000004</v>
      </c>
      <c r="L121" s="3408">
        <f t="shared" si="36"/>
        <v>0.54300000000000004</v>
      </c>
      <c r="M121" s="3409">
        <f t="shared" si="36"/>
        <v>0.54300000000000004</v>
      </c>
      <c r="N121" s="3393"/>
    </row>
    <row r="122" spans="1:14">
      <c r="A122" s="3410" t="s">
        <v>2611</v>
      </c>
      <c r="B122" s="3383">
        <f>ROUND(0.9404-0.0106*B116,4)</f>
        <v>0.91390000000000005</v>
      </c>
      <c r="C122" s="3383">
        <f>B122</f>
        <v>0.91390000000000005</v>
      </c>
      <c r="D122" s="3383">
        <f>ROUND(0.8955-0.0135*B116,4)</f>
        <v>0.86180000000000001</v>
      </c>
      <c r="E122" s="3383">
        <f t="shared" ref="E122:H122" si="38">D122</f>
        <v>0.86180000000000001</v>
      </c>
      <c r="F122" s="3383">
        <f t="shared" si="38"/>
        <v>0.86180000000000001</v>
      </c>
      <c r="G122" s="3383">
        <f t="shared" si="38"/>
        <v>0.86180000000000001</v>
      </c>
      <c r="H122" s="3383">
        <f t="shared" si="38"/>
        <v>0.86180000000000001</v>
      </c>
      <c r="I122" s="3383">
        <f>ROUND(0.7632-0.0166*B116,4)</f>
        <v>0.72170000000000001</v>
      </c>
      <c r="J122" s="3383">
        <f t="shared" si="36"/>
        <v>0.72170000000000001</v>
      </c>
      <c r="K122" s="3383">
        <f t="shared" si="36"/>
        <v>0.72170000000000001</v>
      </c>
      <c r="L122" s="3383">
        <f t="shared" si="36"/>
        <v>0.72170000000000001</v>
      </c>
      <c r="M122" s="3406">
        <f t="shared" si="36"/>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4228</v>
      </c>
      <c r="C1" s="198"/>
      <c r="D1" s="198"/>
      <c r="E1" s="198"/>
      <c r="F1" s="198"/>
      <c r="G1" s="1123">
        <f>MATCH(B1,'数据-取费表'!A6:A16,0)+5</f>
        <v>6</v>
      </c>
    </row>
    <row r="2" spans="1:9" s="200" customFormat="1" ht="18" customHeight="1">
      <c r="A2" s="201" t="s">
        <v>1457</v>
      </c>
      <c r="B2" s="202">
        <f ca="1">IF(D2="——",C52,C52-E2)</f>
        <v>3890</v>
      </c>
      <c r="C2" s="199" t="s">
        <v>1458</v>
      </c>
      <c r="D2" s="1850" t="s">
        <v>43</v>
      </c>
      <c r="E2" s="1166" t="e">
        <f ca="1">SUMIF(INDIRECT("'"&amp;G2&amp;"'"&amp;"!A:A"),"承租人权益价值",INDIRECT("'"&amp;G2&amp;"'"&amp;"!c:c"))</f>
        <v>#REF!</v>
      </c>
      <c r="F2" s="1851" t="s">
        <v>1458</v>
      </c>
      <c r="G2" s="1852"/>
    </row>
    <row r="3" spans="1:9" s="200" customFormat="1" ht="18" customHeight="1" thickBot="1">
      <c r="A3" s="203" t="s">
        <v>1459</v>
      </c>
      <c r="B3" s="204">
        <f ca="1">ROUND(B2*10000/(IF(B1="",'数据-汇总表'!E3,INDIRECT("'数据-取费表'!k"&amp;$G$1))),0)</f>
        <v>13638</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1302</v>
      </c>
      <c r="D5" s="211" t="s">
        <v>1464</v>
      </c>
      <c r="E5" s="212" t="s">
        <v>1465</v>
      </c>
      <c r="F5" s="212" t="s">
        <v>1466</v>
      </c>
      <c r="G5" s="213"/>
    </row>
    <row r="6" spans="1:9" s="214" customFormat="1" ht="13.5" customHeight="1">
      <c r="A6" s="775" t="s">
        <v>1467</v>
      </c>
      <c r="B6" s="215" t="s">
        <v>1468</v>
      </c>
      <c r="C6" s="216">
        <f>'基准地价修正-商业'!E38</f>
        <v>1208</v>
      </c>
      <c r="D6" s="217"/>
      <c r="E6" s="218"/>
      <c r="F6" s="218"/>
      <c r="G6" s="219"/>
    </row>
    <row r="7" spans="1:9" s="214" customFormat="1" ht="13.5" customHeight="1">
      <c r="A7" s="775" t="s">
        <v>1469</v>
      </c>
      <c r="B7" s="215" t="s">
        <v>1470</v>
      </c>
      <c r="C7" s="220">
        <f>ROUND(C6*F7,0)</f>
        <v>37</v>
      </c>
      <c r="D7" s="220"/>
      <c r="E7" s="218"/>
      <c r="F7" s="221">
        <f>IF(项目基本情况!B8="出让",0,'数据-取费表'!B48+'数据-取费表'!B49)</f>
        <v>3.0499999999999999E-2</v>
      </c>
      <c r="G7" s="219"/>
    </row>
    <row r="8" spans="1:9" s="223" customFormat="1">
      <c r="A8" s="775" t="s">
        <v>1471</v>
      </c>
      <c r="B8" s="215" t="s">
        <v>1472</v>
      </c>
      <c r="C8" s="220">
        <f ca="1">IF(G8="已包含在土地购买价格中","0",IF(B1="",'数据-取费表'!B29,IF(G9="全部缴纳",C9+C10,H9)))</f>
        <v>57</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57</v>
      </c>
      <c r="D10" s="842">
        <f ca="1">IF(B1="",'数据-汇总表'!E6,IF(INDIRECT("'数据-取费表'!c"&amp;$G$1)="住宅",INDIRECT("'数据-取费表'!s"&amp;$G$1),INDIRECT("'数据-取费表'!k"&amp;$G$1)+INDIRECT("'数据-取费表'!s"&amp;$G$1)))</f>
        <v>2852.38</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2852.38</v>
      </c>
      <c r="E19" s="211">
        <f>'数据-取费表'!B31</f>
        <v>200</v>
      </c>
      <c r="F19" s="231"/>
      <c r="G19" s="1853" t="s">
        <v>3681</v>
      </c>
    </row>
    <row r="20" spans="1:7" s="214" customFormat="1" ht="13.5" customHeight="1">
      <c r="A20" s="255" t="s">
        <v>1488</v>
      </c>
      <c r="B20" s="210" t="s">
        <v>1489</v>
      </c>
      <c r="C20" s="232">
        <f ca="1">ROUND((C5+C19)*F20,0)</f>
        <v>39</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141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f ca="1">ROUND(IF('数据-取费表'!B22&lt;=1,C5*F22*'数据-取费表'!B23,C5*(POWER((1+F22),'数据-取费表'!B23)-1)),0)</f>
        <v>139</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1503</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268</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268</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1925</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1575</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1426</v>
      </c>
      <c r="D34" s="217"/>
      <c r="E34" s="220"/>
      <c r="F34" s="257">
        <f ca="1">IF('数据-取费表'!B24=0,1,IF(B1="",'数据-取费表'!N16,INDIRECT("'数据-取费表'!n"&amp;$G$1)))</f>
        <v>1</v>
      </c>
      <c r="G34" s="219" t="s">
        <v>1521</v>
      </c>
    </row>
    <row r="35" spans="1:7" ht="13.5" customHeight="1">
      <c r="A35" s="777" t="s">
        <v>351</v>
      </c>
      <c r="B35" s="215" t="s">
        <v>1522</v>
      </c>
      <c r="C35" s="220">
        <f ca="1">ROUND(C34*F35,0)</f>
        <v>71</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57</v>
      </c>
      <c r="D37" s="217">
        <f ca="1">D19</f>
        <v>2852.38</v>
      </c>
      <c r="E37" s="249">
        <f>'数据-取费表'!B35</f>
        <v>200</v>
      </c>
      <c r="F37" s="259"/>
      <c r="G37" s="261" t="s">
        <v>1527</v>
      </c>
    </row>
    <row r="38" spans="1:7" ht="13.5" customHeight="1">
      <c r="A38" s="777" t="s">
        <v>354</v>
      </c>
      <c r="B38" s="215" t="s">
        <v>1528</v>
      </c>
      <c r="C38" s="220">
        <f ca="1">ROUND(C34*F38,0)</f>
        <v>21</v>
      </c>
      <c r="D38" s="220"/>
      <c r="E38" s="220"/>
      <c r="F38" s="259">
        <f>'数据-取费表'!B36</f>
        <v>1.4999999999999999E-2</v>
      </c>
      <c r="G38" s="219" t="s">
        <v>1523</v>
      </c>
    </row>
    <row r="39" spans="1:7" s="214" customFormat="1" ht="13.5" customHeight="1">
      <c r="A39" s="255" t="s">
        <v>1529</v>
      </c>
      <c r="B39" s="210" t="s">
        <v>1530</v>
      </c>
      <c r="C39" s="232">
        <f ca="1">ROUND(C33*F20,0)</f>
        <v>47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84</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ROUND(IF('数据-取费表'!B22&lt;=1,C33*F22*'数据-取费表'!B21/2,C33*(POWER((1+F22),'数据-取费表'!B21/2)-1)),0)</f>
        <v>82</v>
      </c>
      <c r="D42" s="238"/>
      <c r="E42" s="238"/>
      <c r="F42" s="239"/>
      <c r="G42" s="3854" t="s">
        <v>1539</v>
      </c>
    </row>
    <row r="43" spans="1:7" ht="13.5" customHeight="1">
      <c r="A43" s="777" t="s">
        <v>347</v>
      </c>
      <c r="B43" s="215" t="s">
        <v>1540</v>
      </c>
      <c r="C43" s="238">
        <f ca="1">ROUND(IF('数据-取费表'!B22&lt;=1,C39*F22*'数据-取费表'!B21/2,C39*(POWER((1+F22),'数据-取费表'!B21/2)-1)),0)</f>
        <v>2</v>
      </c>
      <c r="D43" s="238"/>
      <c r="E43" s="238"/>
      <c r="F43" s="239"/>
      <c r="G43" s="3855"/>
    </row>
    <row r="44" spans="1:7" ht="13.5" customHeight="1">
      <c r="A44" s="777" t="s">
        <v>348</v>
      </c>
      <c r="B44" s="215" t="s">
        <v>1541</v>
      </c>
      <c r="C44" s="238">
        <f ca="1">ROUND(IF('数据-取费表'!B22&lt;=1,C40*F22*'数据-取费表'!B21/2,C40*(POWER((1+F22),'数据-取费表'!B21/2)-1)),4)</f>
        <v>1.6000000000000001E-3</v>
      </c>
      <c r="D44" s="238"/>
      <c r="E44" s="238"/>
      <c r="F44" s="239"/>
      <c r="G44" s="3856"/>
    </row>
    <row r="45" spans="1:7" s="214" customFormat="1" ht="13.5" customHeight="1">
      <c r="A45" s="255" t="s">
        <v>1542</v>
      </c>
      <c r="B45" s="244" t="s">
        <v>1508</v>
      </c>
      <c r="C45" s="245">
        <f ca="1">C46</f>
        <v>324</v>
      </c>
      <c r="D45" s="235">
        <f ca="1">C47</f>
        <v>6.0000000000000001E-3</v>
      </c>
      <c r="E45" s="236" t="s">
        <v>1534</v>
      </c>
      <c r="F45" s="246">
        <f ca="1">F27</f>
        <v>0.2</v>
      </c>
      <c r="G45" s="247" t="s">
        <v>1543</v>
      </c>
    </row>
    <row r="46" spans="1:7" s="214" customFormat="1" ht="13.5" customHeight="1">
      <c r="A46" s="777" t="s">
        <v>346</v>
      </c>
      <c r="B46" s="248" t="s">
        <v>1544</v>
      </c>
      <c r="C46" s="249">
        <f ca="1">ROUND((C33+C39)*F27,0)</f>
        <v>324</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2233</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1965</v>
      </c>
      <c r="D51" s="232"/>
      <c r="E51" s="232"/>
      <c r="F51" s="264"/>
      <c r="G51" s="234" t="s">
        <v>1555</v>
      </c>
    </row>
    <row r="52" spans="1:7" s="208" customFormat="1" ht="16.5" thickBot="1">
      <c r="A52" s="265" t="s">
        <v>1556</v>
      </c>
      <c r="B52" s="266"/>
      <c r="C52" s="267">
        <f ca="1">C31+C51</f>
        <v>3890</v>
      </c>
      <c r="D52" s="266"/>
      <c r="E52" s="266"/>
      <c r="F52" s="266"/>
      <c r="G52" s="268"/>
    </row>
    <row r="55" spans="1:7" ht="15">
      <c r="B55" s="270" t="s">
        <v>1557</v>
      </c>
      <c r="C55" s="271"/>
    </row>
    <row r="56" spans="1:7">
      <c r="B56" s="273" t="s">
        <v>800</v>
      </c>
      <c r="C56" s="275">
        <f ca="1">1-C57</f>
        <v>0.495</v>
      </c>
    </row>
    <row r="57" spans="1:7">
      <c r="B57" s="273" t="s">
        <v>801</v>
      </c>
      <c r="C57" s="274">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7"/>
      <c r="C1" s="1856" t="s">
        <v>1558</v>
      </c>
      <c r="D1" s="198"/>
      <c r="E1" s="198"/>
      <c r="F1" s="198"/>
      <c r="G1" s="1123">
        <f>MATCH(B1,'数据-取费表'!A6:A16,0)+5</f>
        <v>8</v>
      </c>
      <c r="H1" s="1058" t="str">
        <f>IF(ISERROR(FIND("住宅",B1)),"非住宅","住宅")</f>
        <v>非住宅</v>
      </c>
    </row>
    <row r="2" spans="1:8" s="200" customFormat="1" ht="18" customHeight="1">
      <c r="A2" s="201" t="s">
        <v>1457</v>
      </c>
      <c r="B2" s="3419">
        <f ca="1">ROUND(IF(D2="——",C52/10000,C52/10000-E2),4)</f>
        <v>4478.3545000000004</v>
      </c>
      <c r="C2" s="199" t="s">
        <v>1458</v>
      </c>
      <c r="D2" s="1850" t="s">
        <v>43</v>
      </c>
      <c r="E2" s="1166" t="e">
        <f ca="1">SUMIF(INDIRECT("'"&amp;G2&amp;"'"&amp;"!A:A"),"承租人权益价值",INDIRECT("'"&amp;G2&amp;"'"&amp;"!c:c"))</f>
        <v>#REF!</v>
      </c>
      <c r="F2" s="1851" t="s">
        <v>1458</v>
      </c>
      <c r="G2" s="1852"/>
    </row>
    <row r="3" spans="1:8" s="200" customFormat="1" ht="18" customHeight="1" thickBot="1">
      <c r="A3" s="203" t="s">
        <v>1459</v>
      </c>
      <c r="B3" s="204">
        <f ca="1">ROUND(B2*10000/(IF(B1="",'数据-汇总表'!E3,INDIRECT("'数据-取费表'!k"&amp;$G$1))),0)</f>
        <v>7489</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1195906</v>
      </c>
      <c r="D5" s="211" t="s">
        <v>1464</v>
      </c>
      <c r="E5" s="212" t="s">
        <v>1465</v>
      </c>
      <c r="F5" s="212" t="s">
        <v>1466</v>
      </c>
      <c r="G5" s="213"/>
    </row>
    <row r="6" spans="1:8" s="214" customFormat="1" ht="13.5" customHeight="1">
      <c r="A6" s="775" t="s">
        <v>1467</v>
      </c>
      <c r="B6" s="215" t="s">
        <v>1468</v>
      </c>
      <c r="C6" s="216"/>
      <c r="D6" s="217"/>
      <c r="E6" s="218"/>
      <c r="F6" s="218"/>
      <c r="G6" s="219"/>
    </row>
    <row r="7" spans="1:8" s="214" customFormat="1" ht="13.5" customHeight="1">
      <c r="A7" s="775" t="s">
        <v>1469</v>
      </c>
      <c r="B7" s="215" t="s">
        <v>1470</v>
      </c>
      <c r="C7" s="220">
        <f>ROUND(C6*F7,0)</f>
        <v>0</v>
      </c>
      <c r="D7" s="220"/>
      <c r="E7" s="218"/>
      <c r="F7" s="221">
        <f>IF(项目基本情况!B8="出让",0,'数据-取费表'!B48+'数据-取费表'!B49)</f>
        <v>3.0499999999999999E-2</v>
      </c>
      <c r="G7" s="219"/>
    </row>
    <row r="8" spans="1:8" s="223" customFormat="1">
      <c r="A8" s="775" t="s">
        <v>1471</v>
      </c>
      <c r="B8" s="215" t="s">
        <v>1472</v>
      </c>
      <c r="C8" s="220">
        <f ca="1">IF(G8="已包含在土地购买价格中",0,C9+C10)</f>
        <v>1195906</v>
      </c>
      <c r="D8" s="222"/>
      <c r="E8" s="220"/>
      <c r="F8" s="221"/>
      <c r="G8" s="1853"/>
    </row>
    <row r="9" spans="1:8" s="214" customFormat="1" ht="13.5" customHeight="1">
      <c r="A9" s="776" t="s">
        <v>355</v>
      </c>
      <c r="B9" s="224" t="s">
        <v>1473</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1475</v>
      </c>
      <c r="C10" s="225">
        <f ca="1">ROUND(D10*E10,0)</f>
        <v>1195906</v>
      </c>
      <c r="D10" s="842">
        <f ca="1">IF(B1="",'数据-汇总表'!E6,IF(INDIRECT("'数据-取费表'!c"&amp;$G$1)="住宅",INDIRECT("'数据-取费表'!s"&amp;$G$1),INDIRECT("'数据-取费表'!k"&amp;$G$1)+INDIRECT("'数据-取费表'!s"&amp;$G$1)))</f>
        <v>5979.5300000000007</v>
      </c>
      <c r="E10" s="225">
        <f>'数据-取费表'!B28</f>
        <v>200</v>
      </c>
      <c r="F10" s="221"/>
      <c r="G10" s="226"/>
    </row>
    <row r="11" spans="1:8" s="214" customFormat="1" ht="13.5" hidden="1" customHeight="1">
      <c r="A11" s="227" t="s">
        <v>4</v>
      </c>
      <c r="B11" s="215" t="s">
        <v>1476</v>
      </c>
      <c r="C11" s="211"/>
      <c r="D11" s="844"/>
      <c r="E11" s="218"/>
      <c r="F11" s="218"/>
      <c r="G11" s="219"/>
    </row>
    <row r="12" spans="1:8" s="214" customFormat="1" ht="13.5" hidden="1" customHeight="1">
      <c r="A12" s="227" t="s">
        <v>5</v>
      </c>
      <c r="B12" s="215" t="s">
        <v>1559</v>
      </c>
      <c r="C12" s="211">
        <v>0</v>
      </c>
      <c r="D12" s="844"/>
      <c r="E12" s="228"/>
      <c r="F12" s="221">
        <v>3.0499999999999999E-2</v>
      </c>
      <c r="G12" s="219"/>
    </row>
    <row r="13" spans="1:8" s="214" customFormat="1" ht="13.5" hidden="1" customHeight="1">
      <c r="A13" s="227" t="s">
        <v>6</v>
      </c>
      <c r="B13" s="215" t="s">
        <v>1560</v>
      </c>
      <c r="C13" s="211"/>
      <c r="D13" s="844"/>
      <c r="E13" s="218"/>
      <c r="F13" s="218"/>
      <c r="G13" s="219"/>
    </row>
    <row r="14" spans="1:8" s="214" customFormat="1" ht="13.5" hidden="1" customHeight="1">
      <c r="A14" s="227" t="s">
        <v>7</v>
      </c>
      <c r="B14" s="215" t="s">
        <v>1472</v>
      </c>
      <c r="C14" s="211"/>
      <c r="D14" s="844"/>
      <c r="E14" s="218"/>
      <c r="F14" s="218"/>
      <c r="G14" s="219" t="s">
        <v>1561</v>
      </c>
    </row>
    <row r="15" spans="1:8" s="214" customFormat="1" ht="13.5" hidden="1" customHeight="1">
      <c r="A15" s="227" t="s">
        <v>8</v>
      </c>
      <c r="B15" s="215" t="s">
        <v>1562</v>
      </c>
      <c r="C15" s="220"/>
      <c r="D15" s="844"/>
      <c r="E15" s="218"/>
      <c r="F15" s="218"/>
      <c r="G15" s="219" t="s">
        <v>1563</v>
      </c>
    </row>
    <row r="16" spans="1:8" s="214" customFormat="1" ht="13.5" hidden="1" customHeight="1">
      <c r="A16" s="227" t="s">
        <v>9</v>
      </c>
      <c r="B16" s="215" t="s">
        <v>1472</v>
      </c>
      <c r="C16" s="220"/>
      <c r="D16" s="844"/>
      <c r="E16" s="218"/>
      <c r="F16" s="218"/>
      <c r="G16" s="219"/>
    </row>
    <row r="17" spans="1:7" s="214" customFormat="1" ht="13.5" hidden="1" customHeight="1">
      <c r="A17" s="227" t="s">
        <v>10</v>
      </c>
      <c r="B17" s="215" t="s">
        <v>1564</v>
      </c>
      <c r="C17" s="229"/>
      <c r="D17" s="845"/>
      <c r="E17" s="229"/>
      <c r="F17" s="229"/>
      <c r="G17" s="219" t="s">
        <v>1563</v>
      </c>
    </row>
    <row r="18" spans="1:7" s="214" customFormat="1" ht="13.5" hidden="1" customHeight="1">
      <c r="A18" s="227" t="s">
        <v>11</v>
      </c>
      <c r="B18" s="215" t="s">
        <v>1565</v>
      </c>
      <c r="C18" s="220">
        <v>0</v>
      </c>
      <c r="D18" s="844"/>
      <c r="E18" s="218"/>
      <c r="F18" s="221">
        <v>3.0499999999999999E-2</v>
      </c>
      <c r="G18" s="219" t="s">
        <v>1566</v>
      </c>
    </row>
    <row r="19" spans="1:7" s="223" customFormat="1" ht="13.5" customHeight="1">
      <c r="A19" s="255" t="s">
        <v>1567</v>
      </c>
      <c r="B19" s="210" t="s">
        <v>1568</v>
      </c>
      <c r="C19" s="211">
        <f ca="1">IF(G19="已包含在土地取得成本中","0",ROUND(D19*E19,0))</f>
        <v>1195906</v>
      </c>
      <c r="D19" s="846">
        <f ca="1">D9+D10</f>
        <v>5979.5300000000007</v>
      </c>
      <c r="E19" s="211">
        <f>'数据-取费表'!B31</f>
        <v>200</v>
      </c>
      <c r="F19" s="231"/>
      <c r="G19" s="1853"/>
    </row>
    <row r="20" spans="1:7" s="214" customFormat="1" ht="13.5" customHeight="1">
      <c r="A20" s="255" t="s">
        <v>1569</v>
      </c>
      <c r="B20" s="210" t="s">
        <v>1570</v>
      </c>
      <c r="C20" s="232">
        <f ca="1">ROUND((C5+C19)*F20,0)</f>
        <v>71754</v>
      </c>
      <c r="D20" s="232"/>
      <c r="E20" s="232"/>
      <c r="F20" s="233">
        <f>'数据-取费表'!B37</f>
        <v>0.03</v>
      </c>
      <c r="G20" s="234" t="s">
        <v>1571</v>
      </c>
    </row>
    <row r="21" spans="1:7" s="214" customFormat="1" ht="13.5" customHeight="1">
      <c r="A21" s="255" t="s">
        <v>1572</v>
      </c>
      <c r="B21" s="210" t="s">
        <v>1573</v>
      </c>
      <c r="C21" s="235">
        <f>F21</f>
        <v>0.03</v>
      </c>
      <c r="D21" s="236" t="s">
        <v>1574</v>
      </c>
      <c r="E21" s="232"/>
      <c r="F21" s="233">
        <f>'数据-取费表'!B38</f>
        <v>0.03</v>
      </c>
      <c r="G21" s="234" t="s">
        <v>1575</v>
      </c>
    </row>
    <row r="22" spans="1:7" s="214" customFormat="1" ht="13.5" customHeight="1">
      <c r="A22" s="255" t="s">
        <v>1576</v>
      </c>
      <c r="B22" s="210" t="s">
        <v>1577</v>
      </c>
      <c r="C22" s="1124">
        <f ca="1">ROUND(SUM(C23:C25),0)</f>
        <v>259937</v>
      </c>
      <c r="D22" s="235">
        <f ca="1">C26</f>
        <v>1.6000000000000001E-3</v>
      </c>
      <c r="E22" s="236" t="s">
        <v>1574</v>
      </c>
      <c r="F22" s="237">
        <f ca="1">'数据-取费表'!B40</f>
        <v>3.4500000000000003E-2</v>
      </c>
      <c r="G22" s="234" t="str">
        <f>IF('数据-取费表'!B22&lt;=1,"单利计息","复利计息")</f>
        <v>复利计息</v>
      </c>
    </row>
    <row r="23" spans="1:7" s="214" customFormat="1" ht="13.5" customHeight="1">
      <c r="A23" s="777" t="s">
        <v>1467</v>
      </c>
      <c r="B23" s="215" t="s">
        <v>1578</v>
      </c>
      <c r="C23" s="1125">
        <f ca="1">ROUND(IF('数据-取费表'!B22&lt;=1,C5*F22*'数据-取费表'!B22,C5*(POWER((1+F22),'数据-取费表'!B22)-1)),0)</f>
        <v>128096</v>
      </c>
      <c r="D23" s="238"/>
      <c r="E23" s="238"/>
      <c r="F23" s="239"/>
      <c r="G23" s="240" t="s">
        <v>1579</v>
      </c>
    </row>
    <row r="24" spans="1:7" s="214" customFormat="1" ht="13.5" customHeight="1">
      <c r="A24" s="777" t="s">
        <v>1469</v>
      </c>
      <c r="B24" s="215" t="s">
        <v>1580</v>
      </c>
      <c r="C24" s="1125">
        <f ca="1">ROUND(IF('数据-取费表'!B22&lt;=1,C19*F22*('数据-取费表'!B19/2+'数据-取费表'!B20),C19*(POWER((1+F22),('数据-取费表'!B19/2+'数据-取费表'!B20))-1)),0)</f>
        <v>128096</v>
      </c>
      <c r="D24" s="238"/>
      <c r="E24" s="238"/>
      <c r="F24" s="239"/>
      <c r="G24" s="240" t="s">
        <v>1581</v>
      </c>
    </row>
    <row r="25" spans="1:7" s="214" customFormat="1" ht="24">
      <c r="A25" s="777" t="s">
        <v>1471</v>
      </c>
      <c r="B25" s="215" t="s">
        <v>1582</v>
      </c>
      <c r="C25" s="1125">
        <f ca="1">ROUND(IF('数据-取费表'!B22&lt;=1,C20*F22*'数据-取费表'!B22/2,C20*(POWER((1+F22),'数据-取费表'!B22/2)-1)),0)</f>
        <v>3745</v>
      </c>
      <c r="D25" s="238"/>
      <c r="E25" s="241"/>
      <c r="F25" s="239"/>
      <c r="G25" s="242" t="s">
        <v>1583</v>
      </c>
    </row>
    <row r="26" spans="1:7" s="214" customFormat="1">
      <c r="A26" s="777" t="s">
        <v>350</v>
      </c>
      <c r="B26" s="215" t="s">
        <v>1506</v>
      </c>
      <c r="C26" s="238">
        <f ca="1">ROUND(IF('数据-取费表'!B22&lt;=1,F21*F22*'数据-取费表'!B22/2,F21*(POWER((1+F22),'数据-取费表'!B22/2)-1)),4)</f>
        <v>1.6000000000000001E-3</v>
      </c>
      <c r="D26" s="238"/>
      <c r="E26" s="241"/>
      <c r="F26" s="239"/>
      <c r="G26" s="243"/>
    </row>
    <row r="27" spans="1:7" s="214" customFormat="1" ht="24.75">
      <c r="A27" s="255" t="s">
        <v>1507</v>
      </c>
      <c r="B27" s="244" t="s">
        <v>1508</v>
      </c>
      <c r="C27" s="245">
        <f ca="1">C28</f>
        <v>492713</v>
      </c>
      <c r="D27" s="235">
        <f ca="1">C29</f>
        <v>6.0000000000000001E-3</v>
      </c>
      <c r="E27" s="236" t="s">
        <v>1509</v>
      </c>
      <c r="F27" s="246">
        <f ca="1">IF(B1="",'数据-取费表'!Q16,INDIRECT("'数据-取费表'!q"&amp;$G$1))</f>
        <v>0.2</v>
      </c>
      <c r="G27" s="247" t="s">
        <v>1510</v>
      </c>
    </row>
    <row r="28" spans="1:7" s="214" customFormat="1" ht="13.5" customHeight="1">
      <c r="A28" s="777" t="s">
        <v>346</v>
      </c>
      <c r="B28" s="248" t="s">
        <v>1511</v>
      </c>
      <c r="C28" s="249">
        <f ca="1">ROUND((C5+C19+C20)*F27,0)</f>
        <v>492713</v>
      </c>
      <c r="D28" s="235"/>
      <c r="E28" s="236"/>
      <c r="F28" s="246"/>
      <c r="G28" s="247"/>
    </row>
    <row r="29" spans="1:7" s="214" customFormat="1" ht="13.5" customHeight="1">
      <c r="A29" s="777" t="s">
        <v>347</v>
      </c>
      <c r="B29" s="248" t="s">
        <v>1512</v>
      </c>
      <c r="C29" s="238">
        <f ca="1">ROUND(C21*F27,4)</f>
        <v>6.0000000000000001E-3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3537802</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33036904</v>
      </c>
      <c r="D33" s="232"/>
      <c r="E33" s="212"/>
      <c r="F33" s="241"/>
      <c r="G33" s="234"/>
    </row>
    <row r="34" spans="1:7" s="258" customFormat="1" ht="13.5" customHeight="1">
      <c r="A34" s="777" t="s">
        <v>346</v>
      </c>
      <c r="B34" s="215" t="s">
        <v>1520</v>
      </c>
      <c r="C34" s="220">
        <f ca="1">ROUND(IF(B1="",SUMPRODUCT('数据-取费表'!K6:K14,'数据-取费表'!L6:L14),INDIRECT("'数据-取费表'!l"&amp;$G$1)*INDIRECT("'数据-取费表'!k"&amp;$G$1)+'数据-取费表'!L14*INDIRECT("'数据-取费表'!S"&amp;$G$1)),0)</f>
        <v>29897650</v>
      </c>
      <c r="D34" s="217"/>
      <c r="E34" s="220"/>
      <c r="F34" s="257"/>
      <c r="G34" s="219"/>
    </row>
    <row r="35" spans="1:7" ht="13.5" customHeight="1">
      <c r="A35" s="777" t="s">
        <v>351</v>
      </c>
      <c r="B35" s="215" t="s">
        <v>1522</v>
      </c>
      <c r="C35" s="220">
        <f ca="1">ROUND(C34*F35,0)</f>
        <v>1494883</v>
      </c>
      <c r="D35" s="220"/>
      <c r="E35" s="220"/>
      <c r="F35" s="259">
        <f>'数据-取费表'!B33</f>
        <v>0.05</v>
      </c>
      <c r="G35" s="219" t="s">
        <v>1523</v>
      </c>
    </row>
    <row r="36" spans="1:7" ht="24">
      <c r="A36" s="777"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7" t="s">
        <v>353</v>
      </c>
      <c r="B37" s="215" t="s">
        <v>1526</v>
      </c>
      <c r="C37" s="249">
        <f ca="1">ROUND(E37*D37,0)</f>
        <v>1195906</v>
      </c>
      <c r="D37" s="217">
        <f ca="1">D19</f>
        <v>5979.5300000000007</v>
      </c>
      <c r="E37" s="249">
        <f>'数据-取费表'!B35</f>
        <v>200</v>
      </c>
      <c r="F37" s="259"/>
      <c r="G37" s="261"/>
    </row>
    <row r="38" spans="1:7" ht="13.5" customHeight="1">
      <c r="A38" s="777" t="s">
        <v>354</v>
      </c>
      <c r="B38" s="215" t="s">
        <v>1528</v>
      </c>
      <c r="C38" s="220">
        <f ca="1">ROUND(C34*F38,0)</f>
        <v>448465</v>
      </c>
      <c r="D38" s="220"/>
      <c r="E38" s="220"/>
      <c r="F38" s="259">
        <f>'数据-取费表'!B36</f>
        <v>1.4999999999999999E-2</v>
      </c>
      <c r="G38" s="219" t="s">
        <v>1523</v>
      </c>
    </row>
    <row r="39" spans="1:7" s="214" customFormat="1" ht="13.5" customHeight="1">
      <c r="A39" s="255" t="s">
        <v>1529</v>
      </c>
      <c r="B39" s="210" t="s">
        <v>1530</v>
      </c>
      <c r="C39" s="232">
        <f ca="1">ROUND(C33*F20,0)</f>
        <v>991107</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1537</v>
      </c>
      <c r="C41" s="232">
        <f ca="1">ROUND(SUM(C42:C43),0)</f>
        <v>1776052</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f ca="1">ROUND(IF('数据-取费表'!B22&lt;=1,C33*F22*'数据-取费表'!B20/2,C33*(POWER((1+F22),'数据-取费表'!B20/2)-1)),0)</f>
        <v>1724322</v>
      </c>
      <c r="D42" s="238"/>
      <c r="E42" s="238"/>
      <c r="F42" s="239"/>
      <c r="G42" s="3854" t="s">
        <v>1586</v>
      </c>
    </row>
    <row r="43" spans="1:7" ht="13.5" customHeight="1">
      <c r="A43" s="777" t="s">
        <v>347</v>
      </c>
      <c r="B43" s="215" t="s">
        <v>1540</v>
      </c>
      <c r="C43" s="238">
        <f ca="1">ROUND(IF('数据-取费表'!B22&lt;=1,C39*F22*'数据-取费表'!B20/2,C39*(POWER((1+F22),'数据-取费表'!B20/2)-1)),0)</f>
        <v>51730</v>
      </c>
      <c r="D43" s="238"/>
      <c r="E43" s="238"/>
      <c r="F43" s="239"/>
      <c r="G43" s="3855"/>
    </row>
    <row r="44" spans="1:7" ht="13.5" customHeight="1">
      <c r="A44" s="777" t="s">
        <v>348</v>
      </c>
      <c r="B44" s="215" t="s">
        <v>1541</v>
      </c>
      <c r="C44" s="238">
        <f ca="1">ROUND(IF('数据-取费表'!B22&lt;=1,C40*F22*'数据-取费表'!B20/2,C40*(POWER((1+F22),'数据-取费表'!B20/2)-1)),4)</f>
        <v>1.6000000000000001E-3</v>
      </c>
      <c r="D44" s="238"/>
      <c r="E44" s="238"/>
      <c r="F44" s="239"/>
      <c r="G44" s="3856"/>
    </row>
    <row r="45" spans="1:7" s="214" customFormat="1" ht="13.5" customHeight="1">
      <c r="A45" s="255" t="s">
        <v>1542</v>
      </c>
      <c r="B45" s="244" t="s">
        <v>1508</v>
      </c>
      <c r="C45" s="245">
        <f ca="1">C46</f>
        <v>6805602</v>
      </c>
      <c r="D45" s="235">
        <f ca="1">C47</f>
        <v>6.0000000000000001E-3</v>
      </c>
      <c r="E45" s="236" t="s">
        <v>1534</v>
      </c>
      <c r="F45" s="246">
        <f ca="1">F27</f>
        <v>0.2</v>
      </c>
      <c r="G45" s="247" t="s">
        <v>1543</v>
      </c>
    </row>
    <row r="46" spans="1:7" s="214" customFormat="1" ht="13.5" customHeight="1">
      <c r="A46" s="777" t="s">
        <v>346</v>
      </c>
      <c r="B46" s="248" t="s">
        <v>1544</v>
      </c>
      <c r="C46" s="249">
        <f ca="1">ROUND((C33+C39)*F27,0)</f>
        <v>6805602</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46870163</v>
      </c>
      <c r="D49" s="232"/>
      <c r="E49" s="232"/>
      <c r="F49" s="264"/>
      <c r="G49" s="234" t="s">
        <v>1549</v>
      </c>
    </row>
    <row r="50" spans="1:7" s="258" customFormat="1">
      <c r="A50" s="255" t="s">
        <v>1550</v>
      </c>
      <c r="B50" s="210" t="s">
        <v>1551</v>
      </c>
      <c r="C50" s="232"/>
      <c r="D50" s="232"/>
      <c r="E50" s="232"/>
      <c r="F50" s="264">
        <f>IF('数据-取费表'!B24=0,'数据-取费表'!N16,1)</f>
        <v>0.88</v>
      </c>
      <c r="G50" s="247"/>
    </row>
    <row r="51" spans="1:7" ht="16.5" customHeight="1">
      <c r="A51" s="255" t="s">
        <v>1553</v>
      </c>
      <c r="B51" s="210" t="s">
        <v>1588</v>
      </c>
      <c r="C51" s="232">
        <f ca="1">ROUND(C49*F50,0)</f>
        <v>41245743</v>
      </c>
      <c r="D51" s="232"/>
      <c r="E51" s="232"/>
      <c r="F51" s="264"/>
      <c r="G51" s="234" t="s">
        <v>1555</v>
      </c>
    </row>
    <row r="52" spans="1:7" s="208" customFormat="1" ht="16.5" thickBot="1">
      <c r="A52" s="265" t="s">
        <v>1556</v>
      </c>
      <c r="B52" s="266"/>
      <c r="C52" s="267">
        <f ca="1">C31+C51</f>
        <v>44783545</v>
      </c>
      <c r="D52" s="266"/>
      <c r="E52" s="266"/>
      <c r="F52" s="266"/>
      <c r="G52" s="268"/>
    </row>
    <row r="55" spans="1:7" ht="15">
      <c r="B55" s="270" t="s">
        <v>1557</v>
      </c>
      <c r="C55" s="271"/>
    </row>
    <row r="56" spans="1:7">
      <c r="B56" s="273" t="s">
        <v>800</v>
      </c>
      <c r="C56" s="275">
        <f ca="1">1-C57</f>
        <v>7.8999999999999959E-2</v>
      </c>
    </row>
    <row r="57" spans="1:7">
      <c r="B57" s="273" t="s">
        <v>801</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1589</v>
      </c>
      <c r="B1" s="1188"/>
      <c r="C1" s="1189"/>
      <c r="D1" s="1187"/>
      <c r="E1" s="2801"/>
      <c r="F1" s="2801"/>
      <c r="G1" s="2666"/>
      <c r="H1" s="2801"/>
      <c r="I1" s="2801"/>
      <c r="J1" s="2801"/>
      <c r="K1" s="2802">
        <f>MATCH(C1,'数据-取费表'!A6:A16,0)+5</f>
        <v>8</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2" customFormat="1" ht="16.5" customHeight="1">
      <c r="A4" s="779" t="s">
        <v>1592</v>
      </c>
      <c r="B4" s="780"/>
      <c r="C4" s="821">
        <f>SUM(C8:K8)</f>
        <v>0</v>
      </c>
      <c r="D4" s="780"/>
      <c r="E4" s="780"/>
      <c r="F4" s="780"/>
      <c r="G4" s="780"/>
      <c r="H4" s="780"/>
      <c r="I4" s="780"/>
      <c r="J4" s="780"/>
      <c r="K4" s="781"/>
    </row>
    <row r="5" spans="1:33" s="786" customFormat="1" ht="15">
      <c r="A5" s="783" t="s">
        <v>1593</v>
      </c>
      <c r="B5" s="784" t="s">
        <v>1594</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1595</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1598</v>
      </c>
      <c r="B8" s="164" t="s">
        <v>1599</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1600</v>
      </c>
      <c r="B9" s="780"/>
      <c r="C9" s="780"/>
      <c r="D9" s="780"/>
      <c r="E9" s="780"/>
      <c r="F9" s="780"/>
      <c r="G9" s="780"/>
      <c r="H9" s="780"/>
      <c r="I9" s="780"/>
      <c r="J9" s="780"/>
      <c r="K9" s="781"/>
    </row>
    <row r="10" spans="1:33" s="796" customFormat="1" ht="13.5" customHeight="1">
      <c r="A10" s="783" t="s">
        <v>1601</v>
      </c>
      <c r="B10" s="5" t="s">
        <v>1602</v>
      </c>
      <c r="C10" s="792" t="s">
        <v>1603</v>
      </c>
      <c r="D10" s="793" t="s">
        <v>1604</v>
      </c>
      <c r="E10" s="793" t="s">
        <v>1605</v>
      </c>
      <c r="F10" s="793" t="s">
        <v>1606</v>
      </c>
      <c r="G10" s="5"/>
      <c r="H10" s="794"/>
      <c r="I10" s="794"/>
      <c r="J10" s="794"/>
      <c r="K10" s="795"/>
    </row>
    <row r="11" spans="1:33" s="800" customFormat="1" ht="13.5" customHeight="1">
      <c r="A11" s="797" t="s">
        <v>635</v>
      </c>
      <c r="B11" s="798" t="s">
        <v>1607</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1608</v>
      </c>
      <c r="C12" s="21">
        <f ca="1">ROUND(C11*F12,0)</f>
        <v>0</v>
      </c>
      <c r="D12" s="799"/>
      <c r="E12" s="329"/>
      <c r="F12" s="809">
        <f>'数据-取费表'!B33</f>
        <v>0.05</v>
      </c>
      <c r="G12" s="5" t="s">
        <v>1609</v>
      </c>
      <c r="H12" s="794"/>
      <c r="I12" s="794"/>
      <c r="J12" s="794"/>
      <c r="K12" s="795"/>
    </row>
    <row r="13" spans="1:33" s="800" customFormat="1" ht="13.5" customHeight="1">
      <c r="A13" s="797" t="s">
        <v>637</v>
      </c>
      <c r="B13" s="798" t="s">
        <v>1610</v>
      </c>
      <c r="C13" s="21">
        <f ca="1">ROUND(IF(C1="",SUMIF('数据-取费表'!C:C,"住宅",'数据-取费表'!P:P)*F13,IF(INDIRECT("'数据-取费表'!c"&amp;$K$1)="住宅",INDIRECT("'数据-取费表'!P"&amp;$K$1)*F13,0)),0)</f>
        <v>0</v>
      </c>
      <c r="D13" s="843"/>
      <c r="E13" s="329"/>
      <c r="F13" s="809">
        <f>'数据-取费表'!B34</f>
        <v>0</v>
      </c>
      <c r="G13" s="5" t="s">
        <v>1611</v>
      </c>
      <c r="H13" s="794"/>
      <c r="I13" s="794"/>
      <c r="J13" s="794"/>
      <c r="K13" s="795"/>
    </row>
    <row r="14" spans="1:33" s="802" customFormat="1" ht="13.5" customHeight="1">
      <c r="A14" s="797" t="s">
        <v>638</v>
      </c>
      <c r="B14" s="798" t="s">
        <v>1612</v>
      </c>
      <c r="C14" s="21">
        <f ca="1">ROUND(D14*E14*F11/10000,0)</f>
        <v>0</v>
      </c>
      <c r="D14" s="843">
        <f ca="1">IF(C1="",'数据-汇总表'!E3,INDIRECT("'数据-取费表'!K"&amp;$K$1)+INDIRECT("'数据-取费表'!S"&amp;$K$1))</f>
        <v>5979.5300000000007</v>
      </c>
      <c r="E14" s="21">
        <f>'数据-取费表'!B35</f>
        <v>200</v>
      </c>
      <c r="F14" s="801"/>
      <c r="G14" s="5" t="s">
        <v>1613</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1614</v>
      </c>
      <c r="C15" s="808">
        <f ca="1">ROUND(C11*F15,0)</f>
        <v>0</v>
      </c>
      <c r="D15" s="803"/>
      <c r="E15" s="808"/>
      <c r="F15" s="809">
        <f>'数据-取费表'!B36</f>
        <v>1.4999999999999999E-2</v>
      </c>
      <c r="G15" s="131" t="s">
        <v>1615</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1616</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1617</v>
      </c>
      <c r="C17" s="21">
        <f ca="1">ROUND(D17*E17/10000,0)</f>
        <v>0</v>
      </c>
      <c r="D17" s="843">
        <f ca="1">D14</f>
        <v>5979.5300000000007</v>
      </c>
      <c r="E17" s="21">
        <f>'数据-取费表'!B32</f>
        <v>0</v>
      </c>
      <c r="F17" s="803"/>
      <c r="G17" s="131" t="s">
        <v>1618</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1619</v>
      </c>
      <c r="C18" s="21">
        <f ca="1">C19+C20-IF(C1="",'数据-取费表'!B29,IF(G18="已全部缴纳",C19+C20,H18))</f>
        <v>0</v>
      </c>
      <c r="D18" s="843"/>
      <c r="E18" s="21"/>
      <c r="F18" s="801"/>
      <c r="G18" s="1859"/>
      <c r="H18" s="1184"/>
      <c r="I18" s="1860" t="s">
        <v>1620</v>
      </c>
      <c r="J18" s="804"/>
      <c r="K18" s="805"/>
    </row>
    <row r="19" spans="1:33" s="800" customFormat="1" ht="13.5" customHeight="1">
      <c r="A19" s="797" t="s">
        <v>360</v>
      </c>
      <c r="B19" s="798" t="s">
        <v>1621</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1622</v>
      </c>
      <c r="C20" s="21">
        <f ca="1">ROUND(D20*E20/10000,0)</f>
        <v>120</v>
      </c>
      <c r="D20" s="843">
        <f ca="1">IF(C1="",'数据-汇总表'!E6,IF(INDIRECT("'数据-取费表'!c"&amp;$K$1)="住宅",INDIRECT("'数据-取费表'!s"&amp;$K$1),INDIRECT("'数据-取费表'!k"&amp;$K$1)+INDIRECT("'数据-取费表'!s"&amp;$K$1)))</f>
        <v>5979.5300000000007</v>
      </c>
      <c r="E20" s="21">
        <f>'数据-取费表'!B28</f>
        <v>200</v>
      </c>
      <c r="F20" s="801"/>
      <c r="G20" s="12"/>
      <c r="H20" s="806"/>
      <c r="I20" s="806"/>
      <c r="J20" s="806"/>
      <c r="K20" s="807"/>
    </row>
    <row r="21" spans="1:33" s="800" customFormat="1" ht="13.5" customHeight="1">
      <c r="A21" s="787" t="s">
        <v>357</v>
      </c>
      <c r="B21" s="810" t="s">
        <v>1623</v>
      </c>
      <c r="C21" s="811">
        <f ca="1">C16+C17+C18</f>
        <v>0</v>
      </c>
      <c r="D21" s="812"/>
      <c r="E21" s="281"/>
      <c r="F21" s="281"/>
      <c r="G21" s="131" t="s">
        <v>1624</v>
      </c>
      <c r="H21" s="804"/>
      <c r="I21" s="804"/>
      <c r="J21" s="804"/>
      <c r="K21" s="805"/>
    </row>
    <row r="22" spans="1:33" s="800" customFormat="1" ht="13.5" customHeight="1">
      <c r="A22" s="787" t="s">
        <v>1596</v>
      </c>
      <c r="B22" s="810" t="s">
        <v>1625</v>
      </c>
      <c r="C22" s="811">
        <f ca="1">ROUND(C21*F22,0)</f>
        <v>0</v>
      </c>
      <c r="D22" s="281"/>
      <c r="E22" s="281"/>
      <c r="F22" s="813">
        <f>'数据-取费表'!B37</f>
        <v>0.03</v>
      </c>
      <c r="G22" s="5" t="s">
        <v>1626</v>
      </c>
      <c r="H22" s="794"/>
      <c r="I22" s="794"/>
      <c r="J22" s="794"/>
      <c r="K22" s="795"/>
    </row>
    <row r="23" spans="1:33" s="800" customFormat="1" ht="13.5" customHeight="1">
      <c r="A23" s="787" t="s">
        <v>1598</v>
      </c>
      <c r="B23" s="810" t="s">
        <v>1627</v>
      </c>
      <c r="C23" s="811">
        <f ca="1">ROUND(C4*F23*F11,0)</f>
        <v>0</v>
      </c>
      <c r="D23" s="281"/>
      <c r="E23" s="281"/>
      <c r="F23" s="813">
        <f>'数据-取费表'!B38</f>
        <v>0.03</v>
      </c>
      <c r="G23" s="5" t="s">
        <v>1628</v>
      </c>
      <c r="H23" s="794"/>
      <c r="I23" s="794"/>
      <c r="J23" s="794"/>
      <c r="K23" s="795"/>
    </row>
    <row r="24" spans="1:33" s="800" customFormat="1" ht="13.5" customHeight="1">
      <c r="A24" s="787" t="s">
        <v>1629</v>
      </c>
      <c r="B24" s="810" t="s">
        <v>1630</v>
      </c>
      <c r="C24" s="280">
        <f>ROUND(F24/(1+'数据-取费表'!C42),4)</f>
        <v>2.9000000000000001E-2</v>
      </c>
      <c r="D24" s="281" t="s">
        <v>12</v>
      </c>
      <c r="E24" s="281"/>
      <c r="F24" s="813">
        <f>IF(项目基本情况!B8="出让",0,'数据-取费表'!B48+'数据-取费表'!B49)</f>
        <v>3.0499999999999999E-2</v>
      </c>
      <c r="G24" s="5" t="s">
        <v>1631</v>
      </c>
      <c r="H24" s="815"/>
      <c r="I24" s="815"/>
      <c r="J24" s="815"/>
      <c r="K24" s="816"/>
    </row>
    <row r="25" spans="1:33" s="800" customFormat="1" ht="13.5" customHeight="1">
      <c r="A25" s="787" t="s">
        <v>1632</v>
      </c>
      <c r="B25" s="812" t="s">
        <v>1633</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1634</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1635</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1636</v>
      </c>
      <c r="B28" s="1862" t="s">
        <v>1637</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1638</v>
      </c>
      <c r="C29" s="284">
        <f ca="1">ROUND((1+C24)*F28*'数据-取费表'!B24/'数据-取费表'!B20,4)</f>
        <v>0</v>
      </c>
      <c r="D29" s="284"/>
      <c r="E29" s="285"/>
      <c r="F29" s="290"/>
      <c r="G29" s="131" t="s">
        <v>1639</v>
      </c>
      <c r="H29" s="804"/>
      <c r="I29" s="804"/>
      <c r="J29" s="804"/>
      <c r="K29" s="805"/>
    </row>
    <row r="30" spans="1:33" s="291" customFormat="1" ht="13.5" customHeight="1">
      <c r="A30" s="797" t="s">
        <v>359</v>
      </c>
      <c r="B30" s="819" t="s">
        <v>1640</v>
      </c>
      <c r="C30" s="292">
        <f ca="1">ROUND((C21+C22+C23)*F28,0)</f>
        <v>0</v>
      </c>
      <c r="D30" s="284"/>
      <c r="E30" s="285"/>
      <c r="F30" s="290"/>
      <c r="G30" s="131"/>
      <c r="H30" s="804"/>
      <c r="I30" s="804"/>
      <c r="J30" s="804"/>
      <c r="K30" s="805"/>
    </row>
    <row r="31" spans="1:33" s="800" customFormat="1" ht="13.5" customHeight="1" thickBot="1">
      <c r="A31" s="1863" t="s">
        <v>1641</v>
      </c>
      <c r="B31" s="830" t="s">
        <v>1642</v>
      </c>
      <c r="C31" s="831">
        <f>ROUND(C4*F31/(1+'数据-取费表'!C42),0)</f>
        <v>0</v>
      </c>
      <c r="D31" s="832"/>
      <c r="E31" s="833"/>
      <c r="F31" s="834">
        <f>'数据-取费表'!B41</f>
        <v>5.6000000000000001E-2</v>
      </c>
      <c r="G31" s="835" t="s">
        <v>1643</v>
      </c>
      <c r="H31" s="836"/>
      <c r="I31" s="836"/>
      <c r="J31" s="836"/>
      <c r="K31" s="837"/>
    </row>
    <row r="32" spans="1:33" s="796" customFormat="1" ht="13.5" customHeight="1" thickBot="1">
      <c r="A32" s="825" t="s">
        <v>1644</v>
      </c>
      <c r="B32" s="826"/>
      <c r="C32" s="827">
        <f ca="1">ROUND((C4-C21-C22-C23-C25-C28-C31)/(1+C24+D25+D28),0)</f>
        <v>0</v>
      </c>
      <c r="D32" s="826"/>
      <c r="E32" s="826"/>
      <c r="F32" s="826"/>
      <c r="G32" s="828" t="s">
        <v>1645</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4228</v>
      </c>
      <c r="D1" s="1359" t="s">
        <v>43</v>
      </c>
      <c r="E1" s="1360" t="s">
        <v>676</v>
      </c>
      <c r="F1" s="1059">
        <f ca="1">J53</f>
        <v>27.3</v>
      </c>
      <c r="G1" s="1375">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4932</v>
      </c>
      <c r="C2" s="1384" t="s">
        <v>803</v>
      </c>
      <c r="D2" s="1384"/>
      <c r="E2" s="1385"/>
      <c r="F2" s="1386"/>
      <c r="G2" s="2701"/>
      <c r="H2" s="2690"/>
      <c r="I2" s="2690"/>
      <c r="J2" s="2690"/>
      <c r="K2" s="2691"/>
      <c r="L2" s="2690"/>
      <c r="M2" s="2690"/>
    </row>
    <row r="3" spans="1:37" ht="18" customHeight="1" thickBot="1">
      <c r="A3" s="1387" t="s">
        <v>804</v>
      </c>
      <c r="B3" s="1388">
        <f ca="1">IF(ISERROR(B2*10000/F43),0,ROUND(B2*10000/F43,0))</f>
        <v>17291</v>
      </c>
      <c r="C3" s="1384" t="s">
        <v>805</v>
      </c>
      <c r="D3" s="1384"/>
      <c r="E3" s="1385"/>
      <c r="F3" s="1386"/>
      <c r="G3" s="2701"/>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356</v>
      </c>
      <c r="D5" s="1361" t="s">
        <v>691</v>
      </c>
      <c r="E5" s="1068"/>
      <c r="F5" s="1069"/>
      <c r="G5" s="1381"/>
      <c r="H5" s="299">
        <v>1</v>
      </c>
      <c r="I5" s="300" t="s">
        <v>690</v>
      </c>
      <c r="J5" s="1067">
        <f ca="1">J6+J10+J12</f>
        <v>0</v>
      </c>
      <c r="K5" s="1361" t="s">
        <v>691</v>
      </c>
      <c r="L5" s="1068"/>
      <c r="M5" s="1069"/>
    </row>
    <row r="6" spans="1:37" ht="18" customHeight="1">
      <c r="A6" s="1066" t="s">
        <v>398</v>
      </c>
      <c r="B6" s="3859" t="s">
        <v>692</v>
      </c>
      <c r="C6" s="1071">
        <f ca="1">ROUND(F6*F8*F7*(1-F9)/10000,0)</f>
        <v>356</v>
      </c>
      <c r="D6" s="155" t="s">
        <v>2104</v>
      </c>
      <c r="E6" s="302" t="s">
        <v>694</v>
      </c>
      <c r="F6" s="303">
        <f ca="1">INDIRECT("'数据-取费表'!u"&amp;$G$1)</f>
        <v>3.8</v>
      </c>
      <c r="G6" s="1381"/>
      <c r="H6" s="1066" t="s">
        <v>398</v>
      </c>
      <c r="I6" s="3859" t="s">
        <v>692</v>
      </c>
      <c r="J6" s="301">
        <f ca="1">ROUND(M6*M8*M7*(1-M9)/10000,0)</f>
        <v>0</v>
      </c>
      <c r="K6" s="155" t="s">
        <v>2103</v>
      </c>
      <c r="L6" s="302" t="s">
        <v>694</v>
      </c>
      <c r="M6" s="303">
        <f ca="1">INDIRECT("'数据-取费表'!z"&amp;$G$1)</f>
        <v>0</v>
      </c>
    </row>
    <row r="7" spans="1:37" ht="18" customHeight="1">
      <c r="A7" s="1070"/>
      <c r="B7" s="3860"/>
      <c r="C7" s="1072"/>
      <c r="D7" s="307"/>
      <c r="E7" s="1073" t="s">
        <v>695</v>
      </c>
      <c r="F7" s="303">
        <f ca="1">IF(INDIRECT("'数据-取费表'!ah"&amp;$G$1)="",INDIRECT("'数据-取费表'!k"&amp;$G$1),INDIRECT("'数据-取费表'!ah"&amp;$G$1))</f>
        <v>2852.38</v>
      </c>
      <c r="G7" s="1381"/>
      <c r="H7" s="304"/>
      <c r="I7" s="3860"/>
      <c r="J7" s="306"/>
      <c r="K7" s="307"/>
      <c r="L7" s="302" t="s">
        <v>695</v>
      </c>
      <c r="M7" s="303">
        <f ca="1">F7</f>
        <v>2852.38</v>
      </c>
    </row>
    <row r="8" spans="1:37" ht="18" customHeight="1">
      <c r="A8" s="304"/>
      <c r="B8" s="3860"/>
      <c r="C8" s="306"/>
      <c r="D8" s="307"/>
      <c r="E8" s="302" t="s">
        <v>696</v>
      </c>
      <c r="F8" s="303">
        <f ca="1">INDIRECT("'数据-取费表'!ai"&amp;$G$1)</f>
        <v>365</v>
      </c>
      <c r="G8" s="1381"/>
      <c r="H8" s="304"/>
      <c r="I8" s="3860"/>
      <c r="J8" s="306"/>
      <c r="K8" s="307"/>
      <c r="L8" s="302" t="s">
        <v>696</v>
      </c>
      <c r="M8" s="303">
        <f ca="1">INDIRECT("'数据-取费表'!ai"&amp;$G$1)</f>
        <v>365</v>
      </c>
    </row>
    <row r="9" spans="1:37" ht="18" customHeight="1">
      <c r="A9" s="304"/>
      <c r="B9" s="3861"/>
      <c r="C9" s="306"/>
      <c r="D9" s="307"/>
      <c r="E9" s="302" t="s">
        <v>697</v>
      </c>
      <c r="F9" s="312">
        <f ca="1">INDIRECT("'数据-取费表'!w"&amp;$G$1)</f>
        <v>0.1</v>
      </c>
      <c r="G9" s="1381"/>
      <c r="H9" s="304"/>
      <c r="I9" s="3861"/>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2112</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1965</v>
      </c>
      <c r="D13" s="1078" t="s">
        <v>703</v>
      </c>
      <c r="E13" s="1078"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1426</v>
      </c>
      <c r="D14" s="1342" t="s">
        <v>706</v>
      </c>
      <c r="E14" s="1339"/>
      <c r="F14" s="319"/>
      <c r="G14" s="1381"/>
      <c r="H14" s="979" t="s">
        <v>398</v>
      </c>
      <c r="I14" s="302" t="s">
        <v>707</v>
      </c>
      <c r="J14" s="21">
        <f ca="1">C29</f>
        <v>2233</v>
      </c>
      <c r="K14" s="12"/>
      <c r="L14" s="804"/>
      <c r="M14" s="805"/>
    </row>
    <row r="15" spans="1:37" s="1394" customFormat="1" ht="18" customHeight="1" thickBot="1">
      <c r="A15" s="979" t="s">
        <v>399</v>
      </c>
      <c r="B15" s="302" t="s">
        <v>708</v>
      </c>
      <c r="C15" s="21">
        <f ca="1">ROUND(C14*F15,0)</f>
        <v>71</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11</v>
      </c>
      <c r="K16" s="1084" t="s">
        <v>713</v>
      </c>
      <c r="L16" s="1085"/>
      <c r="M16" s="1069"/>
    </row>
    <row r="17" spans="1:37" s="1394" customFormat="1" ht="18" customHeight="1">
      <c r="A17" s="979" t="s">
        <v>679</v>
      </c>
      <c r="B17" s="302" t="s">
        <v>714</v>
      </c>
      <c r="C17" s="21">
        <f ca="1">ROUND(F17*(F43+INDIRECT("'数据-取费表'!S"&amp;$G$1))/10000,0)</f>
        <v>57</v>
      </c>
      <c r="D17" s="302" t="s">
        <v>715</v>
      </c>
      <c r="E17" s="302" t="s">
        <v>716</v>
      </c>
      <c r="F17" s="23">
        <f>'数据-取费表'!B35</f>
        <v>200</v>
      </c>
      <c r="G17" s="1393"/>
      <c r="H17" s="979" t="s">
        <v>398</v>
      </c>
      <c r="I17" s="302" t="s">
        <v>717</v>
      </c>
      <c r="J17" s="2313">
        <f ca="1">ROUND(IF(AND(项目基本情况!B11="自然人",项目基本情况!B10="北京市"),J6*M17/(1+'数据-取费表'!C42),J18+J19+J20),2)</f>
        <v>0.11</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21</v>
      </c>
      <c r="D18" s="302" t="s">
        <v>709</v>
      </c>
      <c r="E18" s="302" t="s">
        <v>710</v>
      </c>
      <c r="F18" s="322">
        <f>'数据-取费表'!B36</f>
        <v>1.4999999999999999E-2</v>
      </c>
      <c r="G18" s="1393"/>
      <c r="H18" s="979" t="s">
        <v>397</v>
      </c>
      <c r="I18" s="302" t="s">
        <v>721</v>
      </c>
      <c r="J18" s="21">
        <f ca="1">ROUND(J6*M18/(1+'数据-取费表'!C42),2)</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1575</v>
      </c>
      <c r="D19" s="131" t="s">
        <v>724</v>
      </c>
      <c r="E19" s="1357"/>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47</v>
      </c>
      <c r="D20" s="323" t="s">
        <v>727</v>
      </c>
      <c r="E20" s="302" t="s">
        <v>710</v>
      </c>
      <c r="F20" s="322">
        <f>'数据-取费表'!B37</f>
        <v>0.03</v>
      </c>
      <c r="G20" s="1393"/>
      <c r="H20" s="979" t="s">
        <v>678</v>
      </c>
      <c r="I20" s="155" t="s">
        <v>728</v>
      </c>
      <c r="J20" s="22">
        <f ca="1">ROUND(M20*M21/10000,2)</f>
        <v>0.11</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323" t="s">
        <v>732</v>
      </c>
      <c r="E21" s="302" t="s">
        <v>733</v>
      </c>
      <c r="F21" s="322">
        <f>'数据-取费表'!B38</f>
        <v>0.03</v>
      </c>
      <c r="G21" s="1393"/>
      <c r="H21" s="326"/>
      <c r="I21" s="311"/>
      <c r="J21" s="26"/>
      <c r="K21" s="327"/>
      <c r="L21" s="302" t="s">
        <v>734</v>
      </c>
      <c r="M21" s="303">
        <f ca="1">INDIRECT("'数据-取费表'!r"&amp;$G$1)</f>
        <v>360.47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ROUND(J14*M22,2)</f>
        <v>11.17</v>
      </c>
      <c r="K22" s="1341"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84</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ROUND(J5*M24,2)</f>
        <v>0</v>
      </c>
      <c r="K24" s="1089" t="s">
        <v>746</v>
      </c>
      <c r="L24" s="1087" t="s">
        <v>742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1357"/>
      <c r="F25" s="23"/>
      <c r="G25" s="1381"/>
      <c r="H25" s="1076" t="s">
        <v>394</v>
      </c>
      <c r="I25" s="1091" t="s">
        <v>750</v>
      </c>
      <c r="J25" s="310">
        <f ca="1">J5-J16</f>
        <v>-11</v>
      </c>
      <c r="K25" s="1092" t="s">
        <v>751</v>
      </c>
      <c r="L25" s="1093"/>
      <c r="M25" s="1094"/>
    </row>
    <row r="26" spans="1:37">
      <c r="A26" s="979" t="s">
        <v>397</v>
      </c>
      <c r="B26" s="302" t="s">
        <v>752</v>
      </c>
      <c r="C26" s="21">
        <f ca="1">ROUND((C19+C20)*F26,0)</f>
        <v>324</v>
      </c>
      <c r="D26" s="3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2233</v>
      </c>
      <c r="D29" s="1089"/>
      <c r="E29" s="1087"/>
      <c r="F29" s="1090"/>
      <c r="G29" s="1393"/>
      <c r="H29" s="334" t="s">
        <v>396</v>
      </c>
      <c r="I29" s="335" t="s">
        <v>766</v>
      </c>
      <c r="J29" s="336">
        <f ca="1">ROUND(J26/(1+F40)^F41,0)</f>
        <v>0</v>
      </c>
      <c r="K29" s="337" t="s">
        <v>767</v>
      </c>
      <c r="L29" s="338"/>
      <c r="M29" s="339">
        <f ca="1">INDIRECT("'数据-取费表'!k"&amp;$G$1)</f>
        <v>2852.38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76</v>
      </c>
      <c r="D30" s="1084" t="s">
        <v>713</v>
      </c>
      <c r="E30" s="1085"/>
      <c r="F30" s="1069"/>
      <c r="G30" s="1381"/>
      <c r="H30" s="2692"/>
      <c r="I30" s="1395"/>
      <c r="J30" s="1396"/>
      <c r="K30" s="2470"/>
      <c r="L30" s="2693"/>
      <c r="M30" s="2694"/>
    </row>
    <row r="31" spans="1:37" ht="18" customHeight="1">
      <c r="A31" s="979" t="s">
        <v>398</v>
      </c>
      <c r="B31" s="302" t="s">
        <v>717</v>
      </c>
      <c r="C31" s="2313">
        <f ca="1">ROUND(IF(AND(项目基本情况!B11="自然人",项目基本情况!B10="北京市"),C6*F31/(1+'数据-取费表'!C42),C32+C33+C34),2)</f>
        <v>59.79</v>
      </c>
      <c r="D31" s="1342" t="s">
        <v>718</v>
      </c>
      <c r="E31" s="1341" t="s">
        <v>768</v>
      </c>
      <c r="F31" s="2312" t="str">
        <f>IF(项目基本情况!B11="企业","——",IF(M47="住宅",IF(F6*F7*F8/12/(1+'数据-取费表'!F30)&gt;100000,4%,2.5%),IF(F6*F7*F8/12/(1+'数据-取费表'!F30)&gt;100000,12%,7%)))</f>
        <v>——</v>
      </c>
      <c r="G31" s="1381"/>
      <c r="H31" s="2803" t="s">
        <v>2305</v>
      </c>
      <c r="I31" s="1395"/>
      <c r="J31" s="1396"/>
      <c r="K31" s="2470"/>
      <c r="L31" s="2693"/>
      <c r="M31" s="2694"/>
    </row>
    <row r="32" spans="1:37" ht="18" customHeight="1">
      <c r="A32" s="979" t="s">
        <v>397</v>
      </c>
      <c r="B32" s="302" t="s">
        <v>721</v>
      </c>
      <c r="C32" s="21">
        <f ca="1">IF(项目基本情况!B11="自然人","——",ROUND(C6*F32/(1+'数据-取费表'!C42),2))</f>
        <v>18.989999999999998</v>
      </c>
      <c r="D32" s="1341" t="s">
        <v>722</v>
      </c>
      <c r="E32" s="302" t="s">
        <v>710</v>
      </c>
      <c r="F32" s="331">
        <f>'数据-取费表'!B41</f>
        <v>5.6000000000000001E-2</v>
      </c>
      <c r="G32" s="1381"/>
      <c r="H32" s="2692"/>
      <c r="I32" s="1395"/>
      <c r="J32" s="1396"/>
      <c r="K32" s="2470"/>
      <c r="L32" s="2693"/>
      <c r="M32" s="2694"/>
    </row>
    <row r="33" spans="1:18" ht="18" customHeight="1">
      <c r="A33" s="979" t="s">
        <v>399</v>
      </c>
      <c r="B33" s="302" t="s">
        <v>725</v>
      </c>
      <c r="C33" s="21">
        <f ca="1">IF(项目基本情况!B11="自然人","——",IF(D33="按租金收入计税",ROUND(C6*F33/(1+'数据-取费表'!C42),2),IF(D33="按房产原值计税",ROUND(C29*F33*0.7,2),INDIRECT("'数据-取费表'!Aj"&amp;$G$1))))</f>
        <v>40.69</v>
      </c>
      <c r="D33" s="1367" t="s">
        <v>3336</v>
      </c>
      <c r="E33" s="302" t="s">
        <v>710</v>
      </c>
      <c r="F33" s="322">
        <f>IF(D33="按票据","——",IF(D33="按租金收入计税",'数据-取费表'!B51,'数据-取费表'!B50))</f>
        <v>0.12</v>
      </c>
      <c r="G33" s="1381"/>
      <c r="H33" s="2695"/>
      <c r="I33" s="1395"/>
      <c r="J33" s="1396"/>
      <c r="K33" s="2696"/>
      <c r="L33" s="2695"/>
      <c r="M33" s="2695"/>
    </row>
    <row r="34" spans="1:18" ht="18" customHeight="1">
      <c r="A34" s="1066" t="s">
        <v>678</v>
      </c>
      <c r="B34" s="155" t="s">
        <v>728</v>
      </c>
      <c r="C34" s="22">
        <f ca="1">IF(项目基本情况!B11="自然人","——",ROUND(F34*F35/10000,2))</f>
        <v>0.11</v>
      </c>
      <c r="D34" s="324" t="s">
        <v>729</v>
      </c>
      <c r="E34" s="302" t="s">
        <v>730</v>
      </c>
      <c r="F34" s="325">
        <f>'数据-取费表'!B52</f>
        <v>3</v>
      </c>
      <c r="G34" s="1381"/>
      <c r="H34" s="2692"/>
      <c r="I34" s="1395"/>
      <c r="J34" s="1396"/>
      <c r="K34" s="2697"/>
      <c r="L34" s="2698"/>
      <c r="M34" s="2698"/>
    </row>
    <row r="35" spans="1:18" ht="18" customHeight="1">
      <c r="A35" s="1100"/>
      <c r="B35" s="1098"/>
      <c r="C35" s="26"/>
      <c r="D35" s="327"/>
      <c r="E35" s="302" t="s">
        <v>734</v>
      </c>
      <c r="F35" s="303">
        <f ca="1">INDIRECT("'数据-取费表'!r"&amp;$G$1)</f>
        <v>360.47</v>
      </c>
      <c r="G35" s="1381"/>
      <c r="H35" s="2692"/>
      <c r="I35" s="1395"/>
      <c r="J35" s="1396"/>
      <c r="K35" s="2696"/>
      <c r="L35" s="2695"/>
      <c r="M35" s="2695"/>
    </row>
    <row r="36" spans="1:18" ht="18" customHeight="1">
      <c r="A36" s="1099" t="s">
        <v>402</v>
      </c>
      <c r="B36" s="302" t="s">
        <v>736</v>
      </c>
      <c r="C36" s="21">
        <f ca="1">ROUND(C29*F36,2)</f>
        <v>11.17</v>
      </c>
      <c r="D36" s="1341" t="s">
        <v>769</v>
      </c>
      <c r="E36" s="302" t="s">
        <v>710</v>
      </c>
      <c r="F36" s="328">
        <f ca="1">INDIRECT("'数据-取费表'!Ak"&amp;$G$1)</f>
        <v>5.0000000000000001E-3</v>
      </c>
      <c r="G36" s="1381"/>
      <c r="H36" s="2695"/>
      <c r="I36" s="1395"/>
      <c r="J36" s="1396"/>
      <c r="K36" s="2539"/>
      <c r="L36" s="2695"/>
      <c r="M36" s="2695"/>
    </row>
    <row r="37" spans="1:18" ht="18" customHeight="1">
      <c r="A37" s="979" t="s">
        <v>437</v>
      </c>
      <c r="B37" s="302" t="s">
        <v>740</v>
      </c>
      <c r="C37" s="21">
        <f ca="1">ROUND(C13*F37,2)</f>
        <v>1.97</v>
      </c>
      <c r="D37" s="1341" t="s">
        <v>741</v>
      </c>
      <c r="E37" s="302" t="s">
        <v>742</v>
      </c>
      <c r="F37" s="330">
        <f ca="1">INDIRECT("'数据-取费表'!Al"&amp;$G$1)</f>
        <v>1E-3</v>
      </c>
      <c r="G37" s="1381"/>
      <c r="H37" s="2695"/>
      <c r="I37" s="1395"/>
      <c r="J37" s="1396"/>
      <c r="K37" s="2539"/>
      <c r="L37" s="2695"/>
      <c r="M37" s="2695"/>
    </row>
    <row r="38" spans="1:18" ht="18" customHeight="1" thickBot="1">
      <c r="A38" s="1086" t="s">
        <v>682</v>
      </c>
      <c r="B38" s="1087" t="s">
        <v>726</v>
      </c>
      <c r="C38" s="1088">
        <f ca="1">ROUND(C5*F38,2)</f>
        <v>3.56</v>
      </c>
      <c r="D38" s="1089" t="s">
        <v>746</v>
      </c>
      <c r="E38" s="1087" t="s">
        <v>742</v>
      </c>
      <c r="F38" s="1083">
        <f ca="1">INDIRECT("'数据-取费表'!Am"&amp;$G$1)</f>
        <v>0.01</v>
      </c>
      <c r="G38" s="1381"/>
      <c r="H38" s="2695"/>
      <c r="I38" s="1395"/>
      <c r="J38" s="1396"/>
      <c r="K38" s="2699"/>
      <c r="L38" s="2695"/>
      <c r="M38" s="2695"/>
    </row>
    <row r="39" spans="1:18" ht="24.6" customHeight="1" thickTop="1">
      <c r="A39" s="1076" t="s">
        <v>394</v>
      </c>
      <c r="B39" s="1091" t="s">
        <v>770</v>
      </c>
      <c r="C39" s="310">
        <f ca="1">C5-C30</f>
        <v>280</v>
      </c>
      <c r="D39" s="1092" t="s">
        <v>771</v>
      </c>
      <c r="E39" s="1093"/>
      <c r="F39" s="1094"/>
      <c r="G39" s="1381"/>
      <c r="H39" s="2695"/>
      <c r="I39" s="1395"/>
      <c r="J39" s="1396"/>
      <c r="K39" s="2699"/>
      <c r="L39" s="2695"/>
      <c r="M39" s="2695"/>
    </row>
    <row r="40" spans="1:18" ht="18" customHeight="1">
      <c r="A40" s="299" t="s">
        <v>395</v>
      </c>
      <c r="B40" s="300" t="s">
        <v>772</v>
      </c>
      <c r="C40" s="301">
        <f ca="1">ROUND(C39*(1-((1+F42)/(1+F40))^F41)/(F40-F42),0)</f>
        <v>4815</v>
      </c>
      <c r="D40" s="324" t="s">
        <v>756</v>
      </c>
      <c r="E40" s="302" t="s">
        <v>757</v>
      </c>
      <c r="F40" s="312">
        <f ca="1">INDIRECT("'数据-取费表'!I"&amp;$G$1)</f>
        <v>5.5E-2</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16881</v>
      </c>
      <c r="D43" s="337" t="s">
        <v>775</v>
      </c>
      <c r="E43" s="338" t="s">
        <v>776</v>
      </c>
      <c r="F43" s="339">
        <f ca="1">INDIRECT("'数据-取费表'!k"&amp;$G$1)</f>
        <v>2852.38</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806</v>
      </c>
      <c r="P45" s="1458"/>
      <c r="Q45" s="1458"/>
      <c r="R45" s="1458"/>
    </row>
    <row r="46" spans="1:18" s="1381" customFormat="1" ht="13.5" thickBot="1">
      <c r="A46" s="1401" t="s">
        <v>807</v>
      </c>
      <c r="C46" s="1402">
        <f ca="1">C68-C40</f>
        <v>-4997</v>
      </c>
      <c r="D46" s="1403" t="str">
        <f>C2</f>
        <v>万元</v>
      </c>
      <c r="E46" s="1397"/>
      <c r="F46" s="1397"/>
      <c r="I46" s="1404" t="s">
        <v>808</v>
      </c>
      <c r="J46" s="1405"/>
      <c r="K46" s="1406"/>
      <c r="L46" s="1407">
        <f ca="1">IF(M47="住宅",0,IF(L48&gt;J51,L60,J60))</f>
        <v>117</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4815</v>
      </c>
      <c r="R47" s="1417" t="s">
        <v>816</v>
      </c>
    </row>
    <row r="48" spans="1:18" s="1381" customFormat="1" ht="28.5" thickBot="1">
      <c r="A48" s="1107" t="s">
        <v>438</v>
      </c>
      <c r="B48" s="300" t="s">
        <v>690</v>
      </c>
      <c r="C48" s="1356">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117</v>
      </c>
      <c r="R48" s="1417" t="s">
        <v>820</v>
      </c>
    </row>
    <row r="49" spans="1:18" s="1381" customFormat="1" ht="13.5" thickBot="1">
      <c r="A49" s="972" t="s">
        <v>439</v>
      </c>
      <c r="B49" s="1368" t="s">
        <v>777</v>
      </c>
      <c r="C49" s="1111">
        <f ca="1">ROUND(F49*F51*F50*(1-F52)/10000,0)</f>
        <v>0</v>
      </c>
      <c r="D49" s="1052" t="s">
        <v>2105</v>
      </c>
      <c r="E49" s="1369" t="s">
        <v>778</v>
      </c>
      <c r="F49" s="1057"/>
      <c r="G49" s="1422"/>
      <c r="H49" s="723"/>
      <c r="I49" s="1418" t="s">
        <v>821</v>
      </c>
      <c r="J49" s="1423">
        <f>'数据-取费表'!N19</f>
        <v>2016</v>
      </c>
      <c r="K49" s="1420" t="s">
        <v>822</v>
      </c>
      <c r="L49" s="1424"/>
      <c r="O49" s="1425" t="s">
        <v>405</v>
      </c>
      <c r="P49" s="1416" t="s">
        <v>823</v>
      </c>
      <c r="Q49" s="1417">
        <f ca="1">C29</f>
        <v>2233</v>
      </c>
      <c r="R49" s="1417" t="s">
        <v>816</v>
      </c>
    </row>
    <row r="50" spans="1:18" s="1381" customFormat="1" ht="13.5" thickBot="1">
      <c r="A50" s="973"/>
      <c r="B50" s="976"/>
      <c r="C50" s="1115"/>
      <c r="D50" s="950"/>
      <c r="E50" s="1053" t="s">
        <v>695</v>
      </c>
      <c r="F50" s="1054">
        <f ca="1">F7</f>
        <v>2852.38</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2270</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'数据-取费表'!J6+0.5%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57" t="s">
        <v>835</v>
      </c>
      <c r="L53" s="3858"/>
      <c r="O53" s="1415" t="s">
        <v>409</v>
      </c>
      <c r="P53" s="1416" t="s">
        <v>836</v>
      </c>
      <c r="Q53" s="1417">
        <f ca="1">Q47+Q48</f>
        <v>4932</v>
      </c>
      <c r="R53" s="1417" t="s">
        <v>410</v>
      </c>
    </row>
    <row r="54" spans="1:18" s="1381" customFormat="1" ht="13.5" thickBot="1">
      <c r="A54" s="1150"/>
      <c r="B54" s="1364" t="s">
        <v>677</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1965</v>
      </c>
      <c r="D56" s="1444"/>
      <c r="E56" s="1445"/>
      <c r="F56" s="1437"/>
      <c r="I56" s="1446" t="s">
        <v>840</v>
      </c>
      <c r="J56" s="1447" t="s">
        <v>3381</v>
      </c>
      <c r="K56" s="1418" t="s">
        <v>841</v>
      </c>
      <c r="L56" s="1421" t="str">
        <f ca="1">IF(L48&lt;J51,"——",L48-J53)</f>
        <v>——</v>
      </c>
      <c r="O56" s="1415" t="s">
        <v>403</v>
      </c>
      <c r="P56" s="1416" t="s">
        <v>815</v>
      </c>
      <c r="Q56" s="1417">
        <f ca="1">C40+J29</f>
        <v>4815</v>
      </c>
      <c r="R56" s="1417" t="s">
        <v>816</v>
      </c>
    </row>
    <row r="57" spans="1:18" s="1381" customFormat="1" ht="24.75" thickBot="1">
      <c r="A57" s="1448"/>
      <c r="B57" s="947" t="s">
        <v>765</v>
      </c>
      <c r="C57" s="238">
        <f ca="1">C29</f>
        <v>2233</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13</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956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117</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0.11</v>
      </c>
      <c r="D62" s="962" t="s">
        <v>784</v>
      </c>
      <c r="E62" s="947" t="s">
        <v>785</v>
      </c>
      <c r="F62" s="325">
        <f t="shared" si="0"/>
        <v>3</v>
      </c>
      <c r="I62" s="1459" t="s">
        <v>856</v>
      </c>
      <c r="J62" s="1460" t="s">
        <v>857</v>
      </c>
      <c r="K62" s="1460" t="s">
        <v>858</v>
      </c>
      <c r="L62" s="1460" t="s">
        <v>859</v>
      </c>
      <c r="M62" s="1461" t="s">
        <v>860</v>
      </c>
      <c r="O62" s="1415" t="s">
        <v>409</v>
      </c>
      <c r="P62" s="1416" t="s">
        <v>861</v>
      </c>
      <c r="Q62" s="1417">
        <f ca="1">Q56+Q57</f>
        <v>4815</v>
      </c>
      <c r="R62" s="1417" t="s">
        <v>410</v>
      </c>
    </row>
    <row r="63" spans="1:18" s="1381" customFormat="1" ht="13.5" thickBot="1">
      <c r="A63" s="326"/>
      <c r="B63" s="953"/>
      <c r="C63" s="26"/>
      <c r="D63" s="963"/>
      <c r="E63" s="947" t="s">
        <v>786</v>
      </c>
      <c r="F63" s="303">
        <f t="shared" ca="1" si="0"/>
        <v>360.47</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ROUND(C57*F64,2)</f>
        <v>11.17</v>
      </c>
      <c r="D64" s="961" t="s">
        <v>789</v>
      </c>
      <c r="E64" s="947"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1.97</v>
      </c>
      <c r="D65" s="961" t="s">
        <v>741</v>
      </c>
      <c r="E65" s="947" t="s">
        <v>742</v>
      </c>
      <c r="F65" s="330">
        <f t="shared" ca="1" si="0"/>
        <v>1E-3</v>
      </c>
      <c r="I65" s="1459" t="s">
        <v>865</v>
      </c>
      <c r="J65" s="1460">
        <v>40</v>
      </c>
      <c r="K65" s="1460">
        <v>30</v>
      </c>
      <c r="L65" s="1460">
        <v>50</v>
      </c>
      <c r="M65" s="1462">
        <v>0.02</v>
      </c>
      <c r="O65" s="1415" t="s">
        <v>403</v>
      </c>
      <c r="P65" s="1416" t="s">
        <v>866</v>
      </c>
      <c r="Q65" s="1417">
        <f ca="1">C40+J29</f>
        <v>4815</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-13</v>
      </c>
      <c r="D67" s="960" t="s">
        <v>751</v>
      </c>
      <c r="E67" s="965"/>
      <c r="F67" s="966"/>
      <c r="O67" s="1425" t="s">
        <v>405</v>
      </c>
      <c r="P67" s="1416" t="s">
        <v>848</v>
      </c>
      <c r="Q67" s="1463">
        <f ca="1">L51</f>
        <v>2270</v>
      </c>
      <c r="R67" s="1417" t="s">
        <v>868</v>
      </c>
    </row>
    <row r="68" spans="1:18" s="1381" customFormat="1" ht="16.5" thickBot="1">
      <c r="A68" s="944" t="s">
        <v>395</v>
      </c>
      <c r="B68" s="945" t="s">
        <v>772</v>
      </c>
      <c r="C68" s="301">
        <f ca="1">ROUND(C67*(1-((1+F70)/(1+F68))^F69)/(F68-F70),0)</f>
        <v>-182</v>
      </c>
      <c r="D68" s="962" t="s">
        <v>756</v>
      </c>
      <c r="E68" s="947" t="s">
        <v>757</v>
      </c>
      <c r="F68" s="312">
        <f ca="1">F40</f>
        <v>5.5E-2</v>
      </c>
      <c r="O68" s="1425" t="s">
        <v>406</v>
      </c>
      <c r="P68" s="1464" t="s">
        <v>869</v>
      </c>
      <c r="Q68" s="1417">
        <f ca="1">ROUND(Q69-Q70*Q71,0)</f>
        <v>133</v>
      </c>
      <c r="R68" s="1417" t="s">
        <v>414</v>
      </c>
    </row>
    <row r="69" spans="1:18" s="1381" customFormat="1" ht="13.5" thickBot="1">
      <c r="A69" s="948"/>
      <c r="B69" s="949"/>
      <c r="C69" s="306"/>
      <c r="D69" s="967" t="s">
        <v>760</v>
      </c>
      <c r="E69" s="947" t="s">
        <v>761</v>
      </c>
      <c r="F69" s="333">
        <f ca="1">F41</f>
        <v>27.3</v>
      </c>
      <c r="O69" s="1425" t="s">
        <v>411</v>
      </c>
      <c r="P69" s="1464" t="s">
        <v>870</v>
      </c>
      <c r="Q69" s="1417">
        <f ca="1">C39</f>
        <v>280</v>
      </c>
      <c r="R69" s="1417" t="s">
        <v>816</v>
      </c>
    </row>
    <row r="70" spans="1:18" s="1381" customFormat="1" ht="13.5" thickBot="1">
      <c r="A70" s="951"/>
      <c r="B70" s="952"/>
      <c r="C70" s="310"/>
      <c r="D70" s="963"/>
      <c r="E70" s="947" t="s">
        <v>764</v>
      </c>
      <c r="F70" s="1051"/>
      <c r="O70" s="1425" t="s">
        <v>412</v>
      </c>
      <c r="P70" s="1464" t="s">
        <v>871</v>
      </c>
      <c r="Q70" s="1417">
        <f ca="1">C13</f>
        <v>1965</v>
      </c>
      <c r="R70" s="1417" t="s">
        <v>816</v>
      </c>
    </row>
    <row r="71" spans="1:18" s="1381" customFormat="1" ht="13.5" thickBot="1">
      <c r="A71" s="968" t="s">
        <v>396</v>
      </c>
      <c r="B71" s="969" t="s">
        <v>774</v>
      </c>
      <c r="C71" s="336">
        <f ca="1">ROUND(C68*10000/F71,0)</f>
        <v>-638</v>
      </c>
      <c r="D71" s="970" t="s">
        <v>775</v>
      </c>
      <c r="E71" s="971" t="s">
        <v>776</v>
      </c>
      <c r="F71" s="339">
        <f ca="1">F43</f>
        <v>2852.38</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147</v>
      </c>
      <c r="D75" s="1381"/>
      <c r="E75" s="1381"/>
      <c r="F75" s="1381"/>
      <c r="K75" s="1399"/>
      <c r="L75" s="1381"/>
      <c r="O75" s="1415" t="s">
        <v>409</v>
      </c>
      <c r="P75" s="1416" t="s">
        <v>836</v>
      </c>
      <c r="Q75" s="1417">
        <f ca="1">Q65+Q66</f>
        <v>4815</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0.47499999999999998</v>
      </c>
    </row>
    <row r="80" spans="1:18">
      <c r="B80" s="340" t="s">
        <v>798</v>
      </c>
      <c r="C80" s="274">
        <f ca="1">ROUND(C75/C39,3)</f>
        <v>0.52500000000000002</v>
      </c>
    </row>
    <row r="81" spans="2:3">
      <c r="B81" s="270" t="s">
        <v>799</v>
      </c>
      <c r="C81" s="238"/>
    </row>
    <row r="82" spans="2:3">
      <c r="B82" s="273" t="s">
        <v>800</v>
      </c>
      <c r="C82" s="275">
        <f ca="1">1-C83</f>
        <v>0.59200000000000008</v>
      </c>
    </row>
    <row r="83" spans="2:3">
      <c r="B83" s="273" t="s">
        <v>801</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Normal="100" zoomScaleSheetLayoutView="100" zoomScalePageLayoutView="80" workbookViewId="0">
      <selection activeCell="B118" sqref="B118:I118"/>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4230</v>
      </c>
      <c r="D1" s="1744"/>
      <c r="E1" s="1744"/>
      <c r="F1" s="1746" t="s">
        <v>1261</v>
      </c>
      <c r="G1" s="1558" t="s">
        <v>3382</v>
      </c>
      <c r="H1" s="1747" t="str">
        <f>IF(G1="现房","——","估价对象范围")</f>
        <v>——</v>
      </c>
      <c r="I1" s="1748"/>
    </row>
    <row r="2" spans="1:12" ht="21.75" customHeight="1" thickBot="1">
      <c r="A2" s="3775" t="str">
        <f>项目基本情况!S2</f>
        <v>北京市朝阳区清林东路4号6号楼负2层B202、负3层B302商业用房房地产</v>
      </c>
      <c r="B2" s="3776"/>
      <c r="C2" s="3776"/>
      <c r="D2" s="3776"/>
      <c r="E2" s="3776"/>
      <c r="F2" s="3776"/>
      <c r="G2" s="3776"/>
      <c r="H2" s="3776"/>
      <c r="I2" s="3777"/>
    </row>
    <row r="3" spans="1:12" ht="12.75">
      <c r="A3" s="3779" t="s">
        <v>1262</v>
      </c>
      <c r="B3" s="3780"/>
      <c r="C3" s="3780"/>
      <c r="D3" s="3780"/>
      <c r="E3" s="3780"/>
      <c r="F3" s="3780"/>
      <c r="G3" s="3780"/>
      <c r="H3" s="3780"/>
      <c r="I3" s="3780"/>
    </row>
    <row r="4" spans="1:12" ht="14.25">
      <c r="A4" s="1751" t="s">
        <v>1263</v>
      </c>
      <c r="B4" s="1752" t="s">
        <v>1264</v>
      </c>
      <c r="C4" s="1753" t="s">
        <v>4238</v>
      </c>
      <c r="D4" s="1753" t="s">
        <v>4240</v>
      </c>
      <c r="E4" s="3781" t="s">
        <v>1265</v>
      </c>
      <c r="F4" s="3782"/>
      <c r="G4" s="3782"/>
      <c r="H4" s="3782"/>
      <c r="I4" s="3783"/>
      <c r="K4" s="146" t="str">
        <f>IF(ISNUMBER(FIND("比较法",'结果表-负3层'!C4)),"比较法",IF(ISNUMBER(FIND("成本法",'结果表-负3层'!C4)),"成本法",IF(ISNUMBER(FIND("假设开发法",'结果表-负3层'!C4)),"假设开发法",IF(ISNUMBER(FIND("收益法",'结果表-负3层'!C4)),"收益法","基准地价系数修正法"))))</f>
        <v>成本法</v>
      </c>
      <c r="L4" s="146" t="str">
        <f>IF(ISNUMBER(FIND("比较法",'结果表-负3层'!D4)),"比较法",IF(ISNUMBER(FIND("成本法",'结果表-负3层'!D4)),"成本法",IF(ISNUMBER(FIND("假设开发法",'结果表-负3层'!D4)),"假设开发法",IF(ISNUMBER(FIND("收益法",'结果表-负3层'!D4)),"收益法","基准地价系数修正法"))))</f>
        <v>收益法</v>
      </c>
    </row>
    <row r="5" spans="1:12" ht="12.75">
      <c r="A5" s="3755" t="s">
        <v>1266</v>
      </c>
      <c r="B5" s="3742">
        <v>25</v>
      </c>
      <c r="C5" s="3758"/>
      <c r="D5" s="3778"/>
      <c r="E5" s="131" t="s">
        <v>1267</v>
      </c>
      <c r="F5" s="1754"/>
      <c r="G5" s="1754"/>
      <c r="H5" s="1754"/>
      <c r="I5" s="1370"/>
    </row>
    <row r="6" spans="1:12" ht="12.75">
      <c r="A6" s="3755"/>
      <c r="B6" s="3742"/>
      <c r="C6" s="3759"/>
      <c r="D6" s="3778"/>
      <c r="E6" s="131" t="s">
        <v>1268</v>
      </c>
      <c r="F6" s="1754"/>
      <c r="G6" s="1754"/>
      <c r="H6" s="1754"/>
      <c r="I6" s="1370"/>
    </row>
    <row r="7" spans="1:12" ht="12.75">
      <c r="A7" s="3755"/>
      <c r="B7" s="3742"/>
      <c r="C7" s="3760"/>
      <c r="D7" s="3778"/>
      <c r="E7" s="131" t="s">
        <v>1269</v>
      </c>
      <c r="F7" s="1754"/>
      <c r="G7" s="1754"/>
      <c r="H7" s="1754"/>
      <c r="I7" s="1370"/>
    </row>
    <row r="8" spans="1:12" ht="12.75">
      <c r="A8" s="3755" t="s">
        <v>1270</v>
      </c>
      <c r="B8" s="3742">
        <v>15</v>
      </c>
      <c r="C8" s="3758"/>
      <c r="D8" s="3778"/>
      <c r="E8" s="131" t="s">
        <v>1271</v>
      </c>
      <c r="F8" s="1754"/>
      <c r="G8" s="1754"/>
      <c r="H8" s="1754"/>
      <c r="I8" s="1370"/>
    </row>
    <row r="9" spans="1:12" ht="12.75">
      <c r="A9" s="3755"/>
      <c r="B9" s="3742"/>
      <c r="C9" s="3760"/>
      <c r="D9" s="3778"/>
      <c r="E9" s="131" t="s">
        <v>1272</v>
      </c>
      <c r="F9" s="1754"/>
      <c r="G9" s="1754"/>
      <c r="H9" s="1754"/>
      <c r="I9" s="1370"/>
    </row>
    <row r="10" spans="1:12" ht="12.75">
      <c r="A10" s="3755" t="s">
        <v>1273</v>
      </c>
      <c r="B10" s="3742">
        <v>15</v>
      </c>
      <c r="C10" s="3758"/>
      <c r="D10" s="3778"/>
      <c r="E10" s="131" t="s">
        <v>1274</v>
      </c>
      <c r="F10" s="1754"/>
      <c r="G10" s="1754"/>
      <c r="H10" s="1754"/>
      <c r="I10" s="1370"/>
    </row>
    <row r="11" spans="1:12" ht="12.75">
      <c r="A11" s="3755"/>
      <c r="B11" s="3742"/>
      <c r="C11" s="3760"/>
      <c r="D11" s="3778"/>
      <c r="E11" s="131" t="s">
        <v>1275</v>
      </c>
      <c r="F11" s="1754"/>
      <c r="G11" s="1754"/>
      <c r="H11" s="1754"/>
      <c r="I11" s="1370"/>
    </row>
    <row r="12" spans="1:12" ht="12.75">
      <c r="A12" s="3755" t="s">
        <v>1276</v>
      </c>
      <c r="B12" s="3742">
        <v>15</v>
      </c>
      <c r="C12" s="3758"/>
      <c r="D12" s="3778"/>
      <c r="E12" s="131" t="s">
        <v>1277</v>
      </c>
      <c r="F12" s="1754"/>
      <c r="G12" s="1754"/>
      <c r="H12" s="1754"/>
      <c r="I12" s="1370"/>
    </row>
    <row r="13" spans="1:12" ht="12.75">
      <c r="A13" s="3755"/>
      <c r="B13" s="3742"/>
      <c r="C13" s="3760"/>
      <c r="D13" s="3778"/>
      <c r="E13" s="131" t="s">
        <v>1278</v>
      </c>
      <c r="F13" s="1754"/>
      <c r="G13" s="1754"/>
      <c r="H13" s="1754"/>
      <c r="I13" s="1370"/>
    </row>
    <row r="14" spans="1:12" ht="12.75">
      <c r="A14" s="3755" t="s">
        <v>1279</v>
      </c>
      <c r="B14" s="3742">
        <v>30</v>
      </c>
      <c r="C14" s="3758">
        <v>5</v>
      </c>
      <c r="D14" s="3778">
        <v>5</v>
      </c>
      <c r="E14" s="131" t="s">
        <v>1280</v>
      </c>
      <c r="F14" s="1754"/>
      <c r="G14" s="1754"/>
      <c r="H14" s="1754"/>
      <c r="I14" s="1370"/>
    </row>
    <row r="15" spans="1:12" ht="12.75">
      <c r="A15" s="3755"/>
      <c r="B15" s="3742"/>
      <c r="C15" s="3759"/>
      <c r="D15" s="3778"/>
      <c r="E15" s="131" t="s">
        <v>1281</v>
      </c>
      <c r="F15" s="1754"/>
      <c r="G15" s="1754"/>
      <c r="H15" s="1754"/>
      <c r="I15" s="1370"/>
    </row>
    <row r="16" spans="1:12" ht="12.75">
      <c r="A16" s="3755"/>
      <c r="B16" s="3742"/>
      <c r="C16" s="3760"/>
      <c r="D16" s="3778"/>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765" t="s">
        <v>2126</v>
      </c>
      <c r="F18" s="3766"/>
      <c r="G18" s="3766"/>
      <c r="H18" s="3766"/>
      <c r="I18" s="3766"/>
      <c r="K18" s="302" t="s">
        <v>1287</v>
      </c>
      <c r="L18" s="302">
        <f>IF(C1="",'数据-汇总表'!E3,SUMIF(项目类型,C1,'数据-汇总表'!E17:E26)+SUMIF(项目类型,C1,'数据-汇总表'!I17:I26))</f>
        <v>3127.15</v>
      </c>
      <c r="M18" s="302">
        <f>IF(C1="",'数据-汇总表'!E3,SUMIF(项目类型,C1,'数据-汇总表'!E17:E26))</f>
        <v>3127.15</v>
      </c>
    </row>
    <row r="19" spans="1:36" ht="15">
      <c r="A19" s="1758" t="s">
        <v>1288</v>
      </c>
      <c r="B19" s="1759" t="s">
        <v>1289</v>
      </c>
      <c r="C19" s="134">
        <f ca="1">SUMIF(INDIRECT("'"&amp;C4&amp;"'"&amp;"!A:A"),'结果表-负3层'!B19,INDIRECT("'"&amp;C4&amp;"'"&amp;"!B:B"))</f>
        <v>3934</v>
      </c>
      <c r="D19" s="135">
        <f ca="1">SUMIF(INDIRECT("'"&amp;D4&amp;"'"&amp;"!A:A"),'结果表-负3层'!B19,INDIRECT("'"&amp;D4&amp;"'"&amp;"!B:B"))</f>
        <v>4238</v>
      </c>
      <c r="E19" s="1758" t="s">
        <v>1290</v>
      </c>
      <c r="F19" s="1759" t="s">
        <v>1289</v>
      </c>
      <c r="G19" s="136">
        <f ca="1">ROUND(C19*$C$18+D19*$D$18,0)</f>
        <v>4086</v>
      </c>
      <c r="H19" s="1760" t="s">
        <v>1291</v>
      </c>
      <c r="I19" s="129"/>
      <c r="K19" s="302" t="s">
        <v>1292</v>
      </c>
      <c r="L19" s="302">
        <f>IF(C1="",'数据-汇总表'!D3,SUMIF(项目类型,C1,'数据-汇总表'!D17:D26)+SUMIF(项目类型,C1,'数据-汇总表'!H17:H27))</f>
        <v>395.19</v>
      </c>
      <c r="M19" s="302">
        <f>IF(C1="",'数据-汇总表'!D3,SUMIF(项目类型,C1,'数据-汇总表'!D17:D26))</f>
        <v>395.19</v>
      </c>
    </row>
    <row r="20" spans="1:36" ht="15">
      <c r="A20" s="1761"/>
      <c r="B20" s="1023" t="s">
        <v>1293</v>
      </c>
      <c r="C20" s="137">
        <f ca="1">SUMIF(INDIRECT("'"&amp;C4&amp;"'"&amp;"!A:A"),'结果表-负3层'!B20,INDIRECT("'"&amp;C4&amp;"'"&amp;"!B:B"))</f>
        <v>12580</v>
      </c>
      <c r="D20" s="138">
        <f ca="1">SUMIF(INDIRECT("'"&amp;D4&amp;"'"&amp;"!A:A"),'结果表-负3层'!B20,INDIRECT("'"&amp;D4&amp;"'"&amp;"!B:B"))</f>
        <v>13552</v>
      </c>
      <c r="E20" s="1761"/>
      <c r="F20" s="1023" t="s">
        <v>1293</v>
      </c>
      <c r="G20" s="139">
        <f ca="1">ROUND(C20*$C$18+D20*$D$18,0)</f>
        <v>13066</v>
      </c>
      <c r="H20" s="805" t="s">
        <v>1294</v>
      </c>
      <c r="I20" s="129"/>
    </row>
    <row r="21" spans="1:36" ht="15" customHeight="1" thickBot="1">
      <c r="A21" s="825"/>
      <c r="B21" s="1762" t="s">
        <v>1295</v>
      </c>
      <c r="C21" s="719">
        <f ca="1">ROUND(C19*10000/L19,0)</f>
        <v>99547</v>
      </c>
      <c r="D21" s="720">
        <f ca="1">ROUND(D19*10000/L19,0)</f>
        <v>107240</v>
      </c>
      <c r="E21" s="825"/>
      <c r="F21" s="1762" t="s">
        <v>1295</v>
      </c>
      <c r="G21" s="140">
        <f ca="1">ROUND(G19*10000/L19,0)</f>
        <v>103393</v>
      </c>
      <c r="H21" s="1763" t="s">
        <v>1294</v>
      </c>
      <c r="I21" s="129"/>
    </row>
    <row r="22" spans="1:36" ht="15" thickBot="1">
      <c r="A22" s="1685" t="s">
        <v>1296</v>
      </c>
      <c r="B22" s="1764"/>
      <c r="C22" s="1765"/>
      <c r="D22" s="721">
        <f ca="1">IF(C19&lt;D19,D19/C19-1,C19/D19-1)</f>
        <v>7.7275038129130724E-2</v>
      </c>
      <c r="E22" s="129"/>
      <c r="F22" s="129"/>
      <c r="G22" s="129"/>
      <c r="H22" s="129"/>
      <c r="I22" s="129"/>
    </row>
    <row r="23" spans="1:36" ht="13.5" thickBot="1">
      <c r="A23" s="1744"/>
      <c r="B23" s="1744"/>
      <c r="C23" s="1744"/>
      <c r="D23" s="1744"/>
      <c r="E23" s="129"/>
      <c r="F23" s="129"/>
      <c r="G23" s="129"/>
      <c r="H23" s="129"/>
      <c r="I23" s="129"/>
    </row>
    <row r="24" spans="1:36" ht="14.25">
      <c r="A24" s="3749" t="s">
        <v>1297</v>
      </c>
      <c r="B24" s="1759" t="s">
        <v>1289</v>
      </c>
      <c r="C24" s="136">
        <f>IF(B30=0,0,D30)</f>
        <v>0</v>
      </c>
      <c r="D24" s="1766"/>
      <c r="E24" s="129"/>
      <c r="F24" s="129"/>
      <c r="G24" s="129"/>
      <c r="H24" s="129"/>
      <c r="I24" s="129"/>
    </row>
    <row r="25" spans="1:36" ht="14.25">
      <c r="A25" s="3750"/>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4086</v>
      </c>
      <c r="D32" s="1772" t="s">
        <v>3690</v>
      </c>
      <c r="E32" s="129"/>
      <c r="F32" s="129"/>
      <c r="G32" s="129"/>
      <c r="H32" s="129"/>
      <c r="I32" s="129"/>
    </row>
    <row r="33" spans="1:15" ht="15">
      <c r="A33" s="783" t="s">
        <v>1304</v>
      </c>
      <c r="B33" s="1773"/>
      <c r="C33" s="1774" t="s">
        <v>3689</v>
      </c>
      <c r="D33" s="1775" t="s">
        <v>4238</v>
      </c>
      <c r="E33" s="1776" t="s">
        <v>1305</v>
      </c>
      <c r="F33" s="1777" t="str">
        <f>IF(D32="楼面单价","取值（单价）","取值（总价）")</f>
        <v>取值（总价）</v>
      </c>
      <c r="G33" s="129"/>
      <c r="H33" s="129"/>
      <c r="I33" s="129"/>
    </row>
    <row r="34" spans="1:15" ht="15">
      <c r="A34" s="1778"/>
      <c r="B34" s="1779" t="s">
        <v>1306</v>
      </c>
      <c r="C34" s="148">
        <f ca="1">IF(C33="自定义",F34,C32-C35)</f>
        <v>1843</v>
      </c>
      <c r="D34" s="858">
        <f ca="1">IF(C33="自定义",ROUND(C34/C32,3),IF(C33="收益比率",SUMIF(INDIRECT("'"&amp;D33&amp;"'"&amp;"!b:b"),"土地收益比率",INDIRECT("'"&amp;D33&amp;"'"&amp;"!c:c")),SUMIF(INDIRECT("'"&amp;D33&amp;"'"&amp;"!b:b"),"土地成本比率",INDIRECT("'"&amp;D33&amp;"'"&amp;"!c:c"))))</f>
        <v>0.45099999999999996</v>
      </c>
      <c r="E34" s="1780" t="s">
        <v>1307</v>
      </c>
      <c r="F34" s="1327"/>
      <c r="G34" s="129"/>
      <c r="H34" s="129"/>
      <c r="I34" s="129"/>
    </row>
    <row r="35" spans="1:15" ht="15.75" thickBot="1">
      <c r="A35" s="1781"/>
      <c r="B35" s="1782" t="s">
        <v>1308</v>
      </c>
      <c r="C35" s="1167">
        <f ca="1">IF(C33="自定义",F35,ROUND(C32*D35,0))</f>
        <v>2243</v>
      </c>
      <c r="D35" s="1168">
        <f ca="1">IF(C33="自定义",ROUND(C35/C32,3),IF(C33="收益比率",SUMIF(INDIRECT("'"&amp;D33&amp;"'"&amp;"!b:b"),"建筑物收益比率",INDIRECT("'"&amp;D33&amp;"'"&amp;"!c:c")),SUMIF(INDIRECT("'"&amp;D33&amp;"'"&amp;"!b:b"),"建筑物成本比率",INDIRECT("'"&amp;D33&amp;"'"&amp;"!c:c"))))</f>
        <v>0.54900000000000004</v>
      </c>
      <c r="E35" s="1783" t="s">
        <v>1309</v>
      </c>
      <c r="F35" s="154"/>
      <c r="G35" s="129"/>
      <c r="H35" s="129"/>
      <c r="I35" s="129"/>
    </row>
    <row r="36" spans="1:15" ht="15.75" thickBot="1">
      <c r="A36" s="3769" t="s">
        <v>1310</v>
      </c>
      <c r="B36" s="1784" t="s">
        <v>1311</v>
      </c>
      <c r="C36" s="145"/>
      <c r="D36" s="1785"/>
      <c r="E36" s="1786"/>
      <c r="F36" s="1787"/>
      <c r="G36" s="129"/>
      <c r="H36" s="129"/>
      <c r="I36" s="129"/>
    </row>
    <row r="37" spans="1:15" ht="15.75" thickBot="1">
      <c r="A37" s="3770"/>
      <c r="B37" s="1671" t="s">
        <v>1312</v>
      </c>
      <c r="C37" s="147"/>
      <c r="D37" s="1136"/>
      <c r="E37" s="1136"/>
      <c r="F37" s="1787"/>
      <c r="G37" s="129"/>
      <c r="H37" s="129"/>
      <c r="I37" s="129"/>
    </row>
    <row r="38" spans="1:15" ht="15.75" thickBot="1">
      <c r="A38" s="3771"/>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746" t="s">
        <v>1324</v>
      </c>
      <c r="B45" s="3747"/>
      <c r="C45" s="3748"/>
      <c r="D45" s="155">
        <f ca="1">ROUND(H101*F45,0)</f>
        <v>4086</v>
      </c>
      <c r="E45" s="156" t="s">
        <v>1325</v>
      </c>
      <c r="F45" s="157">
        <v>1</v>
      </c>
      <c r="G45" s="158" t="s">
        <v>1326</v>
      </c>
      <c r="H45" s="129"/>
      <c r="I45" s="129"/>
      <c r="J45" s="3824" t="s">
        <v>1327</v>
      </c>
      <c r="K45" s="3824"/>
      <c r="L45" s="3824"/>
      <c r="M45" s="3824"/>
      <c r="N45" s="3824"/>
      <c r="O45" s="3824"/>
    </row>
    <row r="46" spans="1:15" ht="14.25" hidden="1" customHeight="1">
      <c r="A46" s="3743" t="s">
        <v>1328</v>
      </c>
      <c r="B46" s="3744"/>
      <c r="C46" s="3744"/>
      <c r="D46" s="3744"/>
      <c r="E46" s="3744"/>
      <c r="F46" s="3744"/>
      <c r="G46" s="3745"/>
      <c r="H46" s="1803"/>
      <c r="I46" s="159"/>
      <c r="J46" s="3623">
        <v>1</v>
      </c>
      <c r="K46" s="3805" t="s">
        <v>1329</v>
      </c>
      <c r="L46" s="3805"/>
      <c r="M46" s="3825"/>
      <c r="N46" s="3825"/>
      <c r="O46" s="3825"/>
    </row>
    <row r="47" spans="1:15" ht="12" hidden="1" customHeight="1">
      <c r="A47" s="160" t="s">
        <v>1330</v>
      </c>
      <c r="B47" s="161"/>
      <c r="C47" s="162"/>
      <c r="D47" s="1084" t="s">
        <v>1331</v>
      </c>
      <c r="E47" s="302" t="s">
        <v>1332</v>
      </c>
      <c r="F47" s="163" t="s">
        <v>1333</v>
      </c>
      <c r="G47" s="2541" t="s">
        <v>1334</v>
      </c>
      <c r="H47" s="2542"/>
      <c r="I47" s="159"/>
      <c r="J47" s="3623">
        <v>2</v>
      </c>
      <c r="K47" s="3805" t="s">
        <v>1335</v>
      </c>
      <c r="L47" s="3805"/>
      <c r="M47" s="3826">
        <f>'数据-取费表'!B2</f>
        <v>45189</v>
      </c>
      <c r="N47" s="3826"/>
      <c r="O47" s="3826"/>
    </row>
    <row r="48" spans="1:15" ht="25.5" hidden="1">
      <c r="A48" s="3774" t="s">
        <v>1336</v>
      </c>
      <c r="B48" s="3757"/>
      <c r="C48" s="3757"/>
      <c r="D48" s="3625" t="b">
        <f>IF(H48="情况1",0,IF(H48="情况2",D52,IF(H48="情况3",D53,IF(H48="情况4",D54))))</f>
        <v>0</v>
      </c>
      <c r="E48" s="3614" t="str">
        <f>IF(H48="情况4","(销售额-原购置价)×税（费）率","销售额×税（费）率")</f>
        <v>销售额×税（费）率</v>
      </c>
      <c r="F48" s="2543">
        <f>IF(H48="情况1","免征",'数据-取费表'!B41)</f>
        <v>5.6000000000000001E-2</v>
      </c>
      <c r="G48" s="2544" t="s">
        <v>1337</v>
      </c>
      <c r="H48" s="2545"/>
      <c r="I48" s="1803"/>
      <c r="J48" s="3623">
        <v>3</v>
      </c>
      <c r="K48" s="3805" t="s">
        <v>1338</v>
      </c>
      <c r="L48" s="3805"/>
      <c r="M48" s="3827">
        <f ca="1">H101</f>
        <v>4086</v>
      </c>
      <c r="N48" s="3827"/>
      <c r="O48" s="3827"/>
    </row>
    <row r="49" spans="1:35" ht="25.5" hidden="1" customHeight="1">
      <c r="A49" s="3618" t="s">
        <v>1339</v>
      </c>
      <c r="B49" s="3741" t="s">
        <v>1340</v>
      </c>
      <c r="C49" s="3741"/>
      <c r="D49" s="1587">
        <v>0</v>
      </c>
      <c r="E49" s="324" t="s">
        <v>1341</v>
      </c>
      <c r="F49" s="3608" t="s">
        <v>28</v>
      </c>
      <c r="G49" s="3811"/>
      <c r="H49" s="2307" t="s">
        <v>2129</v>
      </c>
      <c r="I49" s="2308"/>
      <c r="J49" s="3623">
        <v>4</v>
      </c>
      <c r="K49" s="3805" t="str">
        <f>IF(项目基本情况!E8="房地产抵押价值","房地产抵押价值","抵押担保权已注销时的房地产抵押价值")</f>
        <v>房地产抵押价值</v>
      </c>
      <c r="L49" s="3805"/>
      <c r="M49" s="3827">
        <f ca="1">IF(项目基本情况!E8="房地产抵押价值",H107,H109)</f>
        <v>4086</v>
      </c>
      <c r="N49" s="3827"/>
      <c r="O49" s="3827"/>
    </row>
    <row r="50" spans="1:35" ht="25.5" hidden="1" customHeight="1">
      <c r="A50" s="2546"/>
      <c r="B50" s="3741" t="s">
        <v>1342</v>
      </c>
      <c r="C50" s="3741"/>
      <c r="D50" s="2547"/>
      <c r="E50" s="332"/>
      <c r="F50" s="3608"/>
      <c r="G50" s="3812"/>
      <c r="H50" s="2309" t="s">
        <v>2130</v>
      </c>
      <c r="I50" s="2308"/>
      <c r="J50" s="3824" t="s">
        <v>1343</v>
      </c>
      <c r="K50" s="3824"/>
      <c r="L50" s="3824"/>
      <c r="M50" s="3824"/>
      <c r="N50" s="3824"/>
      <c r="O50" s="3824"/>
    </row>
    <row r="51" spans="1:35" ht="20.45" hidden="1" customHeight="1">
      <c r="A51" s="2548"/>
      <c r="B51" s="3741" t="s">
        <v>1344</v>
      </c>
      <c r="C51" s="3741"/>
      <c r="D51" s="1084"/>
      <c r="E51" s="327"/>
      <c r="F51" s="3608"/>
      <c r="G51" s="3813"/>
      <c r="H51" s="2309" t="s">
        <v>2131</v>
      </c>
      <c r="I51" s="2308"/>
      <c r="J51" s="3622" t="s">
        <v>1345</v>
      </c>
      <c r="K51" s="3805" t="s">
        <v>1346</v>
      </c>
      <c r="L51" s="3805"/>
      <c r="M51" s="3622" t="s">
        <v>1347</v>
      </c>
      <c r="N51" s="3622" t="s">
        <v>1348</v>
      </c>
      <c r="O51" s="3622" t="s">
        <v>1349</v>
      </c>
    </row>
    <row r="52" spans="1:35" ht="24" hidden="1" customHeight="1">
      <c r="A52" s="3613" t="s">
        <v>1350</v>
      </c>
      <c r="B52" s="3741" t="s">
        <v>1351</v>
      </c>
      <c r="C52" s="3741"/>
      <c r="D52" s="1084">
        <f ca="1">ROUND(D45*'数据-取费表'!B41/(1+'数据-取费表'!C42),0)</f>
        <v>218</v>
      </c>
      <c r="E52" s="3614" t="s">
        <v>1352</v>
      </c>
      <c r="F52" s="2549">
        <f>'数据-取费表'!B41</f>
        <v>5.6000000000000001E-2</v>
      </c>
      <c r="G52" s="2550"/>
      <c r="H52" s="2539"/>
      <c r="I52" s="1804"/>
      <c r="J52" s="3623">
        <v>1</v>
      </c>
      <c r="K52" s="3806" t="s">
        <v>1353</v>
      </c>
      <c r="L52" s="3806"/>
      <c r="M52" s="2520" t="b">
        <f>D48</f>
        <v>0</v>
      </c>
      <c r="N52" s="3623" t="str">
        <f>E48</f>
        <v>销售额×税（费）率</v>
      </c>
      <c r="O52" s="2521">
        <f>F48</f>
        <v>5.6000000000000001E-2</v>
      </c>
    </row>
    <row r="53" spans="1:35" ht="12" hidden="1" customHeight="1">
      <c r="A53" s="3613" t="s">
        <v>1354</v>
      </c>
      <c r="B53" s="3767" t="s">
        <v>2286</v>
      </c>
      <c r="C53" s="3768"/>
      <c r="D53" s="1084">
        <f ca="1">ROUND(D45*'数据-取费表'!B41/(1+'数据-取费表'!C42),0)</f>
        <v>218</v>
      </c>
      <c r="E53" s="3614" t="s">
        <v>1352</v>
      </c>
      <c r="F53" s="2549">
        <f>'数据-取费表'!B41</f>
        <v>5.6000000000000001E-2</v>
      </c>
      <c r="G53" s="2550"/>
      <c r="H53" s="2539"/>
      <c r="I53" s="1804"/>
      <c r="J53" s="3623">
        <v>2</v>
      </c>
      <c r="K53" s="3806" t="s">
        <v>1355</v>
      </c>
      <c r="L53" s="3806"/>
      <c r="M53" s="2520">
        <f t="shared" ref="M53:O54" ca="1" si="0">D55</f>
        <v>2</v>
      </c>
      <c r="N53" s="3623" t="str">
        <f t="shared" si="0"/>
        <v>销售额×税（费）率</v>
      </c>
      <c r="O53" s="2521" t="str">
        <f t="shared" si="0"/>
        <v>免征</v>
      </c>
    </row>
    <row r="54" spans="1:35" ht="12" hidden="1" customHeight="1">
      <c r="A54" s="3613" t="s">
        <v>1356</v>
      </c>
      <c r="B54" s="3767" t="s">
        <v>2287</v>
      </c>
      <c r="C54" s="3768"/>
      <c r="D54" s="1084">
        <f ca="1">C68</f>
        <v>218</v>
      </c>
      <c r="E54" s="327" t="s">
        <v>1357</v>
      </c>
      <c r="F54" s="2549">
        <f>'数据-取费表'!B41</f>
        <v>5.6000000000000001E-2</v>
      </c>
      <c r="G54" s="2550"/>
      <c r="H54" s="2551"/>
      <c r="I54" s="1804"/>
      <c r="J54" s="3623">
        <v>3</v>
      </c>
      <c r="K54" s="3806" t="s">
        <v>1358</v>
      </c>
      <c r="L54" s="3806"/>
      <c r="M54" s="2520">
        <f t="shared" ca="1" si="0"/>
        <v>2313</v>
      </c>
      <c r="N54" s="3623" t="str">
        <f t="shared" si="0"/>
        <v>增值额×税（费）率</v>
      </c>
      <c r="O54" s="2522" t="str">
        <f t="shared" si="0"/>
        <v>免征</v>
      </c>
    </row>
    <row r="55" spans="1:35" ht="24" hidden="1" customHeight="1">
      <c r="A55" s="3756" t="s">
        <v>1359</v>
      </c>
      <c r="B55" s="3757"/>
      <c r="C55" s="3757"/>
      <c r="D55" s="3625">
        <f ca="1">IF(H55="个人住宅",0,ROUND(D45*I55,0))</f>
        <v>2</v>
      </c>
      <c r="E55" s="3614" t="s">
        <v>1360</v>
      </c>
      <c r="F55" s="2549" t="str">
        <f>IF(H55="正常",I55,"免征")</f>
        <v>免征</v>
      </c>
      <c r="G55" s="2550"/>
      <c r="H55" s="2545"/>
      <c r="I55" s="165">
        <f>'数据-取费表'!B49</f>
        <v>5.0000000000000001E-4</v>
      </c>
      <c r="J55" s="3623">
        <f>IF(H59="非个人房产","",4)</f>
        <v>4</v>
      </c>
      <c r="K55" s="3806" t="str">
        <f>IF(H59="非个人房产","——","个人所得税")</f>
        <v>个人所得税</v>
      </c>
      <c r="L55" s="3806"/>
      <c r="M55" s="2523">
        <f ca="1">D59</f>
        <v>39</v>
      </c>
      <c r="N55" s="3624" t="str">
        <f>E59</f>
        <v>差额计税</v>
      </c>
      <c r="O55" s="2524">
        <f>F59</f>
        <v>0.01</v>
      </c>
    </row>
    <row r="56" spans="1:35" ht="24.75" hidden="1">
      <c r="A56" s="3756" t="s">
        <v>1361</v>
      </c>
      <c r="B56" s="3757"/>
      <c r="C56" s="3757"/>
      <c r="D56" s="3625">
        <f ca="1">IF(H56="个人住宅",D57,D58)</f>
        <v>2313</v>
      </c>
      <c r="E56" s="3614" t="s">
        <v>1362</v>
      </c>
      <c r="F56" s="2549" t="str">
        <f>IF(H56="正常",F58,"免征")</f>
        <v>免征</v>
      </c>
      <c r="G56" s="2552" t="s">
        <v>1363</v>
      </c>
      <c r="H56" s="2553"/>
      <c r="I56" s="1805"/>
      <c r="J56" s="3623" t="str">
        <f>IF(项目基本情况!K6="上海银行",IF(J55="",4,J55+1),"")</f>
        <v/>
      </c>
      <c r="K56" s="3829" t="str">
        <f>IF(项目基本情况!K6="上海银行","其他处置费用","")</f>
        <v/>
      </c>
      <c r="L56" s="3830"/>
      <c r="M56" s="2520" t="str">
        <f>IF(项目基本情况!K6="上海银行",M69,"")</f>
        <v/>
      </c>
      <c r="N56" s="3829" t="str">
        <f>IF(项目基本情况!K6="上海银行","包含处置中涉及的律师、诉讼、拍卖、评估等费用","")</f>
        <v/>
      </c>
      <c r="O56" s="3832"/>
    </row>
    <row r="57" spans="1:35" ht="12.75" hidden="1">
      <c r="A57" s="3613" t="s">
        <v>1339</v>
      </c>
      <c r="B57" s="3767" t="s">
        <v>1364</v>
      </c>
      <c r="C57" s="3768"/>
      <c r="D57" s="1587">
        <v>0</v>
      </c>
      <c r="E57" s="324" t="s">
        <v>1341</v>
      </c>
      <c r="F57" s="302"/>
      <c r="G57" s="2550"/>
      <c r="H57" s="2554"/>
      <c r="I57" s="1805"/>
      <c r="J57" s="3806">
        <f>IF(AND(J55="",J56=""),4,IF(项目基本情况!K6="上海银行",'结果表-负3层'!J56+1,'结果表-负3层'!J55+1))</f>
        <v>5</v>
      </c>
      <c r="K57" s="3806" t="s">
        <v>1365</v>
      </c>
      <c r="L57" s="2525" t="s">
        <v>1366</v>
      </c>
      <c r="M57" s="2526"/>
      <c r="N57" s="2527">
        <f ca="1">SUMIF(M52:M56,"&lt;9e307")</f>
        <v>2354</v>
      </c>
      <c r="O57" s="2528"/>
      <c r="P57" s="2685">
        <f ca="1">N57/M49</f>
        <v>0.57611355849241308</v>
      </c>
    </row>
    <row r="58" spans="1:35" ht="24.75" hidden="1">
      <c r="A58" s="3613" t="s">
        <v>1350</v>
      </c>
      <c r="B58" s="3767" t="s">
        <v>1367</v>
      </c>
      <c r="C58" s="3741"/>
      <c r="D58" s="3625">
        <f ca="1">IF(H58="转让取得",C81,C97)</f>
        <v>2313</v>
      </c>
      <c r="E58" s="3614" t="s">
        <v>1362</v>
      </c>
      <c r="F58" s="302" t="s">
        <v>28</v>
      </c>
      <c r="G58" s="2550"/>
      <c r="H58" s="2553"/>
      <c r="I58" s="1805"/>
      <c r="J58" s="3806"/>
      <c r="K58" s="3806"/>
      <c r="L58" s="2525" t="s">
        <v>1368</v>
      </c>
      <c r="M58" s="2529"/>
      <c r="N58" s="2530" t="str">
        <f ca="1">NUMBERSTRING(INT(N57*10000),2)&amp;"元整"</f>
        <v>贰仟叁佰伍拾肆万元整</v>
      </c>
      <c r="O58" s="2531"/>
    </row>
    <row r="59" spans="1:35" ht="24.75" hidden="1" thickBot="1">
      <c r="A59" s="3809" t="s">
        <v>1369</v>
      </c>
      <c r="B59" s="3810"/>
      <c r="C59" s="3810"/>
      <c r="D59" s="2555">
        <f ca="1">IF(H59="非个人房产","——",IF(H59="个人住宅（满五唯一有凭证）",0,IF(H59="个人其他（无凭证）",ROUND(D45*F59,0),ROUND(C67*F59,0))))</f>
        <v>39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1"/>
      <c r="I59" s="2310" t="s">
        <v>2132</v>
      </c>
      <c r="J59" s="3807">
        <f>J57+1</f>
        <v>6</v>
      </c>
      <c r="K59" s="3806" t="s">
        <v>1370</v>
      </c>
      <c r="L59" s="3623" t="s">
        <v>1366</v>
      </c>
      <c r="M59" s="2532"/>
      <c r="N59" s="2533">
        <f ca="1">M49-N57</f>
        <v>1732</v>
      </c>
      <c r="O59" s="2534"/>
    </row>
    <row r="60" spans="1:35" ht="12" hidden="1" customHeight="1">
      <c r="A60" s="1806"/>
      <c r="B60" s="1744"/>
      <c r="C60" s="1744"/>
      <c r="D60" s="1744"/>
      <c r="E60" s="1575"/>
      <c r="F60" s="1805"/>
      <c r="G60" s="1805"/>
      <c r="H60" s="1807"/>
      <c r="I60" s="129"/>
      <c r="J60" s="3808"/>
      <c r="K60" s="3806"/>
      <c r="L60" s="2525" t="s">
        <v>1368</v>
      </c>
      <c r="M60" s="2529"/>
      <c r="N60" s="2530" t="str">
        <f ca="1">NUMBERSTRING(INT(N59*10000),2)&amp;"元整"</f>
        <v>壹仟柒佰叁拾贰万元整</v>
      </c>
      <c r="O60" s="2531"/>
    </row>
    <row r="61" spans="1:35" ht="13.5" hidden="1" thickBot="1">
      <c r="A61" s="3754" t="s">
        <v>1371</v>
      </c>
      <c r="B61" s="3754"/>
      <c r="C61" s="3754"/>
      <c r="D61" s="3754"/>
      <c r="E61" s="3754"/>
      <c r="F61" s="1805"/>
      <c r="G61" s="1805"/>
      <c r="H61" s="1807"/>
      <c r="I61" s="129"/>
      <c r="J61" s="3623">
        <f>J59+1</f>
        <v>7</v>
      </c>
      <c r="K61" s="3806" t="s">
        <v>1372</v>
      </c>
      <c r="L61" s="3806"/>
      <c r="M61" s="2535"/>
      <c r="N61" s="2536">
        <f ca="1">ROUND(N59*10000/'数据-汇总表'!E3,0)</f>
        <v>2897</v>
      </c>
      <c r="O61" s="2537"/>
    </row>
    <row r="62" spans="1:35" ht="12.75" hidden="1">
      <c r="A62" s="3772" t="s">
        <v>1373</v>
      </c>
      <c r="B62" s="3773"/>
      <c r="C62" s="3617"/>
      <c r="D62" s="3617" t="s">
        <v>1374</v>
      </c>
      <c r="E62" s="166" t="s">
        <v>1375</v>
      </c>
      <c r="F62" s="1805"/>
      <c r="G62" s="1805"/>
      <c r="H62" s="1807"/>
      <c r="I62" s="129"/>
    </row>
    <row r="63" spans="1:35" ht="12.75" hidden="1">
      <c r="A63" s="173" t="s">
        <v>330</v>
      </c>
      <c r="B63" s="167" t="s">
        <v>1376</v>
      </c>
      <c r="C63" s="2559">
        <f ca="1">ROUND((C64+C65)/(1+'数据-取费表'!C42),0)</f>
        <v>3891</v>
      </c>
      <c r="D63" s="167"/>
      <c r="E63" s="168"/>
      <c r="F63" s="1805"/>
      <c r="G63" s="1805"/>
      <c r="H63" s="1807"/>
      <c r="I63" s="129"/>
      <c r="J63" s="3831" t="s">
        <v>1377</v>
      </c>
      <c r="K63" s="3626" t="s">
        <v>1378</v>
      </c>
      <c r="L63" s="3626">
        <f ca="1">IF(M49&gt;10000,M49*0.5%,IF(AND(M49&gt;1000,M49&lt;=10000),M49*1%,IF(AND(M49&gt;100,M49&lt;=1000),M49*3%,IF(AND(M49&gt;10,M49&lt;=100),M49*5%,M49*8%))))</f>
        <v>40.86</v>
      </c>
      <c r="M63" s="302">
        <f ca="1">ROUND(L63,1)</f>
        <v>40.9</v>
      </c>
      <c r="N63" s="2538"/>
      <c r="Z63" s="1749"/>
      <c r="AI63" s="1750"/>
    </row>
    <row r="64" spans="1:35" ht="14.25" hidden="1" customHeight="1">
      <c r="A64" s="169" t="s">
        <v>325</v>
      </c>
      <c r="B64" s="170" t="s">
        <v>1379</v>
      </c>
      <c r="C64" s="2560">
        <f ca="1">D45</f>
        <v>4086</v>
      </c>
      <c r="D64" s="170" t="s">
        <v>26</v>
      </c>
      <c r="E64" s="172"/>
      <c r="F64" s="1805"/>
      <c r="G64" s="1805"/>
      <c r="H64" s="1807"/>
      <c r="I64" s="129"/>
      <c r="J64" s="3831"/>
      <c r="K64" s="3626" t="s">
        <v>1380</v>
      </c>
      <c r="L64" s="3626">
        <f ca="1">IF(M49&gt;2000,M49*0.5%,IF(AND(M49&gt;1000,M49&lt;=2000),M49*0.6%,IF(AND(M49&gt;500,M49&lt;=1000),M49*0.7%,IF(AND(M49&gt;200,M49&lt;=500),M49*0.8%,IF(AND(M49&gt;100,M49&lt;=200),M49*0.9%,IF(AND(M49&gt;50,M49&lt;=100),M49*1%,IF(AND(M49&gt;20,M49&lt;=50),M49*1.5%,IF(AND(M49&gt;10,M49&lt;=20),M49*2%,IF(AND(M49&gt;1,M49&lt;=10),M49*2.5%)))))))))</f>
        <v>20.43</v>
      </c>
      <c r="M64" s="302">
        <f t="shared" ref="M64:M65" ca="1" si="1">ROUND(L64,1)</f>
        <v>20.399999999999999</v>
      </c>
      <c r="N64" s="2539" t="s">
        <v>1381</v>
      </c>
      <c r="Z64" s="1749"/>
      <c r="AI64" s="1750"/>
    </row>
    <row r="65" spans="1:35" ht="14.25" hidden="1" customHeight="1">
      <c r="A65" s="169" t="s">
        <v>326</v>
      </c>
      <c r="B65" s="170" t="s">
        <v>1382</v>
      </c>
      <c r="C65" s="2561"/>
      <c r="D65" s="170"/>
      <c r="E65" s="172"/>
      <c r="F65" s="1805"/>
      <c r="G65" s="1805"/>
      <c r="H65" s="1807"/>
      <c r="I65" s="129"/>
      <c r="J65" s="3831"/>
      <c r="K65" s="3626" t="s">
        <v>1383</v>
      </c>
      <c r="L65" s="3626">
        <f ca="1">IF(M49&gt;1000,M49*0.1%,IF(AND(M49&gt;500,M49&lt;=1000),M49*0.5%,IF(AND(M49&gt;50,M49&lt;=500),M49*1%,IF(AND(M49&gt;1,M49&lt;=50),M49*1.5%))))</f>
        <v>4.0860000000000003</v>
      </c>
      <c r="M65" s="302">
        <f t="shared" ca="1" si="1"/>
        <v>4.0999999999999996</v>
      </c>
      <c r="N65" s="2539" t="s">
        <v>1381</v>
      </c>
      <c r="Z65" s="1749"/>
      <c r="AI65" s="1750"/>
    </row>
    <row r="66" spans="1:35" ht="14.25" hidden="1" customHeight="1">
      <c r="A66" s="173" t="s">
        <v>327</v>
      </c>
      <c r="B66" s="174" t="s">
        <v>1384</v>
      </c>
      <c r="C66" s="2562"/>
      <c r="D66" s="174" t="s">
        <v>26</v>
      </c>
      <c r="E66" s="1335" t="s">
        <v>669</v>
      </c>
      <c r="F66" s="1805"/>
      <c r="G66" s="1805"/>
      <c r="H66" s="1807"/>
      <c r="I66" s="129"/>
      <c r="J66" s="3831"/>
      <c r="K66" s="3626" t="s">
        <v>1385</v>
      </c>
      <c r="L66" s="3626">
        <f ca="1">M49*0.5%</f>
        <v>20.43</v>
      </c>
      <c r="M66" s="302">
        <f ca="1">IF(L66&gt;0.5,0.5,ROUND(L66,0))</f>
        <v>0.5</v>
      </c>
      <c r="N66" s="2539" t="s">
        <v>1386</v>
      </c>
      <c r="Z66" s="1749"/>
      <c r="AI66" s="1750"/>
    </row>
    <row r="67" spans="1:35" ht="14.25" hidden="1" customHeight="1">
      <c r="A67" s="173" t="s">
        <v>328</v>
      </c>
      <c r="B67" s="174" t="s">
        <v>1387</v>
      </c>
      <c r="C67" s="2563">
        <f ca="1">C63-C66</f>
        <v>3891</v>
      </c>
      <c r="D67" s="170" t="s">
        <v>26</v>
      </c>
      <c r="E67" s="172"/>
      <c r="F67" s="1805"/>
      <c r="G67" s="1805"/>
      <c r="H67" s="1807"/>
      <c r="I67" s="129"/>
      <c r="J67" s="3831"/>
      <c r="K67" s="3626" t="s">
        <v>1388</v>
      </c>
      <c r="L67" s="3626">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49"/>
      <c r="AI67" s="1750"/>
    </row>
    <row r="68" spans="1:35" ht="14.25" hidden="1" customHeight="1" thickBot="1">
      <c r="A68" s="176" t="s">
        <v>329</v>
      </c>
      <c r="B68" s="177" t="s">
        <v>1389</v>
      </c>
      <c r="C68" s="2564">
        <f ca="1">IF(C67&lt;=0,0,ROUND(C67*D68,0))</f>
        <v>218</v>
      </c>
      <c r="D68" s="2565">
        <f>'数据-取费表'!B41</f>
        <v>5.6000000000000001E-2</v>
      </c>
      <c r="E68" s="178"/>
      <c r="F68" s="1805"/>
      <c r="G68" s="1805"/>
      <c r="H68" s="1807"/>
      <c r="I68" s="129"/>
      <c r="J68" s="3831"/>
      <c r="K68" s="3626" t="s">
        <v>1390</v>
      </c>
      <c r="L68" s="3626">
        <f ca="1">IF(M49&gt;10000,M49*0.5%,IF(AND(M49&gt;5000,M49&lt;=10000),M49*1%,IF(AND(M49&gt;1000,M49&lt;=5000),M49*2%,IF(AND(M49&gt;200,M49&lt;=1000),M49*3%,M49*5%))))</f>
        <v>81.72</v>
      </c>
      <c r="M68" s="302">
        <f ca="1">ROUND(L68,1)</f>
        <v>81.7</v>
      </c>
      <c r="N68" s="2538"/>
      <c r="Z68" s="1749"/>
      <c r="AI68" s="1750"/>
    </row>
    <row r="69" spans="1:35" s="1769" customFormat="1" ht="16.5" hidden="1" customHeight="1">
      <c r="A69" s="1808"/>
      <c r="B69" s="1809"/>
      <c r="C69" s="1810"/>
      <c r="D69" s="1811"/>
      <c r="E69" s="1812"/>
      <c r="F69" s="1575"/>
      <c r="G69" s="1575"/>
      <c r="H69" s="1574"/>
      <c r="I69" s="1744"/>
      <c r="J69" s="3831"/>
      <c r="K69" s="3626" t="s">
        <v>1391</v>
      </c>
      <c r="L69" s="3626"/>
      <c r="M69" s="302">
        <f ca="1">ROUND(SUM(M63:M68),0)</f>
        <v>150</v>
      </c>
      <c r="N69" s="2540">
        <f ca="1">M69/M49</f>
        <v>3.6710719530102791E-2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793" t="s">
        <v>1392</v>
      </c>
      <c r="B70" s="3794"/>
      <c r="C70" s="3794"/>
      <c r="D70" s="3794"/>
      <c r="E70" s="3794"/>
      <c r="F70" s="3794"/>
      <c r="G70" s="3794"/>
      <c r="H70" s="379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772" t="s">
        <v>1373</v>
      </c>
      <c r="B71" s="3773"/>
      <c r="C71" s="3617"/>
      <c r="D71" s="3617"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63">
        <f ca="1">ROUND(D45/(1+'数据-取费表'!C42),0)</f>
        <v>3891</v>
      </c>
      <c r="D72" s="170" t="s">
        <v>26</v>
      </c>
      <c r="E72" s="3616"/>
      <c r="F72" s="3609"/>
      <c r="G72" s="360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63">
        <f ca="1">C74+C78</f>
        <v>23</v>
      </c>
      <c r="D73" s="170" t="s">
        <v>26</v>
      </c>
      <c r="E73" s="3616"/>
      <c r="F73" s="3609"/>
      <c r="G73" s="360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3616"/>
      <c r="F74" s="3609"/>
      <c r="G74" s="360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9">
        <v>0.05</v>
      </c>
      <c r="E76" s="3767" t="s">
        <v>1400</v>
      </c>
      <c r="F76" s="3741"/>
      <c r="G76" s="3741"/>
      <c r="H76" s="379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3625" t="s">
        <v>1402</v>
      </c>
      <c r="F77" s="186"/>
      <c r="G77" s="1819"/>
      <c r="H77" s="3620"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71">
        <f ca="1">ROUND(D45*D78/(1+'数据-取费表'!C42),0)</f>
        <v>23</v>
      </c>
      <c r="D78" s="2572">
        <f>'数据-取费表'!B43</f>
        <v>6.000000000000001E-3</v>
      </c>
      <c r="E78" s="3751" t="s">
        <v>1404</v>
      </c>
      <c r="F78" s="3752"/>
      <c r="G78" s="3752"/>
      <c r="H78" s="376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328</v>
      </c>
      <c r="B79" s="174" t="s">
        <v>1405</v>
      </c>
      <c r="C79" s="2563">
        <f ca="1">C72-C73</f>
        <v>3868</v>
      </c>
      <c r="D79" s="170" t="s">
        <v>26</v>
      </c>
      <c r="E79" s="3616"/>
      <c r="F79" s="3609"/>
      <c r="G79" s="360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73">
        <f ca="1">IF(C79&lt;=0,0,C79/C73)</f>
        <v>168.17391304347825</v>
      </c>
      <c r="D80" s="170" t="s">
        <v>26</v>
      </c>
      <c r="E80" s="3625" t="str">
        <f ca="1">IF(C80&gt;=200%,"增值额超过扣除项目金额200%",IF(C80&gt;=100%,"增值额超过扣除项目金额100%，未超过200%",IF(C80&gt;=50%,"增值额超过扣除项目金额50%，未超过100%",IF(C80&lt;50%,"增值额未超过扣除项目金额50%"))))</f>
        <v>增值额超过扣除项目金额200%</v>
      </c>
      <c r="F80" s="3609"/>
      <c r="G80" s="360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4">
        <f ca="1">ROUND(IF(C79&lt;=0,0,IF(C80&gt;=200%,C79*60%-C73*35%,IF(C80&gt;=100%,C79*50%-C73*15%,IF(C80&gt;=50%,C79*40%-C73*5%,IF(C80&lt;50%,C79*30%,0))))),0)</f>
        <v>2313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793" t="s">
        <v>1408</v>
      </c>
      <c r="B83" s="3794"/>
      <c r="C83" s="3794"/>
      <c r="D83" s="3794"/>
      <c r="E83" s="3794"/>
      <c r="F83" s="3794"/>
      <c r="G83" s="3794"/>
      <c r="H83" s="379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772" t="s">
        <v>1373</v>
      </c>
      <c r="B84" s="3773"/>
      <c r="C84" s="3617"/>
      <c r="D84" s="36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63">
        <f ca="1">ROUND(D45/(1+'数据-取费表'!C42),0)</f>
        <v>3891</v>
      </c>
      <c r="D85" s="170" t="s">
        <v>26</v>
      </c>
      <c r="E85" s="3616"/>
      <c r="F85" s="3609"/>
      <c r="G85" s="360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63">
        <f ca="1">IF(H88="仅含出让金",C87+C90+C91+C92+C93+C94,C87+C91+C92+C93+C94)</f>
        <v>23</v>
      </c>
      <c r="D86" s="2576"/>
      <c r="E86" s="3616"/>
      <c r="F86" s="3609"/>
      <c r="G86" s="360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71">
        <f>C88+C89</f>
        <v>0</v>
      </c>
      <c r="D87" s="2572"/>
      <c r="E87" s="3610"/>
      <c r="F87" s="3611"/>
      <c r="G87" s="3611"/>
      <c r="H87" s="361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7"/>
      <c r="D88" s="2572"/>
      <c r="E88" s="193" t="s">
        <v>1411</v>
      </c>
      <c r="F88" s="3611"/>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71">
        <f>ROUND(C88*D89,0)</f>
        <v>0</v>
      </c>
      <c r="D89" s="2572">
        <f>'数据-取费表'!B48+'数据-取费表'!B49</f>
        <v>3.0499999999999999E-2</v>
      </c>
      <c r="E89" s="193" t="s">
        <v>1413</v>
      </c>
      <c r="F89" s="3611"/>
      <c r="G89" s="3611"/>
      <c r="H89" s="361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7"/>
      <c r="D90" s="2572"/>
      <c r="E90" s="193" t="str">
        <f>IF(H88="-","土地取得成本中已包含该笔费用"," ")</f>
        <v xml:space="preserve"> </v>
      </c>
      <c r="F90" s="3611"/>
      <c r="G90" s="3833" t="s">
        <v>2124</v>
      </c>
      <c r="H90" s="3834"/>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71">
        <f>IF(H91="——",'成本法-负2层'!C33,I91)</f>
        <v>0</v>
      </c>
      <c r="D91" s="2572"/>
      <c r="E91" s="3751" t="s">
        <v>1417</v>
      </c>
      <c r="F91" s="3752"/>
      <c r="G91" s="375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71">
        <f>ROUND((C87+C90+C91)*D92,0)</f>
        <v>0</v>
      </c>
      <c r="D92" s="2578"/>
      <c r="E92" s="3751" t="s">
        <v>1420</v>
      </c>
      <c r="F92" s="3752"/>
      <c r="G92" s="3752"/>
      <c r="H92" s="3761"/>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71">
        <f ca="1">ROUND(D45*D93/(1+'数据-取费表'!C42),0)</f>
        <v>23</v>
      </c>
      <c r="D93" s="2572">
        <f>'数据-取费表'!B43</f>
        <v>6.000000000000001E-3</v>
      </c>
      <c r="E93" s="3751" t="s">
        <v>1404</v>
      </c>
      <c r="F93" s="3752"/>
      <c r="G93" s="3752"/>
      <c r="H93" s="376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7">
        <f>ROUND((C87+C90+C91)*D94,0)</f>
        <v>0</v>
      </c>
      <c r="D94" s="2572">
        <v>0.2</v>
      </c>
      <c r="E94" s="3762" t="s">
        <v>1424</v>
      </c>
      <c r="F94" s="3763"/>
      <c r="G94" s="3763"/>
      <c r="H94" s="376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328</v>
      </c>
      <c r="B95" s="174" t="s">
        <v>1405</v>
      </c>
      <c r="C95" s="2563">
        <f ca="1">ROUND(C85-C86,0)</f>
        <v>3868</v>
      </c>
      <c r="D95" s="170" t="s">
        <v>26</v>
      </c>
      <c r="E95" s="3616"/>
      <c r="F95" s="3609"/>
      <c r="G95" s="360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73">
        <f ca="1">IF(C95&lt;=0,0,C95/C86)</f>
        <v>168.17391304347825</v>
      </c>
      <c r="D96" s="170" t="s">
        <v>26</v>
      </c>
      <c r="E96" s="3625" t="str">
        <f ca="1">IF(C96&gt;=200%,"增值额超过扣除项目金额200%",IF(C96&gt;=100%,"增值额超过扣除项目金额100%，未超过200%",IF(C96&gt;=50%,"增值额超过扣除项目金额50%，未超过100%",IF(C96&lt;50%,"增值额未超过扣除项目金额50%"))))</f>
        <v>增值额超过扣除项目金额200%</v>
      </c>
      <c r="F96" s="3609"/>
      <c r="G96" s="360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4">
        <f ca="1">ROUND(IF(C95&lt;=0,0,IF(C96&gt;=200%,C95*60%-C86*35%,IF(C96&gt;=100%,C95*50%-C86*15%,IF(C96&gt;=50%,C95*40%-C86*5%,IF(C96&lt;50%,C95*30%,0))))),0)</f>
        <v>2313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28" t="s">
        <v>1426</v>
      </c>
      <c r="B100" s="3729"/>
      <c r="C100" s="3729"/>
      <c r="D100" s="3753"/>
      <c r="E100" s="3729" t="s">
        <v>1427</v>
      </c>
      <c r="F100" s="3729"/>
      <c r="G100" s="3729"/>
      <c r="H100" s="3753"/>
      <c r="I100" s="129"/>
    </row>
    <row r="101" spans="1:35" ht="18.75" customHeight="1">
      <c r="A101" s="3814" t="s">
        <v>1428</v>
      </c>
      <c r="B101" s="3815"/>
      <c r="C101" s="2580" t="str">
        <f>C4</f>
        <v>成本法-负3层</v>
      </c>
      <c r="D101" s="2581" t="str">
        <f>D4</f>
        <v>收益法-负3层</v>
      </c>
      <c r="E101" s="3828" t="s">
        <v>1429</v>
      </c>
      <c r="F101" s="3785"/>
      <c r="G101" s="1824" t="s">
        <v>1430</v>
      </c>
      <c r="H101" s="2590">
        <f ca="1">H118</f>
        <v>4086</v>
      </c>
      <c r="I101" s="129"/>
    </row>
    <row r="102" spans="1:35" ht="18.75" customHeight="1">
      <c r="A102" s="3787" t="s">
        <v>1431</v>
      </c>
      <c r="B102" s="2579" t="s">
        <v>1430</v>
      </c>
      <c r="C102" s="2580">
        <f ca="1">IF(D32="楼面单价",ROUND(C19,0),C19)</f>
        <v>3934</v>
      </c>
      <c r="D102" s="2581">
        <f ca="1">IF(D32="楼面单价",ROUND(D19,0),D19)</f>
        <v>4238</v>
      </c>
      <c r="E102" s="3828"/>
      <c r="F102" s="3785"/>
      <c r="G102" s="1824" t="s">
        <v>1432</v>
      </c>
      <c r="H102" s="2550">
        <f ca="1">I118</f>
        <v>13066</v>
      </c>
      <c r="I102" s="129"/>
    </row>
    <row r="103" spans="1:35" ht="42.75" customHeight="1">
      <c r="A103" s="3787"/>
      <c r="B103" s="2579" t="s">
        <v>1432</v>
      </c>
      <c r="C103" s="2582">
        <f ca="1">C20</f>
        <v>12580</v>
      </c>
      <c r="D103" s="2583">
        <f ca="1">D20</f>
        <v>13552</v>
      </c>
      <c r="E103" s="3822" t="s">
        <v>1433</v>
      </c>
      <c r="F103" s="3823"/>
      <c r="G103" s="1825" t="s">
        <v>1434</v>
      </c>
      <c r="H103" s="2590">
        <f>IF(D36="正常操作",H104+H105+H106,H105+H106)</f>
        <v>0</v>
      </c>
      <c r="I103" s="129"/>
    </row>
    <row r="104" spans="1:35" ht="18.75" customHeight="1">
      <c r="A104" s="3787" t="s">
        <v>1435</v>
      </c>
      <c r="B104" s="2584" t="s">
        <v>1430</v>
      </c>
      <c r="C104" s="2585">
        <f ca="1">H118</f>
        <v>4086</v>
      </c>
      <c r="D104" s="2586"/>
      <c r="E104" s="1671" t="s">
        <v>1436</v>
      </c>
      <c r="F104" s="1663"/>
      <c r="G104" s="1825" t="s">
        <v>1434</v>
      </c>
      <c r="H104" s="2591">
        <f>IF(D36="同一抵押权人同一抵押物续贷",C36&amp;"（续贷，未扣减，详见特别提示）",C36)</f>
        <v>0</v>
      </c>
      <c r="I104" s="129"/>
    </row>
    <row r="105" spans="1:35" ht="18.75" customHeight="1" thickBot="1">
      <c r="A105" s="3788"/>
      <c r="B105" s="2587" t="s">
        <v>1432</v>
      </c>
      <c r="C105" s="2588">
        <f ca="1">I118</f>
        <v>13066</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784" t="str">
        <f>IF(项目基本情况!E8="已注销","——","3.房地产抵押价值")</f>
        <v>3.房地产抵押价值</v>
      </c>
      <c r="F107" s="3785"/>
      <c r="G107" s="1824" t="s">
        <v>1430</v>
      </c>
      <c r="H107" s="2590">
        <f ca="1">IF(E107="——","——",H101-H103)</f>
        <v>4086</v>
      </c>
      <c r="I107" s="129"/>
    </row>
    <row r="108" spans="1:35" ht="18.75" customHeight="1">
      <c r="A108" s="129"/>
      <c r="B108" s="129"/>
      <c r="C108" s="129"/>
      <c r="D108" s="129"/>
      <c r="E108" s="3784"/>
      <c r="F108" s="3785"/>
      <c r="G108" s="1824" t="s">
        <v>1432</v>
      </c>
      <c r="H108" s="2550">
        <f ca="1">IF(H107=H101,H102,ROUND(H107*10000/'数据-汇总表'!E3,0))</f>
        <v>13066</v>
      </c>
      <c r="I108" s="129"/>
    </row>
    <row r="109" spans="1:35" ht="18.75" customHeight="1">
      <c r="A109" s="129"/>
      <c r="B109" s="129"/>
      <c r="C109" s="129"/>
      <c r="D109" s="129"/>
      <c r="E109" s="3784" t="str">
        <f>IF(项目基本情况!E8="已注销及未注销","4.抵押担保权已注销时的房地产抵押价值",IF(项目基本情况!E8="已注销","3.抵押担保权已注销时的房地产抵押价值","——"))</f>
        <v>——</v>
      </c>
      <c r="F109" s="3785"/>
      <c r="G109" s="1824" t="s">
        <v>1430</v>
      </c>
      <c r="H109" s="2593" t="str">
        <f>IF(E109="——","——",H101-H105-H106)</f>
        <v>——</v>
      </c>
      <c r="I109" s="129"/>
    </row>
    <row r="110" spans="1:35" ht="18.75" customHeight="1">
      <c r="A110" s="129"/>
      <c r="B110" s="129"/>
      <c r="C110" s="129"/>
      <c r="D110" s="129"/>
      <c r="E110" s="3784"/>
      <c r="F110" s="3785"/>
      <c r="G110" s="1824" t="s">
        <v>1432</v>
      </c>
      <c r="H110" s="2550" t="str">
        <f>IF(H109="——","——",ROUND(H109*10000/'数据-汇总表'!E3,0))</f>
        <v>——</v>
      </c>
      <c r="I110" s="129"/>
    </row>
    <row r="111" spans="1:35" ht="18.75" customHeight="1">
      <c r="A111" s="129"/>
      <c r="B111" s="129"/>
      <c r="C111" s="129"/>
      <c r="D111" s="129"/>
      <c r="E111" s="3816" t="str">
        <f>IF(项目基本情况!E9="抵押净值",IF(OR(项目基本情况!E8="已注销",项目基本情况!E8="房地产抵押价值"),"4.抵押净值","5.抵押净值"),"——")</f>
        <v>——</v>
      </c>
      <c r="F111" s="3786"/>
      <c r="G111" s="1824" t="s">
        <v>1430</v>
      </c>
      <c r="H111" s="2590" t="str">
        <f>IF(E111="——","——",N59)</f>
        <v>——</v>
      </c>
      <c r="I111" s="129"/>
    </row>
    <row r="112" spans="1:35" ht="18.75" customHeight="1" thickBot="1">
      <c r="A112" s="129"/>
      <c r="B112" s="129"/>
      <c r="C112" s="129"/>
      <c r="D112" s="129"/>
      <c r="E112" s="3817"/>
      <c r="F112" s="3818"/>
      <c r="G112" s="1827" t="s">
        <v>1432</v>
      </c>
      <c r="H112" s="2594" t="str">
        <f>IF(E111="——","——",N61)</f>
        <v>——</v>
      </c>
      <c r="I112" s="129"/>
    </row>
    <row r="113" spans="1:27" ht="18.75" customHeight="1">
      <c r="A113" s="129"/>
      <c r="B113" s="129"/>
      <c r="C113" s="129"/>
      <c r="D113" s="129"/>
      <c r="E113" s="3789" t="s">
        <v>1438</v>
      </c>
      <c r="F113" s="3789"/>
      <c r="G113" s="3789"/>
      <c r="H113" s="3789"/>
      <c r="I113" s="129"/>
    </row>
    <row r="114" spans="1:27" ht="3.75" customHeight="1">
      <c r="A114" s="1744"/>
      <c r="B114" s="1744"/>
      <c r="C114" s="1744"/>
      <c r="D114" s="1744"/>
      <c r="E114" s="1806"/>
      <c r="F114" s="1806"/>
      <c r="G114" s="1806"/>
      <c r="H114" s="1806"/>
      <c r="I114" s="1744"/>
    </row>
    <row r="115" spans="1:27" ht="18.75" customHeight="1">
      <c r="A115" s="3799" t="s">
        <v>1440</v>
      </c>
      <c r="B115" s="3800"/>
      <c r="C115" s="3800"/>
      <c r="D115" s="3800"/>
      <c r="E115" s="3800"/>
      <c r="F115" s="3800"/>
      <c r="G115" s="3800"/>
      <c r="H115" s="3800"/>
      <c r="I115" s="3801"/>
    </row>
    <row r="116" spans="1:27" ht="27" customHeight="1">
      <c r="A116" s="3755" t="s">
        <v>1441</v>
      </c>
      <c r="B116" s="3790" t="s">
        <v>3685</v>
      </c>
      <c r="C116" s="3790" t="s">
        <v>3686</v>
      </c>
      <c r="D116" s="3803" t="s">
        <v>1442</v>
      </c>
      <c r="E116" s="3804"/>
      <c r="F116" s="3798" t="s">
        <v>3687</v>
      </c>
      <c r="G116" s="3798"/>
      <c r="H116" s="3755" t="s">
        <v>1443</v>
      </c>
      <c r="I116" s="3755"/>
    </row>
    <row r="117" spans="1:27" ht="18.75" customHeight="1">
      <c r="A117" s="3755"/>
      <c r="B117" s="3791"/>
      <c r="C117" s="3791"/>
      <c r="D117" s="3612" t="s">
        <v>1444</v>
      </c>
      <c r="E117" s="3612" t="s">
        <v>1445</v>
      </c>
      <c r="F117" s="3612" t="s">
        <v>1444</v>
      </c>
      <c r="G117" s="3612" t="s">
        <v>1446</v>
      </c>
      <c r="H117" s="3612" t="s">
        <v>1444</v>
      </c>
      <c r="I117" s="3612" t="s">
        <v>1446</v>
      </c>
    </row>
    <row r="118" spans="1:27" ht="24.75" customHeight="1">
      <c r="A118" s="2595" t="str">
        <f>项目基本情况!S2</f>
        <v>北京市朝阳区清林东路4号6号楼负2层B202、负3层B302商业用房房地产</v>
      </c>
      <c r="B118" s="3612">
        <f>M18</f>
        <v>3127.15</v>
      </c>
      <c r="C118" s="3612">
        <f>M19</f>
        <v>395.19</v>
      </c>
      <c r="D118" s="3612">
        <f ca="1">ROUND(IF(D32="总价",C34,E118*B118/10000),0)</f>
        <v>1843</v>
      </c>
      <c r="E118" s="3612">
        <f ca="1">ROUND(IF(C33="自定义",IF(D32="楼面单价",C34,D118*10000/B118),I118-G118),0)</f>
        <v>5893</v>
      </c>
      <c r="F118" s="3612">
        <f ca="1">ROUND(IF(D32="总价",C35,G118*B118/10000),0)</f>
        <v>2243</v>
      </c>
      <c r="G118" s="3612">
        <f ca="1">ROUND(IF(D32="楼面单价",C35,F118*10000/B118),0)</f>
        <v>7173</v>
      </c>
      <c r="H118" s="3612">
        <f ca="1">ROUND(IF(D32="总价",C32,I118*B118/10000),0)</f>
        <v>4086</v>
      </c>
      <c r="I118" s="3612">
        <f ca="1">ROUND(IF(D32="楼面单价",C32,H118*10000/B118),0)</f>
        <v>13066</v>
      </c>
    </row>
    <row r="119" spans="1:27" ht="18.75" customHeight="1">
      <c r="A119" s="3755" t="s">
        <v>1447</v>
      </c>
      <c r="B119" s="3755"/>
      <c r="C119" s="3755"/>
      <c r="D119" s="3795" t="str">
        <f ca="1">NUMBERSTRING(INT(D118*10000),2)&amp;"元整"</f>
        <v>壹仟捌佰肆拾叁万元整</v>
      </c>
      <c r="E119" s="3797"/>
      <c r="F119" s="3795" t="str">
        <f ca="1">NUMBERSTRING(INT(F118*10000),2)&amp;"元整"</f>
        <v>贰仟贰佰肆拾叁万元整</v>
      </c>
      <c r="G119" s="3797"/>
      <c r="H119" s="3795" t="str">
        <f ca="1">NUMBERSTRING(INT(H118*10000),2)&amp;"元整"</f>
        <v>肆仟零捌拾陆万元整</v>
      </c>
      <c r="I119" s="3797"/>
    </row>
    <row r="120" spans="1:27" ht="18.75" customHeight="1">
      <c r="A120" s="3819" t="str">
        <f>IF(项目基本情况!B9="房地产市场价值","",MID(E103,3,LEN(E103)-2))</f>
        <v>估价师知悉的法定优先受偿款</v>
      </c>
      <c r="B120" s="3820"/>
      <c r="C120" s="3821"/>
      <c r="D120" s="3819">
        <f>H103</f>
        <v>0</v>
      </c>
      <c r="E120" s="3820"/>
      <c r="F120" s="3820"/>
      <c r="G120" s="3820"/>
      <c r="H120" s="3820"/>
      <c r="I120" s="382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5" t="s">
        <v>1447</v>
      </c>
      <c r="B121" s="3796"/>
      <c r="C121" s="3797"/>
      <c r="D121" s="3795" t="str">
        <f>IF(D120=0,"零元整",NUMBERSTRING(INT(D120*10000),2)&amp;"元整")</f>
        <v>零元整</v>
      </c>
      <c r="E121" s="3796"/>
      <c r="F121" s="3796"/>
      <c r="G121" s="3796"/>
      <c r="H121" s="3796"/>
      <c r="I121" s="3797"/>
      <c r="AA121" s="725"/>
    </row>
    <row r="122" spans="1:27" ht="18.75" customHeight="1">
      <c r="A122" s="3786" t="str">
        <f>IF(项目基本情况!B9="房地产市场价值","",MID(E107,3,LEN(E107)-2))</f>
        <v>房地产抵押价值</v>
      </c>
      <c r="B122" s="3786"/>
      <c r="C122" s="3786"/>
      <c r="D122" s="3819">
        <f ca="1">H107</f>
        <v>4086</v>
      </c>
      <c r="E122" s="3820"/>
      <c r="F122" s="3820"/>
      <c r="G122" s="3820"/>
      <c r="H122" s="3820"/>
      <c r="I122" s="3821"/>
      <c r="AA122" s="725"/>
    </row>
    <row r="123" spans="1:27" ht="18.75" customHeight="1">
      <c r="A123" s="3755" t="s">
        <v>1447</v>
      </c>
      <c r="B123" s="3755"/>
      <c r="C123" s="3755"/>
      <c r="D123" s="3795" t="str">
        <f ca="1">NUMBERSTRING(INT(D122*10000),2)&amp;"元整"</f>
        <v>肆仟零捌拾陆万元整</v>
      </c>
      <c r="E123" s="3796"/>
      <c r="F123" s="3796"/>
      <c r="G123" s="3796"/>
      <c r="H123" s="3796"/>
      <c r="I123" s="3797"/>
      <c r="AA123" s="725"/>
    </row>
    <row r="124" spans="1:27" ht="18.75" customHeight="1">
      <c r="A124" s="3786" t="str">
        <f>IF(项目基本情况!B9="房地产市场价值","",MID(E109,3,LEN(E109)-2))</f>
        <v/>
      </c>
      <c r="B124" s="3786"/>
      <c r="C124" s="3786"/>
      <c r="D124" s="3819" t="str">
        <f>H109</f>
        <v>——</v>
      </c>
      <c r="E124" s="3820"/>
      <c r="F124" s="3820"/>
      <c r="G124" s="3820"/>
      <c r="H124" s="3820"/>
      <c r="I124" s="3821"/>
      <c r="AA124" s="725"/>
    </row>
    <row r="125" spans="1:27" ht="18.75" customHeight="1">
      <c r="A125" s="3755" t="s">
        <v>1447</v>
      </c>
      <c r="B125" s="3755"/>
      <c r="C125" s="3755"/>
      <c r="D125" s="3795" t="e">
        <f>NUMBERSTRING(INT(D124*10000),2)&amp;"元整"</f>
        <v>#VALUE!</v>
      </c>
      <c r="E125" s="3796"/>
      <c r="F125" s="3796"/>
      <c r="G125" s="3796"/>
      <c r="H125" s="3796"/>
      <c r="I125" s="3797"/>
      <c r="AA125" s="725"/>
    </row>
    <row r="126" spans="1:27" ht="18.75" customHeight="1">
      <c r="A126" s="3786" t="str">
        <f>IF(项目基本情况!B9="房地产市场价值","",MID(E111,3,LEN(E111)-2))</f>
        <v/>
      </c>
      <c r="B126" s="3786"/>
      <c r="C126" s="3786"/>
      <c r="D126" s="3819" t="str">
        <f>H111</f>
        <v>——</v>
      </c>
      <c r="E126" s="3820"/>
      <c r="F126" s="3820"/>
      <c r="G126" s="3820"/>
      <c r="H126" s="3820"/>
      <c r="I126" s="3821"/>
      <c r="AA126" s="725"/>
    </row>
    <row r="127" spans="1:27" ht="18.75" customHeight="1">
      <c r="A127" s="3755" t="s">
        <v>1447</v>
      </c>
      <c r="B127" s="3755"/>
      <c r="C127" s="3755"/>
      <c r="D127" s="3795" t="e">
        <f>NUMBERSTRING(INT(D126*10000),2)&amp;"元整"</f>
        <v>#VALUE!</v>
      </c>
      <c r="E127" s="3796"/>
      <c r="F127" s="3796"/>
      <c r="G127" s="3796"/>
      <c r="H127" s="3796"/>
      <c r="I127" s="3797"/>
      <c r="AA127" s="725"/>
    </row>
    <row r="128" spans="1:27" ht="21.75" customHeight="1">
      <c r="A128" s="3802" t="s">
        <v>1448</v>
      </c>
      <c r="B128" s="3802"/>
      <c r="C128" s="3802"/>
      <c r="D128" s="3802"/>
      <c r="E128" s="3802"/>
      <c r="F128" s="3802"/>
      <c r="G128" s="3802"/>
      <c r="H128" s="3802"/>
      <c r="I128" s="3802"/>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70" zoomScaleSheetLayoutView="100"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4230</v>
      </c>
      <c r="C1" s="198"/>
      <c r="D1" s="198"/>
      <c r="E1" s="198"/>
      <c r="F1" s="198"/>
      <c r="G1" s="1123">
        <f>MATCH(B1,'数据-取费表'!A6:A16,0)+5</f>
        <v>7</v>
      </c>
    </row>
    <row r="2" spans="1:9" s="200" customFormat="1" ht="18" customHeight="1">
      <c r="A2" s="201" t="s">
        <v>1457</v>
      </c>
      <c r="B2" s="202">
        <f ca="1">IF(D2="——",C52,C52-E2)</f>
        <v>3934</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f ca="1">ROUND(B2*10000/(IF(B1="",'数据-汇总表'!E3,INDIRECT("'数据-取费表'!k"&amp;$G$1))),0)</f>
        <v>12580</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f ca="1">C6+C7+C8</f>
        <v>1201</v>
      </c>
      <c r="D5" s="211" t="s">
        <v>1464</v>
      </c>
      <c r="E5" s="212" t="s">
        <v>1465</v>
      </c>
      <c r="F5" s="212" t="s">
        <v>1466</v>
      </c>
      <c r="G5" s="213"/>
    </row>
    <row r="6" spans="1:9" s="214" customFormat="1" ht="13.5" customHeight="1">
      <c r="A6" s="775" t="s">
        <v>346</v>
      </c>
      <c r="B6" s="215" t="s">
        <v>1468</v>
      </c>
      <c r="C6" s="216">
        <f>'基准地价修正-商业'!E39</f>
        <v>1104</v>
      </c>
      <c r="D6" s="217"/>
      <c r="E6" s="218"/>
      <c r="F6" s="218"/>
      <c r="G6" s="219"/>
    </row>
    <row r="7" spans="1:9" s="214" customFormat="1" ht="13.5" customHeight="1">
      <c r="A7" s="775" t="s">
        <v>347</v>
      </c>
      <c r="B7" s="215" t="s">
        <v>1470</v>
      </c>
      <c r="C7" s="220">
        <f>ROUND(C6*F7,0)</f>
        <v>34</v>
      </c>
      <c r="D7" s="220"/>
      <c r="E7" s="218"/>
      <c r="F7" s="221">
        <f>IF(项目基本情况!B8="出让",0,'数据-取费表'!B48+'数据-取费表'!B49)</f>
        <v>3.0499999999999999E-2</v>
      </c>
      <c r="G7" s="219"/>
    </row>
    <row r="8" spans="1:9" s="223" customFormat="1">
      <c r="A8" s="775" t="s">
        <v>348</v>
      </c>
      <c r="B8" s="215" t="s">
        <v>1472</v>
      </c>
      <c r="C8" s="220">
        <f ca="1">IF(G8="已包含在土地购买价格中","0",IF(B1="",'数据-取费表'!B29,IF(G9="全部缴纳",C9+C10,H9)))</f>
        <v>63</v>
      </c>
      <c r="D8" s="222"/>
      <c r="E8" s="220"/>
      <c r="F8" s="221"/>
      <c r="G8" s="1853" t="s">
        <v>3679</v>
      </c>
    </row>
    <row r="9" spans="1:9" s="214" customFormat="1" ht="13.5" customHeight="1">
      <c r="A9" s="776" t="s">
        <v>355</v>
      </c>
      <c r="B9" s="224" t="s">
        <v>1473</v>
      </c>
      <c r="C9" s="225">
        <f ca="1">ROUND(D9*E9/10000,0)</f>
        <v>0</v>
      </c>
      <c r="D9" s="842">
        <f ca="1">IF(B1="",'数据-汇总表'!E5,IF(INDIRECT("'数据-取费表'!c"&amp;$G$1)="住宅",INDIRECT("'数据-取费表'!k"&amp;$G$1),0))</f>
        <v>0</v>
      </c>
      <c r="E9" s="225">
        <f>'数据-取费表'!B27</f>
        <v>160</v>
      </c>
      <c r="F9" s="221"/>
      <c r="G9" s="1854" t="s">
        <v>3680</v>
      </c>
      <c r="H9" s="1134"/>
      <c r="I9" s="1855" t="s">
        <v>1474</v>
      </c>
    </row>
    <row r="10" spans="1:9" s="214" customFormat="1" ht="13.5" customHeight="1">
      <c r="A10" s="776" t="s">
        <v>356</v>
      </c>
      <c r="B10" s="224" t="s">
        <v>1475</v>
      </c>
      <c r="C10" s="225">
        <f ca="1">ROUND(D10*E10/10000,0)</f>
        <v>63</v>
      </c>
      <c r="D10" s="842">
        <f ca="1">IF(B1="",'数据-汇总表'!E6,IF(INDIRECT("'数据-取费表'!c"&amp;$G$1)="住宅",INDIRECT("'数据-取费表'!s"&amp;$G$1),INDIRECT("'数据-取费表'!k"&amp;$G$1)+INDIRECT("'数据-取费表'!s"&amp;$G$1)))</f>
        <v>3127.15</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1472</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1472</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f ca="1">D9+D10</f>
        <v>3127.15</v>
      </c>
      <c r="E19" s="211">
        <f>'数据-取费表'!B31</f>
        <v>200</v>
      </c>
      <c r="F19" s="231"/>
      <c r="G19" s="1853" t="s">
        <v>3681</v>
      </c>
    </row>
    <row r="20" spans="1:7" s="214" customFormat="1" ht="13.5" customHeight="1">
      <c r="A20" s="255" t="s">
        <v>1488</v>
      </c>
      <c r="B20" s="210" t="s">
        <v>1489</v>
      </c>
      <c r="C20" s="232">
        <f ca="1">ROUND((C5+C19)*F20,0)</f>
        <v>36</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f ca="1">ROUND(SUM(C23:C25),0)</f>
        <v>131</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346</v>
      </c>
      <c r="B23" s="215" t="s">
        <v>1498</v>
      </c>
      <c r="C23" s="1102">
        <f ca="1">ROUND(IF('数据-取费表'!B22&lt;=1,C5*F22*'数据-取费表'!B23,C5*(POWER((1+F22),'数据-取费表'!B23)-1)),0)</f>
        <v>129</v>
      </c>
      <c r="D23" s="238"/>
      <c r="E23" s="238"/>
      <c r="F23" s="239"/>
      <c r="G23" s="240" t="s">
        <v>1499</v>
      </c>
    </row>
    <row r="24" spans="1:7" s="214" customFormat="1" ht="13.5" customHeight="1">
      <c r="A24" s="777" t="s">
        <v>347</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f ca="1">ROUND(IF('数据-取费表'!B22&lt;=1,C20*F22*'数据-取费表'!B23/2,C20*(POWER((1+F22),'数据-取费表'!B23/2)-1)),0)</f>
        <v>2</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f ca="1">C28</f>
        <v>247</v>
      </c>
      <c r="D27" s="235">
        <f ca="1">C29</f>
        <v>6.0000000000000001E-3</v>
      </c>
      <c r="E27" s="236" t="s">
        <v>1493</v>
      </c>
      <c r="F27" s="246">
        <f ca="1">IF(B1="",'数据-取费表'!Q16,INDIRECT("'数据-取费表'!q"&amp;$G$1))</f>
        <v>0.2</v>
      </c>
      <c r="G27" s="247" t="s">
        <v>1510</v>
      </c>
    </row>
    <row r="28" spans="1:7" s="214" customFormat="1" ht="13.5" customHeight="1">
      <c r="A28" s="777" t="s">
        <v>346</v>
      </c>
      <c r="B28" s="248" t="s">
        <v>1511</v>
      </c>
      <c r="C28" s="249">
        <f ca="1">ROUND((C5+C19+C20)*F27*'数据-取费表'!B21/'数据-取费表'!B20,0)</f>
        <v>247</v>
      </c>
      <c r="D28" s="235"/>
      <c r="E28" s="236"/>
      <c r="F28" s="246"/>
      <c r="G28" s="247"/>
    </row>
    <row r="29" spans="1:7" s="214" customFormat="1" ht="13.5" customHeight="1">
      <c r="A29" s="777" t="s">
        <v>347</v>
      </c>
      <c r="B29" s="248" t="s">
        <v>1512</v>
      </c>
      <c r="C29" s="238">
        <f ca="1">ROUND(C21*F27*'数据-取费表'!B21/'数据-取费表'!B20,4)</f>
        <v>6.0000000000000001E-3</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f ca="1">ROUND((C5+C19+C20+C22+C27)/(1-C21-D22-D27-C30),0)</f>
        <v>1776</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1728</v>
      </c>
      <c r="D33" s="232"/>
      <c r="E33" s="212"/>
      <c r="F33" s="241"/>
      <c r="G33" s="234"/>
    </row>
    <row r="34" spans="1:7" s="258" customFormat="1" ht="13.5" customHeight="1">
      <c r="A34" s="777" t="s">
        <v>346</v>
      </c>
      <c r="B34" s="215" t="s">
        <v>1520</v>
      </c>
      <c r="C34" s="220">
        <f ca="1">IF(B1="",IF(F34=100%,'数据-取费表'!M16,'数据-取费表'!O16),IF(F34=100%,INDIRECT("'数据-取费表'!m"&amp;$G$1)+INDIRECT("'数据-取费表'!t"&amp;$G$1),INDIRECT("'数据-取费表'!o"&amp;$G$1)+INDIRECT("'数据-取费表'!aq"&amp;$G$1)))</f>
        <v>1564</v>
      </c>
      <c r="D34" s="217"/>
      <c r="E34" s="220"/>
      <c r="F34" s="257">
        <f ca="1">IF('数据-取费表'!B24=0,1,IF(B1="",'数据-取费表'!N16,INDIRECT("'数据-取费表'!n"&amp;$G$1)))</f>
        <v>1</v>
      </c>
      <c r="G34" s="219" t="s">
        <v>1521</v>
      </c>
    </row>
    <row r="35" spans="1:7" ht="13.5" customHeight="1">
      <c r="A35" s="777" t="s">
        <v>351</v>
      </c>
      <c r="B35" s="215" t="s">
        <v>1522</v>
      </c>
      <c r="C35" s="220">
        <f ca="1">ROUND(C34*F35,0)</f>
        <v>78</v>
      </c>
      <c r="D35" s="220"/>
      <c r="E35" s="220"/>
      <c r="F35" s="259">
        <f>'数据-取费表'!B33</f>
        <v>0.05</v>
      </c>
      <c r="G35" s="219" t="s">
        <v>1523</v>
      </c>
    </row>
    <row r="36" spans="1:7" ht="24">
      <c r="A36" s="777"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7" t="s">
        <v>353</v>
      </c>
      <c r="B37" s="215" t="s">
        <v>1526</v>
      </c>
      <c r="C37" s="249">
        <f ca="1">ROUND(E37*D37*F34/10000,0)</f>
        <v>63</v>
      </c>
      <c r="D37" s="217">
        <f ca="1">D19</f>
        <v>3127.15</v>
      </c>
      <c r="E37" s="249">
        <f>'数据-取费表'!B35</f>
        <v>200</v>
      </c>
      <c r="F37" s="259"/>
      <c r="G37" s="261" t="s">
        <v>1527</v>
      </c>
    </row>
    <row r="38" spans="1:7" ht="13.5" customHeight="1">
      <c r="A38" s="777" t="s">
        <v>354</v>
      </c>
      <c r="B38" s="215" t="s">
        <v>1528</v>
      </c>
      <c r="C38" s="220">
        <f ca="1">ROUND(C34*F38,0)</f>
        <v>23</v>
      </c>
      <c r="D38" s="220"/>
      <c r="E38" s="220"/>
      <c r="F38" s="259">
        <f>'数据-取费表'!B36</f>
        <v>1.4999999999999999E-2</v>
      </c>
      <c r="G38" s="219" t="s">
        <v>1523</v>
      </c>
    </row>
    <row r="39" spans="1:7" s="214" customFormat="1" ht="13.5" customHeight="1">
      <c r="A39" s="255" t="s">
        <v>1486</v>
      </c>
      <c r="B39" s="210" t="s">
        <v>1489</v>
      </c>
      <c r="C39" s="232">
        <f ca="1">ROUND(C33*F20,0)</f>
        <v>52</v>
      </c>
      <c r="D39" s="232"/>
      <c r="E39" s="232"/>
      <c r="F39" s="233">
        <f>F20</f>
        <v>0.03</v>
      </c>
      <c r="G39" s="234" t="s">
        <v>1531</v>
      </c>
    </row>
    <row r="40" spans="1:7" s="214" customFormat="1" ht="13.5" customHeight="1">
      <c r="A40" s="255" t="s">
        <v>1488</v>
      </c>
      <c r="B40" s="210" t="s">
        <v>1492</v>
      </c>
      <c r="C40" s="1324">
        <f>F21</f>
        <v>0.03</v>
      </c>
      <c r="D40" s="236" t="s">
        <v>1534</v>
      </c>
      <c r="E40" s="232"/>
      <c r="F40" s="233">
        <f>F21</f>
        <v>0.03</v>
      </c>
      <c r="G40" s="234" t="s">
        <v>1535</v>
      </c>
    </row>
    <row r="41" spans="1:7" s="214" customFormat="1" ht="13.5" customHeight="1">
      <c r="A41" s="255" t="s">
        <v>1491</v>
      </c>
      <c r="B41" s="210" t="s">
        <v>1496</v>
      </c>
      <c r="C41" s="232">
        <f ca="1">ROUND(SUM(C42:C43),0)</f>
        <v>93</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1498</v>
      </c>
      <c r="C42" s="238">
        <f ca="1">ROUND(IF('数据-取费表'!B22&lt;=1,C33*F22*'数据-取费表'!B21/2,C33*(POWER((1+F22),'数据-取费表'!B21/2)-1)),0)</f>
        <v>90</v>
      </c>
      <c r="D42" s="238"/>
      <c r="E42" s="238"/>
      <c r="F42" s="239"/>
      <c r="G42" s="3854" t="s">
        <v>1539</v>
      </c>
    </row>
    <row r="43" spans="1:7" ht="13.5" customHeight="1">
      <c r="A43" s="777" t="s">
        <v>347</v>
      </c>
      <c r="B43" s="215" t="s">
        <v>1501</v>
      </c>
      <c r="C43" s="238">
        <f ca="1">ROUND(IF('数据-取费表'!B22&lt;=1,C39*F22*'数据-取费表'!B21/2,C39*(POWER((1+F22),'数据-取费表'!B21/2)-1)),0)</f>
        <v>3</v>
      </c>
      <c r="D43" s="238"/>
      <c r="E43" s="238"/>
      <c r="F43" s="239"/>
      <c r="G43" s="3855"/>
    </row>
    <row r="44" spans="1:7" ht="13.5" customHeight="1">
      <c r="A44" s="777" t="s">
        <v>348</v>
      </c>
      <c r="B44" s="215" t="s">
        <v>1504</v>
      </c>
      <c r="C44" s="238">
        <f ca="1">ROUND(IF('数据-取费表'!B22&lt;=1,C40*F22*'数据-取费表'!B21/2,C40*(POWER((1+F22),'数据-取费表'!B21/2)-1)),4)</f>
        <v>1.6000000000000001E-3</v>
      </c>
      <c r="D44" s="238"/>
      <c r="E44" s="238"/>
      <c r="F44" s="239"/>
      <c r="G44" s="3856"/>
    </row>
    <row r="45" spans="1:7" s="214" customFormat="1" ht="13.5" customHeight="1">
      <c r="A45" s="255" t="s">
        <v>1495</v>
      </c>
      <c r="B45" s="244" t="s">
        <v>1508</v>
      </c>
      <c r="C45" s="245">
        <f ca="1">C46</f>
        <v>356</v>
      </c>
      <c r="D45" s="235">
        <f ca="1">C47</f>
        <v>6.0000000000000001E-3</v>
      </c>
      <c r="E45" s="236" t="s">
        <v>1534</v>
      </c>
      <c r="F45" s="246">
        <f ca="1">F27</f>
        <v>0.2</v>
      </c>
      <c r="G45" s="247" t="s">
        <v>1543</v>
      </c>
    </row>
    <row r="46" spans="1:7" s="214" customFormat="1" ht="13.5" customHeight="1">
      <c r="A46" s="777" t="s">
        <v>346</v>
      </c>
      <c r="B46" s="248" t="s">
        <v>1544</v>
      </c>
      <c r="C46" s="249">
        <f ca="1">ROUND((C33+C39)*F27,0)</f>
        <v>356</v>
      </c>
      <c r="D46" s="263"/>
      <c r="E46" s="236"/>
      <c r="F46" s="246"/>
      <c r="G46" s="247"/>
    </row>
    <row r="47" spans="1:7" s="214" customFormat="1" ht="13.5" customHeight="1">
      <c r="A47" s="777" t="s">
        <v>347</v>
      </c>
      <c r="B47" s="248" t="s">
        <v>1545</v>
      </c>
      <c r="C47" s="238">
        <f ca="1">ROUND(C40*F27,4)</f>
        <v>6.0000000000000001E-3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2452</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f ca="1">ROUND(C49*F50,0)</f>
        <v>2158</v>
      </c>
      <c r="D51" s="232"/>
      <c r="E51" s="232"/>
      <c r="F51" s="264"/>
      <c r="G51" s="234" t="s">
        <v>1555</v>
      </c>
    </row>
    <row r="52" spans="1:7" s="208" customFormat="1" ht="16.5" thickBot="1">
      <c r="A52" s="265" t="s">
        <v>1556</v>
      </c>
      <c r="B52" s="266"/>
      <c r="C52" s="267">
        <f ca="1">C31+C51</f>
        <v>3934</v>
      </c>
      <c r="D52" s="266"/>
      <c r="E52" s="266"/>
      <c r="F52" s="266"/>
      <c r="G52" s="268"/>
    </row>
    <row r="55" spans="1:7" ht="15">
      <c r="B55" s="270" t="s">
        <v>1557</v>
      </c>
      <c r="C55" s="271"/>
    </row>
    <row r="56" spans="1:7">
      <c r="B56" s="273" t="s">
        <v>800</v>
      </c>
      <c r="C56" s="275">
        <f ca="1">1-C57</f>
        <v>0.45099999999999996</v>
      </c>
    </row>
    <row r="57" spans="1:7">
      <c r="B57" s="273" t="s">
        <v>801</v>
      </c>
      <c r="C57" s="274">
        <f ca="1">ROUND(C51/C52,3)</f>
        <v>0.54900000000000004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4230</v>
      </c>
      <c r="D1" s="1359" t="s">
        <v>43</v>
      </c>
      <c r="E1" s="1360" t="s">
        <v>676</v>
      </c>
      <c r="F1" s="1059">
        <f ca="1">J53</f>
        <v>27.3</v>
      </c>
      <c r="G1" s="1375">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f ca="1">C40+J29+L46</f>
        <v>4238</v>
      </c>
      <c r="C2" s="1384" t="s">
        <v>803</v>
      </c>
      <c r="D2" s="1384"/>
      <c r="E2" s="1385"/>
      <c r="F2" s="1386"/>
      <c r="G2" s="2701"/>
      <c r="H2" s="2690"/>
      <c r="I2" s="2690"/>
      <c r="J2" s="2690"/>
      <c r="K2" s="2691"/>
      <c r="L2" s="2690"/>
      <c r="M2" s="2690"/>
    </row>
    <row r="3" spans="1:37" ht="18" customHeight="1" thickBot="1">
      <c r="A3" s="1387" t="s">
        <v>804</v>
      </c>
      <c r="B3" s="1388">
        <f ca="1">IF(ISERROR(B2*10000/F43),0,ROUND(B2*10000/F43,0))</f>
        <v>13552</v>
      </c>
      <c r="C3" s="1384" t="s">
        <v>805</v>
      </c>
      <c r="D3" s="1384"/>
      <c r="E3" s="1385"/>
      <c r="F3" s="1386"/>
      <c r="G3" s="2701"/>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f ca="1">C6+C10+C12</f>
        <v>308</v>
      </c>
      <c r="D5" s="1361" t="s">
        <v>691</v>
      </c>
      <c r="E5" s="1068"/>
      <c r="F5" s="1069"/>
      <c r="G5" s="1381"/>
      <c r="H5" s="299">
        <v>1</v>
      </c>
      <c r="I5" s="300" t="s">
        <v>690</v>
      </c>
      <c r="J5" s="1067">
        <f ca="1">J6+J10+J12</f>
        <v>0</v>
      </c>
      <c r="K5" s="1361" t="s">
        <v>691</v>
      </c>
      <c r="L5" s="1068"/>
      <c r="M5" s="1069"/>
    </row>
    <row r="6" spans="1:37" ht="18" customHeight="1">
      <c r="A6" s="1066" t="s">
        <v>398</v>
      </c>
      <c r="B6" s="3859" t="s">
        <v>692</v>
      </c>
      <c r="C6" s="1071">
        <f ca="1">ROUND(F6*F8*F7*(1-F9)/10000,0)</f>
        <v>308</v>
      </c>
      <c r="D6" s="155" t="s">
        <v>2104</v>
      </c>
      <c r="E6" s="302" t="s">
        <v>694</v>
      </c>
      <c r="F6" s="303">
        <f ca="1">INDIRECT("'数据-取费表'!u"&amp;$G$1)</f>
        <v>3</v>
      </c>
      <c r="G6" s="1381"/>
      <c r="H6" s="1066" t="s">
        <v>398</v>
      </c>
      <c r="I6" s="3859" t="s">
        <v>692</v>
      </c>
      <c r="J6" s="301">
        <f ca="1">ROUND(M6*M8*M7*(1-M9)/10000,0)</f>
        <v>0</v>
      </c>
      <c r="K6" s="155" t="s">
        <v>2103</v>
      </c>
      <c r="L6" s="302" t="s">
        <v>694</v>
      </c>
      <c r="M6" s="303">
        <f ca="1">INDIRECT("'数据-取费表'!z"&amp;$G$1)</f>
        <v>0</v>
      </c>
    </row>
    <row r="7" spans="1:37" ht="18" customHeight="1">
      <c r="A7" s="1070"/>
      <c r="B7" s="3860"/>
      <c r="C7" s="1072"/>
      <c r="D7" s="307"/>
      <c r="E7" s="3627" t="s">
        <v>695</v>
      </c>
      <c r="F7" s="303">
        <f ca="1">IF(INDIRECT("'数据-取费表'!ah"&amp;$G$1)="",INDIRECT("'数据-取费表'!k"&amp;$G$1),INDIRECT("'数据-取费表'!ah"&amp;$G$1))</f>
        <v>3127.15</v>
      </c>
      <c r="G7" s="1381"/>
      <c r="H7" s="304"/>
      <c r="I7" s="3860"/>
      <c r="J7" s="306"/>
      <c r="K7" s="307"/>
      <c r="L7" s="302" t="s">
        <v>695</v>
      </c>
      <c r="M7" s="303">
        <f ca="1">F7</f>
        <v>3127.15</v>
      </c>
    </row>
    <row r="8" spans="1:37" ht="18" customHeight="1">
      <c r="A8" s="304"/>
      <c r="B8" s="3860"/>
      <c r="C8" s="306"/>
      <c r="D8" s="307"/>
      <c r="E8" s="302" t="s">
        <v>696</v>
      </c>
      <c r="F8" s="303">
        <f ca="1">INDIRECT("'数据-取费表'!ai"&amp;$G$1)</f>
        <v>365</v>
      </c>
      <c r="G8" s="1381"/>
      <c r="H8" s="304"/>
      <c r="I8" s="3860"/>
      <c r="J8" s="306"/>
      <c r="K8" s="307"/>
      <c r="L8" s="302" t="s">
        <v>696</v>
      </c>
      <c r="M8" s="303">
        <f ca="1">INDIRECT("'数据-取费表'!ai"&amp;$G$1)</f>
        <v>365</v>
      </c>
    </row>
    <row r="9" spans="1:37" ht="18" customHeight="1">
      <c r="A9" s="304"/>
      <c r="B9" s="3861"/>
      <c r="C9" s="306"/>
      <c r="D9" s="307"/>
      <c r="E9" s="302" t="s">
        <v>697</v>
      </c>
      <c r="F9" s="312">
        <f ca="1">INDIRECT("'数据-取费表'!w"&amp;$G$1)</f>
        <v>0.1</v>
      </c>
      <c r="G9" s="1381"/>
      <c r="H9" s="304"/>
      <c r="I9" s="3861"/>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t="s">
        <v>3682</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2158</v>
      </c>
      <c r="D13" s="3606" t="s">
        <v>703</v>
      </c>
      <c r="E13" s="3606" t="s">
        <v>704</v>
      </c>
      <c r="F13" s="1079">
        <f ca="1">INDIRECT("'数据-取费表'!y"&amp;$G$1)</f>
        <v>0.88</v>
      </c>
      <c r="G13" s="1381"/>
      <c r="H13" s="1076">
        <v>2</v>
      </c>
      <c r="I13" s="1077" t="s">
        <v>702</v>
      </c>
      <c r="J13" s="1065">
        <f ca="1">ROUND(J14*J15,0)</f>
        <v>0</v>
      </c>
      <c r="K13" s="1084" t="s">
        <v>703</v>
      </c>
      <c r="L13" s="1389"/>
      <c r="M13" s="1390"/>
    </row>
    <row r="14" spans="1:37" ht="18" customHeight="1">
      <c r="A14" s="979" t="s">
        <v>397</v>
      </c>
      <c r="B14" s="302" t="s">
        <v>705</v>
      </c>
      <c r="C14" s="318">
        <f ca="1">INDIRECT("'数据-取费表'!m"&amp;$G$1)+INDIRECT("'数据-取费表'!t"&amp;$G$1)</f>
        <v>1564</v>
      </c>
      <c r="D14" s="3616" t="s">
        <v>706</v>
      </c>
      <c r="E14" s="3609"/>
      <c r="F14" s="319"/>
      <c r="G14" s="1381"/>
      <c r="H14" s="979" t="s">
        <v>398</v>
      </c>
      <c r="I14" s="302" t="s">
        <v>707</v>
      </c>
      <c r="J14" s="21">
        <f ca="1">C29</f>
        <v>2452</v>
      </c>
      <c r="K14" s="3625"/>
      <c r="L14" s="804"/>
      <c r="M14" s="805"/>
    </row>
    <row r="15" spans="1:37" s="1394" customFormat="1" ht="18" customHeight="1" thickBot="1">
      <c r="A15" s="979" t="s">
        <v>399</v>
      </c>
      <c r="B15" s="302" t="s">
        <v>708</v>
      </c>
      <c r="C15" s="21">
        <f ca="1">ROUND(C14*F15,0)</f>
        <v>78</v>
      </c>
      <c r="D15" s="3607" t="s">
        <v>709</v>
      </c>
      <c r="E15" s="3607"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ROUND(INDIRECT("'数据-取费表'!m"&amp;$G$1)*F16,0)</f>
        <v>0</v>
      </c>
      <c r="D16" s="302" t="s">
        <v>709</v>
      </c>
      <c r="E16" s="302" t="s">
        <v>710</v>
      </c>
      <c r="F16" s="322">
        <f ca="1">IF(INDIRECT("'数据-取费表'!c"&amp;$G$1)="住宅",'数据-取费表'!B34,0)</f>
        <v>0</v>
      </c>
      <c r="G16" s="1381"/>
      <c r="H16" s="1076" t="s">
        <v>393</v>
      </c>
      <c r="I16" s="1077" t="s">
        <v>712</v>
      </c>
      <c r="J16" s="310">
        <f ca="1">ROUND(J17+J22+J23+J24,0)</f>
        <v>12</v>
      </c>
      <c r="K16" s="1084" t="s">
        <v>713</v>
      </c>
      <c r="L16" s="3619"/>
      <c r="M16" s="1069"/>
    </row>
    <row r="17" spans="1:37" s="1394" customFormat="1" ht="18" customHeight="1">
      <c r="A17" s="979" t="s">
        <v>679</v>
      </c>
      <c r="B17" s="302" t="s">
        <v>714</v>
      </c>
      <c r="C17" s="21">
        <f ca="1">ROUND(F17*(F43+INDIRECT("'数据-取费表'!S"&amp;$G$1))/10000,0)</f>
        <v>63</v>
      </c>
      <c r="D17" s="302" t="s">
        <v>715</v>
      </c>
      <c r="E17" s="302" t="s">
        <v>716</v>
      </c>
      <c r="F17" s="23">
        <f>'数据-取费表'!B35</f>
        <v>200</v>
      </c>
      <c r="G17" s="1393"/>
      <c r="H17" s="979" t="s">
        <v>398</v>
      </c>
      <c r="I17" s="302" t="s">
        <v>717</v>
      </c>
      <c r="J17" s="2313">
        <f ca="1">ROUND(IF(AND(项目基本情况!B11="自然人",项目基本情况!B10="北京市"),J6*M17/(1+'数据-取费表'!C42),J18+J19+J20),2)</f>
        <v>0.12</v>
      </c>
      <c r="K17" s="3616" t="s">
        <v>718</v>
      </c>
      <c r="L17" s="3614"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23</v>
      </c>
      <c r="D18" s="302" t="s">
        <v>709</v>
      </c>
      <c r="E18" s="302" t="s">
        <v>710</v>
      </c>
      <c r="F18" s="322">
        <f>'数据-取费表'!B36</f>
        <v>1.4999999999999999E-2</v>
      </c>
      <c r="G18" s="1393"/>
      <c r="H18" s="979" t="s">
        <v>397</v>
      </c>
      <c r="I18" s="302" t="s">
        <v>721</v>
      </c>
      <c r="J18" s="21">
        <f ca="1">ROUND(J6*M18/(1+'数据-取费表'!C42),2)</f>
        <v>0</v>
      </c>
      <c r="K18" s="3614"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1728</v>
      </c>
      <c r="D19" s="131" t="s">
        <v>724</v>
      </c>
      <c r="E19" s="3629"/>
      <c r="F19" s="23"/>
      <c r="G19" s="1381"/>
      <c r="H19" s="979" t="s">
        <v>399</v>
      </c>
      <c r="I19" s="302" t="s">
        <v>725</v>
      </c>
      <c r="J19" s="21">
        <f ca="1">IF(K19="按租金收入计税",ROUND(J6*M19/(1+'数据-取费表'!C42),2),ROUND(C29*M19*0.7,2))</f>
        <v>0</v>
      </c>
      <c r="K19" s="1367" t="s">
        <v>3336</v>
      </c>
      <c r="L19" s="302" t="s">
        <v>710</v>
      </c>
      <c r="M19" s="322">
        <f>IF(K19="按租金收入计税",'数据-取费表'!B51,'数据-取费表'!B50)</f>
        <v>0.12</v>
      </c>
    </row>
    <row r="20" spans="1:37" s="1394" customFormat="1" ht="18" customHeight="1">
      <c r="A20" s="979" t="s">
        <v>402</v>
      </c>
      <c r="B20" s="302" t="s">
        <v>726</v>
      </c>
      <c r="C20" s="21">
        <f ca="1">ROUND(C19*F20,0)</f>
        <v>52</v>
      </c>
      <c r="D20" s="2423" t="s">
        <v>727</v>
      </c>
      <c r="E20" s="302" t="s">
        <v>710</v>
      </c>
      <c r="F20" s="322">
        <f>'数据-取费表'!B37</f>
        <v>0.03</v>
      </c>
      <c r="G20" s="1393"/>
      <c r="H20" s="979" t="s">
        <v>678</v>
      </c>
      <c r="I20" s="155" t="s">
        <v>728</v>
      </c>
      <c r="J20" s="22">
        <f ca="1">ROUND(M20*M21/10000,2)</f>
        <v>0.12</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2423" t="s">
        <v>732</v>
      </c>
      <c r="E21" s="302" t="s">
        <v>733</v>
      </c>
      <c r="F21" s="322">
        <f>'数据-取费表'!B38</f>
        <v>0.03</v>
      </c>
      <c r="G21" s="1393"/>
      <c r="H21" s="326"/>
      <c r="I21" s="311"/>
      <c r="J21" s="26"/>
      <c r="K21" s="327"/>
      <c r="L21" s="302" t="s">
        <v>734</v>
      </c>
      <c r="M21" s="303">
        <f ca="1">INDIRECT("'数据-取费表'!r"&amp;$G$1)</f>
        <v>395.19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629"/>
      <c r="F22" s="23"/>
      <c r="G22" s="1381"/>
      <c r="H22" s="979" t="s">
        <v>402</v>
      </c>
      <c r="I22" s="302" t="s">
        <v>736</v>
      </c>
      <c r="J22" s="21">
        <f ca="1">ROUND(J14*M22,2)</f>
        <v>12.26</v>
      </c>
      <c r="K22" s="3614" t="s">
        <v>737</v>
      </c>
      <c r="L22" s="302" t="s">
        <v>710</v>
      </c>
      <c r="M22" s="328">
        <f ca="1">INDIRECT("'数据-取费表'!Ak"&amp;$G$1)</f>
        <v>5.0000000000000001E-3</v>
      </c>
    </row>
    <row r="23" spans="1:37" s="1394" customFormat="1" ht="18" customHeight="1">
      <c r="A23" s="979" t="s">
        <v>397</v>
      </c>
      <c r="B23" s="302" t="s">
        <v>738</v>
      </c>
      <c r="C23" s="21">
        <f ca="1">IF('数据-取费表'!B22&lt;=1,ROUND(C19*F24*F23/2,0)+ROUND(C20*F24*F23/2,0),ROUND(C19*(POWER((1+F24),F23/2)-1),0)+ROUND(C20*(POWER((1+F24),F23/2)-1),0))</f>
        <v>93</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ROUND(J13*M23,2)</f>
        <v>0</v>
      </c>
      <c r="K23" s="3614" t="s">
        <v>741</v>
      </c>
      <c r="L23" s="302" t="s">
        <v>710</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f ca="1">ROUND(J5*M24,2)</f>
        <v>0</v>
      </c>
      <c r="K24" s="1089" t="s">
        <v>746</v>
      </c>
      <c r="L24" s="1087" t="s">
        <v>710</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629"/>
      <c r="F25" s="23"/>
      <c r="G25" s="1381"/>
      <c r="H25" s="1076" t="s">
        <v>394</v>
      </c>
      <c r="I25" s="1091" t="s">
        <v>750</v>
      </c>
      <c r="J25" s="310">
        <f ca="1">J5-J16</f>
        <v>-12</v>
      </c>
      <c r="K25" s="1092" t="s">
        <v>751</v>
      </c>
      <c r="L25" s="1093"/>
      <c r="M25" s="1094"/>
    </row>
    <row r="26" spans="1:37">
      <c r="A26" s="979" t="s">
        <v>397</v>
      </c>
      <c r="B26" s="302" t="s">
        <v>752</v>
      </c>
      <c r="C26" s="21">
        <f ca="1">ROUND((C19+C20)*F26,0)</f>
        <v>356</v>
      </c>
      <c r="D26" s="2423" t="s">
        <v>753</v>
      </c>
      <c r="E26" s="313" t="s">
        <v>754</v>
      </c>
      <c r="F26" s="312">
        <f ca="1">INDIRECT("'数据-取费表'!q"&amp;$G$1)</f>
        <v>0.2</v>
      </c>
      <c r="G26" s="1381"/>
      <c r="H26" s="299" t="s">
        <v>395</v>
      </c>
      <c r="I26" s="300" t="s">
        <v>755</v>
      </c>
      <c r="J26" s="301">
        <f ca="1">IF(J5&lt;&gt;0,ROUND(J25*(1-((1+M28)/(1+M26))^M27)/(M26-M28),0),0)</f>
        <v>0</v>
      </c>
      <c r="K26" s="324" t="s">
        <v>756</v>
      </c>
      <c r="L26" s="302" t="s">
        <v>757</v>
      </c>
      <c r="M26" s="312">
        <f ca="1">INDIRECT("'数据-取费表'!I"&amp;$G$1)</f>
        <v>5.5E-2</v>
      </c>
    </row>
    <row r="27" spans="1:37" ht="18" customHeight="1">
      <c r="A27" s="979" t="s">
        <v>399</v>
      </c>
      <c r="B27" s="302" t="s">
        <v>758</v>
      </c>
      <c r="C27" s="21">
        <f ca="1">ROUND(F21*F26,4)</f>
        <v>6.0000000000000001E-3</v>
      </c>
      <c r="D27" s="2423" t="s">
        <v>759</v>
      </c>
      <c r="E27" s="3607"/>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2452</v>
      </c>
      <c r="D29" s="1089"/>
      <c r="E29" s="1087"/>
      <c r="F29" s="1090"/>
      <c r="G29" s="1393"/>
      <c r="H29" s="334" t="s">
        <v>396</v>
      </c>
      <c r="I29" s="335" t="s">
        <v>766</v>
      </c>
      <c r="J29" s="336">
        <f ca="1">ROUND(J26/(1+F40)^F41,0)</f>
        <v>0</v>
      </c>
      <c r="K29" s="337" t="s">
        <v>767</v>
      </c>
      <c r="L29" s="338"/>
      <c r="M29" s="339">
        <f ca="1">INDIRECT("'数据-取费表'!k"&amp;$G$1)</f>
        <v>3127.15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69</v>
      </c>
      <c r="D30" s="1084" t="s">
        <v>713</v>
      </c>
      <c r="E30" s="3619"/>
      <c r="F30" s="1069"/>
      <c r="G30" s="1381"/>
      <c r="H30" s="2692"/>
      <c r="I30" s="1395"/>
      <c r="J30" s="1396"/>
      <c r="K30" s="2470"/>
      <c r="L30" s="2693"/>
      <c r="M30" s="2694"/>
    </row>
    <row r="31" spans="1:37" ht="18" customHeight="1">
      <c r="A31" s="979" t="s">
        <v>398</v>
      </c>
      <c r="B31" s="302" t="s">
        <v>717</v>
      </c>
      <c r="C31" s="2313">
        <f ca="1">ROUND(IF(AND(项目基本情况!B11="自然人",项目基本情况!B10="北京市"),C6*F31/(1+'数据-取费表'!C42),C32+C33+C34),2)</f>
        <v>51.75</v>
      </c>
      <c r="D31" s="3616" t="s">
        <v>718</v>
      </c>
      <c r="E31" s="3614" t="s">
        <v>768</v>
      </c>
      <c r="F31" s="2312" t="str">
        <f>IF(项目基本情况!B11="企业","——",IF(M47="住宅",IF(F6*F7*F8/12/(1+'数据-取费表'!F30)&gt;100000,4%,2.5%),IF(F6*F7*F8/12/(1+'数据-取费表'!F30)&gt;100000,12%,7%)))</f>
        <v>——</v>
      </c>
      <c r="G31" s="1381"/>
      <c r="H31" s="2803" t="s">
        <v>2305</v>
      </c>
      <c r="I31" s="1395"/>
      <c r="J31" s="1396"/>
      <c r="K31" s="2470"/>
      <c r="L31" s="2693"/>
      <c r="M31" s="2694"/>
    </row>
    <row r="32" spans="1:37" ht="18" customHeight="1">
      <c r="A32" s="979" t="s">
        <v>397</v>
      </c>
      <c r="B32" s="302" t="s">
        <v>721</v>
      </c>
      <c r="C32" s="21">
        <f ca="1">IF(项目基本情况!B11="自然人","——",ROUND(C6*F32/(1+'数据-取费表'!C42),2))</f>
        <v>16.43</v>
      </c>
      <c r="D32" s="3614" t="s">
        <v>722</v>
      </c>
      <c r="E32" s="302" t="s">
        <v>710</v>
      </c>
      <c r="F32" s="331">
        <f>'数据-取费表'!B41</f>
        <v>5.6000000000000001E-2</v>
      </c>
      <c r="G32" s="1381"/>
      <c r="H32" s="2692"/>
      <c r="I32" s="1395"/>
      <c r="J32" s="1396"/>
      <c r="K32" s="2470"/>
      <c r="L32" s="2693"/>
      <c r="M32" s="2694"/>
    </row>
    <row r="33" spans="1:18" ht="18" customHeight="1">
      <c r="A33" s="979" t="s">
        <v>399</v>
      </c>
      <c r="B33" s="302" t="s">
        <v>725</v>
      </c>
      <c r="C33" s="21">
        <f ca="1">IF(项目基本情况!B11="自然人","——",IF(D33="按租金收入计税",ROUND(C6*F33/(1+'数据-取费表'!C42),2),IF(D33="按房产原值计税",ROUND(C29*F33*0.7,2),INDIRECT("'数据-取费表'!Aj"&amp;$G$1))))</f>
        <v>35.200000000000003</v>
      </c>
      <c r="D33" s="1367" t="s">
        <v>3336</v>
      </c>
      <c r="E33" s="302" t="s">
        <v>710</v>
      </c>
      <c r="F33" s="322">
        <f>IF(D33="按票据","——",IF(D33="按租金收入计税",'数据-取费表'!B51,'数据-取费表'!B50))</f>
        <v>0.12</v>
      </c>
      <c r="G33" s="1381"/>
      <c r="H33" s="2695"/>
      <c r="I33" s="1395"/>
      <c r="J33" s="1396"/>
      <c r="K33" s="2696"/>
      <c r="L33" s="2695"/>
      <c r="M33" s="2695"/>
    </row>
    <row r="34" spans="1:18" ht="18" customHeight="1">
      <c r="A34" s="1066" t="s">
        <v>678</v>
      </c>
      <c r="B34" s="155" t="s">
        <v>728</v>
      </c>
      <c r="C34" s="22">
        <f ca="1">IF(项目基本情况!B11="自然人","——",ROUND(F34*F35/10000,2))</f>
        <v>0.12</v>
      </c>
      <c r="D34" s="324" t="s">
        <v>729</v>
      </c>
      <c r="E34" s="302" t="s">
        <v>730</v>
      </c>
      <c r="F34" s="325">
        <f>'数据-取费表'!B52</f>
        <v>3</v>
      </c>
      <c r="G34" s="1381"/>
      <c r="H34" s="2692"/>
      <c r="I34" s="1395"/>
      <c r="J34" s="1396"/>
      <c r="K34" s="2697"/>
      <c r="L34" s="2698"/>
      <c r="M34" s="2698"/>
    </row>
    <row r="35" spans="1:18" ht="18" customHeight="1">
      <c r="A35" s="1100"/>
      <c r="B35" s="1098"/>
      <c r="C35" s="26"/>
      <c r="D35" s="327"/>
      <c r="E35" s="302" t="s">
        <v>734</v>
      </c>
      <c r="F35" s="303">
        <f ca="1">INDIRECT("'数据-取费表'!r"&amp;$G$1)</f>
        <v>395.19</v>
      </c>
      <c r="G35" s="1381"/>
      <c r="H35" s="2692"/>
      <c r="I35" s="1395"/>
      <c r="J35" s="1396"/>
      <c r="K35" s="2696"/>
      <c r="L35" s="2695"/>
      <c r="M35" s="2695"/>
    </row>
    <row r="36" spans="1:18" ht="18" customHeight="1">
      <c r="A36" s="1099" t="s">
        <v>402</v>
      </c>
      <c r="B36" s="302" t="s">
        <v>736</v>
      </c>
      <c r="C36" s="21">
        <f ca="1">ROUND(C29*F36,2)</f>
        <v>12.26</v>
      </c>
      <c r="D36" s="3614" t="s">
        <v>769</v>
      </c>
      <c r="E36" s="302" t="s">
        <v>710</v>
      </c>
      <c r="F36" s="328">
        <f ca="1">INDIRECT("'数据-取费表'!Ak"&amp;$G$1)</f>
        <v>5.0000000000000001E-3</v>
      </c>
      <c r="G36" s="1381"/>
      <c r="H36" s="2695"/>
      <c r="I36" s="1395"/>
      <c r="J36" s="1396"/>
      <c r="K36" s="2539"/>
      <c r="L36" s="2695"/>
      <c r="M36" s="2695"/>
    </row>
    <row r="37" spans="1:18" ht="18" customHeight="1">
      <c r="A37" s="979" t="s">
        <v>437</v>
      </c>
      <c r="B37" s="302" t="s">
        <v>740</v>
      </c>
      <c r="C37" s="21">
        <f ca="1">ROUND(C13*F37,2)</f>
        <v>2.16</v>
      </c>
      <c r="D37" s="3614" t="s">
        <v>741</v>
      </c>
      <c r="E37" s="302" t="s">
        <v>710</v>
      </c>
      <c r="F37" s="330">
        <f ca="1">INDIRECT("'数据-取费表'!Al"&amp;$G$1)</f>
        <v>1E-3</v>
      </c>
      <c r="G37" s="1381"/>
      <c r="H37" s="2695"/>
      <c r="I37" s="1395"/>
      <c r="J37" s="1396"/>
      <c r="K37" s="2539"/>
      <c r="L37" s="2695"/>
      <c r="M37" s="2695"/>
    </row>
    <row r="38" spans="1:18" ht="18" customHeight="1" thickBot="1">
      <c r="A38" s="1086" t="s">
        <v>681</v>
      </c>
      <c r="B38" s="1087" t="s">
        <v>726</v>
      </c>
      <c r="C38" s="1088">
        <f ca="1">ROUND(C5*F38,2)</f>
        <v>3.08</v>
      </c>
      <c r="D38" s="1089" t="s">
        <v>746</v>
      </c>
      <c r="E38" s="1087" t="s">
        <v>710</v>
      </c>
      <c r="F38" s="1083">
        <f ca="1">INDIRECT("'数据-取费表'!Am"&amp;$G$1)</f>
        <v>0.01</v>
      </c>
      <c r="G38" s="1381"/>
      <c r="H38" s="2695"/>
      <c r="I38" s="1395"/>
      <c r="J38" s="1396"/>
      <c r="K38" s="2699"/>
      <c r="L38" s="2695"/>
      <c r="M38" s="2695"/>
    </row>
    <row r="39" spans="1:18" ht="24.6" customHeight="1" thickTop="1">
      <c r="A39" s="1076" t="s">
        <v>394</v>
      </c>
      <c r="B39" s="1091" t="s">
        <v>770</v>
      </c>
      <c r="C39" s="310">
        <f ca="1">C5-C30</f>
        <v>239</v>
      </c>
      <c r="D39" s="1092" t="s">
        <v>751</v>
      </c>
      <c r="E39" s="1093"/>
      <c r="F39" s="1094"/>
      <c r="G39" s="1381"/>
      <c r="H39" s="2695"/>
      <c r="I39" s="1395"/>
      <c r="J39" s="1396"/>
      <c r="K39" s="2699"/>
      <c r="L39" s="2695"/>
      <c r="M39" s="2695"/>
    </row>
    <row r="40" spans="1:18" ht="18" customHeight="1">
      <c r="A40" s="299" t="s">
        <v>395</v>
      </c>
      <c r="B40" s="300" t="s">
        <v>772</v>
      </c>
      <c r="C40" s="301">
        <f ca="1">ROUND(C39*(1-((1+F42)/(1+F40))^F41)/(F40-F42),0)</f>
        <v>4110</v>
      </c>
      <c r="D40" s="324" t="s">
        <v>756</v>
      </c>
      <c r="E40" s="302" t="s">
        <v>757</v>
      </c>
      <c r="F40" s="312">
        <f ca="1">INDIRECT("'数据-取费表'!I"&amp;$G$1)</f>
        <v>5.5E-2</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27.3</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13143</v>
      </c>
      <c r="D43" s="337" t="s">
        <v>775</v>
      </c>
      <c r="E43" s="338" t="s">
        <v>776</v>
      </c>
      <c r="F43" s="339">
        <f ca="1">INDIRECT("'数据-取费表'!k"&amp;$G$1)</f>
        <v>3127.15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806</v>
      </c>
      <c r="P45" s="1458"/>
      <c r="Q45" s="1458"/>
      <c r="R45" s="1458"/>
    </row>
    <row r="46" spans="1:18" s="1381" customFormat="1" ht="13.5" thickBot="1">
      <c r="A46" s="1401" t="s">
        <v>807</v>
      </c>
      <c r="C46" s="1402">
        <f ca="1">C68-C40</f>
        <v>-4306</v>
      </c>
      <c r="D46" s="1403" t="str">
        <f>C2</f>
        <v>万元</v>
      </c>
      <c r="E46" s="1397"/>
      <c r="F46" s="1397"/>
      <c r="I46" s="1404" t="s">
        <v>808</v>
      </c>
      <c r="J46" s="1405"/>
      <c r="K46" s="1406"/>
      <c r="L46" s="1407">
        <f ca="1">IF(M47="住宅",0,IF(L48&gt;J51,L60,J60))</f>
        <v>128</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f ca="1">INDIRECT("'数据-取费表'!d"&amp;$G$1)</f>
        <v>40</v>
      </c>
      <c r="M47" s="1377" t="str">
        <f>IF(ISNUMBER(FIND("住宅",C1)),"住宅","非住宅")</f>
        <v>非住宅</v>
      </c>
      <c r="O47" s="1415" t="s">
        <v>403</v>
      </c>
      <c r="P47" s="1416" t="s">
        <v>815</v>
      </c>
      <c r="Q47" s="1417">
        <f ca="1">C40+J29</f>
        <v>4110</v>
      </c>
      <c r="R47" s="1417" t="s">
        <v>816</v>
      </c>
    </row>
    <row r="48" spans="1:18" s="1381" customFormat="1" ht="28.5" thickBot="1">
      <c r="A48" s="1107" t="s">
        <v>438</v>
      </c>
      <c r="B48" s="300" t="s">
        <v>690</v>
      </c>
      <c r="C48" s="3628">
        <f ca="1">C49+C53+C55</f>
        <v>0</v>
      </c>
      <c r="D48" s="1109"/>
      <c r="E48" s="1110"/>
      <c r="F48" s="959"/>
      <c r="G48" s="722"/>
      <c r="H48" s="723"/>
      <c r="I48" s="1418" t="s">
        <v>817</v>
      </c>
      <c r="J48" s="1419" t="s">
        <v>3684</v>
      </c>
      <c r="K48" s="1420" t="s">
        <v>818</v>
      </c>
      <c r="L48" s="1421">
        <f ca="1">INDIRECT("'数据-取费表'!f"&amp;$G$1)</f>
        <v>27.3</v>
      </c>
      <c r="O48" s="1415" t="s">
        <v>404</v>
      </c>
      <c r="P48" s="1416" t="s">
        <v>819</v>
      </c>
      <c r="Q48" s="1417">
        <f ca="1">J60</f>
        <v>128</v>
      </c>
      <c r="R48" s="1417" t="s">
        <v>820</v>
      </c>
    </row>
    <row r="49" spans="1:18" s="1381" customFormat="1" ht="13.5" thickBot="1">
      <c r="A49" s="972" t="s">
        <v>439</v>
      </c>
      <c r="B49" s="1368" t="s">
        <v>777</v>
      </c>
      <c r="C49" s="1111">
        <f ca="1">ROUND(F49*F51*F50*(1-F52)/10000,0)</f>
        <v>0</v>
      </c>
      <c r="D49" s="1052" t="s">
        <v>2103</v>
      </c>
      <c r="E49" s="1369" t="s">
        <v>778</v>
      </c>
      <c r="F49" s="1057"/>
      <c r="G49" s="1422"/>
      <c r="H49" s="723"/>
      <c r="I49" s="1418" t="s">
        <v>821</v>
      </c>
      <c r="J49" s="1423">
        <f>'数据-取费表'!N19</f>
        <v>2016</v>
      </c>
      <c r="K49" s="1420" t="s">
        <v>822</v>
      </c>
      <c r="L49" s="1424"/>
      <c r="O49" s="1425" t="s">
        <v>405</v>
      </c>
      <c r="P49" s="1416" t="s">
        <v>823</v>
      </c>
      <c r="Q49" s="1417">
        <f ca="1">C29</f>
        <v>2452</v>
      </c>
      <c r="R49" s="1417" t="s">
        <v>816</v>
      </c>
    </row>
    <row r="50" spans="1:18" s="1381" customFormat="1" ht="13.5" thickBot="1">
      <c r="A50" s="973"/>
      <c r="B50" s="976"/>
      <c r="C50" s="1115"/>
      <c r="D50" s="950"/>
      <c r="E50" s="1053" t="s">
        <v>695</v>
      </c>
      <c r="F50" s="1054">
        <f ca="1">F7</f>
        <v>3127.15</v>
      </c>
      <c r="H50" s="723"/>
      <c r="I50" s="1418" t="s">
        <v>824</v>
      </c>
      <c r="J50" s="1426">
        <f>SUMPRODUCT((I63:I65=J47)*(J62:L62=J48)*(J63:L65))</f>
        <v>60</v>
      </c>
      <c r="K50" s="1420" t="s">
        <v>825</v>
      </c>
      <c r="L50" s="1424"/>
      <c r="M50" s="1427"/>
      <c r="O50" s="1425" t="s">
        <v>406</v>
      </c>
      <c r="P50" s="1416" t="s">
        <v>826</v>
      </c>
      <c r="Q50" s="1428">
        <f ca="1">J58</f>
        <v>0.42799999999999999</v>
      </c>
      <c r="R50" s="1417"/>
    </row>
    <row r="51" spans="1:18" s="1381" customFormat="1" ht="13.5" thickBot="1">
      <c r="A51" s="974"/>
      <c r="B51" s="976"/>
      <c r="C51" s="977"/>
      <c r="D51" s="950"/>
      <c r="E51" s="978" t="s">
        <v>696</v>
      </c>
      <c r="F51" s="303">
        <f ca="1">F8</f>
        <v>365</v>
      </c>
      <c r="I51" s="1429" t="s">
        <v>827</v>
      </c>
      <c r="J51" s="1430">
        <f>IF(J49="",J50,J49+J50-YEAR('数据-取费表'!B2))</f>
        <v>53</v>
      </c>
      <c r="K51" s="1431" t="s">
        <v>828</v>
      </c>
      <c r="L51" s="1432">
        <f ca="1">ROUND(-PV(INDIRECT("'数据-取费表'!h"&amp;$G$1),J51,(C39-C13*C76),0),0)</f>
        <v>1321</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f ca="1">J53</f>
        <v>27.3</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f ca="1">IF(M47="住宅",IF(D1="——",MAX(J51,L48),MAX(J51,L48-'数据-取费表'!B24)),IF(D1="——",MIN(J51,L48),MIN(J51,L48-'数据-取费表'!B24)))</f>
        <v>27.3</v>
      </c>
      <c r="K53" s="3857" t="s">
        <v>835</v>
      </c>
      <c r="L53" s="3858"/>
      <c r="O53" s="1415" t="s">
        <v>409</v>
      </c>
      <c r="P53" s="1416" t="s">
        <v>836</v>
      </c>
      <c r="Q53" s="1417">
        <f ca="1">Q47+Q48</f>
        <v>4238</v>
      </c>
      <c r="R53" s="1417" t="s">
        <v>410</v>
      </c>
    </row>
    <row r="54" spans="1:18" s="1381" customFormat="1" ht="13.5" thickBot="1">
      <c r="A54" s="1150"/>
      <c r="B54" s="1364" t="s">
        <v>677</v>
      </c>
      <c r="C54" s="956"/>
      <c r="D54" s="1363"/>
      <c r="E54" s="362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0" t="s">
        <v>437</v>
      </c>
      <c r="B55" s="1366" t="s">
        <v>701</v>
      </c>
      <c r="C55" s="1081"/>
      <c r="D55" s="1363"/>
      <c r="E55" s="3621"/>
      <c r="F55" s="1437"/>
      <c r="I55" s="1440" t="s">
        <v>838</v>
      </c>
      <c r="J55" s="1441">
        <f ca="1">ROUND(IF(J47="钢混",J57/J50,1-(1-2%)*(J50-J57)/J50),3)</f>
        <v>0.42799999999999999</v>
      </c>
      <c r="K55" s="1442" t="s">
        <v>839</v>
      </c>
      <c r="L55" s="1443"/>
      <c r="O55" s="1408" t="s">
        <v>809</v>
      </c>
      <c r="P55" s="1409" t="s">
        <v>810</v>
      </c>
      <c r="Q55" s="1410" t="s">
        <v>811</v>
      </c>
      <c r="R55" s="1410" t="s">
        <v>812</v>
      </c>
    </row>
    <row r="56" spans="1:18" s="1381" customFormat="1" ht="25.5" thickTop="1" thickBot="1">
      <c r="A56" s="954">
        <v>2</v>
      </c>
      <c r="B56" s="955" t="s">
        <v>702</v>
      </c>
      <c r="C56" s="232">
        <f ca="1">C13</f>
        <v>2158</v>
      </c>
      <c r="D56" s="1444"/>
      <c r="E56" s="1445"/>
      <c r="F56" s="1437"/>
      <c r="I56" s="1446" t="s">
        <v>840</v>
      </c>
      <c r="J56" s="1447" t="s">
        <v>3381</v>
      </c>
      <c r="K56" s="1418" t="s">
        <v>841</v>
      </c>
      <c r="L56" s="1421" t="str">
        <f ca="1">IF(L48&lt;J51,"——",L48-J53)</f>
        <v>——</v>
      </c>
      <c r="O56" s="1415" t="s">
        <v>403</v>
      </c>
      <c r="P56" s="1416" t="s">
        <v>815</v>
      </c>
      <c r="Q56" s="1417">
        <f ca="1">C40+J29</f>
        <v>4110</v>
      </c>
      <c r="R56" s="1417" t="s">
        <v>816</v>
      </c>
    </row>
    <row r="57" spans="1:18" s="1381" customFormat="1" ht="24.75" thickBot="1">
      <c r="A57" s="1448"/>
      <c r="B57" s="947" t="s">
        <v>765</v>
      </c>
      <c r="C57" s="238">
        <f ca="1">C29</f>
        <v>2452</v>
      </c>
      <c r="D57" s="1449"/>
      <c r="E57" s="1450"/>
      <c r="F57" s="1451"/>
      <c r="I57" s="1452" t="s">
        <v>842</v>
      </c>
      <c r="J57" s="1453">
        <f ca="1">IF(OR(M47="住宅",J51&lt;L48,J56="是"),"——",J51-L48)</f>
        <v>25.7</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5" t="s">
        <v>712</v>
      </c>
      <c r="C58" s="316">
        <f ca="1">ROUND(C59+C64+C65+C66,0)</f>
        <v>14</v>
      </c>
      <c r="D58" s="957" t="s">
        <v>713</v>
      </c>
      <c r="E58" s="958"/>
      <c r="F58" s="959"/>
      <c r="I58" s="1452" t="s">
        <v>846</v>
      </c>
      <c r="J58" s="1454">
        <f ca="1">IF(J55&lt;0.4,0.4,J55)</f>
        <v>0.42799999999999999</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f ca="1">IF(OR(M47="住宅",J51&lt;L48,J56="是"),"——",ROUND(C29*J58,0))</f>
        <v>1049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IF(项目基本情况!B11="自然人","——",ROUND(C48*F60/(1+'数据-取费表'!C42),2))</f>
        <v>0</v>
      </c>
      <c r="D60" s="961" t="s">
        <v>722</v>
      </c>
      <c r="E60" s="947" t="s">
        <v>710</v>
      </c>
      <c r="F60" s="331">
        <f t="shared" ref="F60:F66" si="0">F32</f>
        <v>5.6000000000000001E-2</v>
      </c>
      <c r="I60" s="1455" t="s">
        <v>851</v>
      </c>
      <c r="J60" s="1456">
        <f ca="1">IF(OR(M47="住宅",J51&lt;L48,J56="是"),"0",ROUND(J59/(1+J52)^J53,0))</f>
        <v>128</v>
      </c>
      <c r="K60" s="1457" t="s">
        <v>852</v>
      </c>
      <c r="L60" s="1456">
        <f ca="1">IF(OR(M47="住宅",L48&lt;J51),0,ROUND(L57*(L58/L59-1),0))</f>
        <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IF(项目基本情况!B11="自然人","——",IF(D61="按租金收入计税",ROUND(C49*F61/(1+'数据-取费表'!C42),2),IF(D61="按房产原值计税",ROUND(C57*F61*0.7,2),INDIRECT("'数据-取费表'!Aj"&amp;$G$1))))</f>
        <v>0</v>
      </c>
      <c r="D61" s="1367" t="s">
        <v>3336</v>
      </c>
      <c r="E61" s="947" t="s">
        <v>710</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IF(项目基本情况!B11="自然人","——",ROUND(F62*F63/10000,2))</f>
        <v>0.12</v>
      </c>
      <c r="D62" s="962" t="s">
        <v>729</v>
      </c>
      <c r="E62" s="947" t="s">
        <v>785</v>
      </c>
      <c r="F62" s="325">
        <f t="shared" si="0"/>
        <v>3</v>
      </c>
      <c r="I62" s="1459" t="s">
        <v>856</v>
      </c>
      <c r="J62" s="1460" t="s">
        <v>857</v>
      </c>
      <c r="K62" s="1460" t="s">
        <v>858</v>
      </c>
      <c r="L62" s="1460" t="s">
        <v>859</v>
      </c>
      <c r="M62" s="1461" t="s">
        <v>860</v>
      </c>
      <c r="O62" s="1415" t="s">
        <v>409</v>
      </c>
      <c r="P62" s="1416" t="s">
        <v>836</v>
      </c>
      <c r="Q62" s="1417">
        <f ca="1">Q56+Q57</f>
        <v>4110</v>
      </c>
      <c r="R62" s="1417" t="s">
        <v>410</v>
      </c>
    </row>
    <row r="63" spans="1:18" s="1381" customFormat="1" ht="13.5" thickBot="1">
      <c r="A63" s="326"/>
      <c r="B63" s="953"/>
      <c r="C63" s="26"/>
      <c r="D63" s="963"/>
      <c r="E63" s="947" t="s">
        <v>734</v>
      </c>
      <c r="F63" s="303">
        <f t="shared" ca="1" si="0"/>
        <v>395.19</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f ca="1">ROUND(C57*F64,2)</f>
        <v>12.26</v>
      </c>
      <c r="D64" s="961" t="s">
        <v>789</v>
      </c>
      <c r="E64" s="947" t="s">
        <v>710</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ROUND(C56*F65,2)</f>
        <v>2.16</v>
      </c>
      <c r="D65" s="961" t="s">
        <v>741</v>
      </c>
      <c r="E65" s="947" t="s">
        <v>710</v>
      </c>
      <c r="F65" s="330">
        <f t="shared" ca="1" si="0"/>
        <v>1E-3</v>
      </c>
      <c r="I65" s="1459" t="s">
        <v>865</v>
      </c>
      <c r="J65" s="1460">
        <v>40</v>
      </c>
      <c r="K65" s="1460">
        <v>30</v>
      </c>
      <c r="L65" s="1460">
        <v>50</v>
      </c>
      <c r="M65" s="1462">
        <v>0.02</v>
      </c>
      <c r="O65" s="1415" t="s">
        <v>403</v>
      </c>
      <c r="P65" s="1416" t="s">
        <v>815</v>
      </c>
      <c r="Q65" s="1417">
        <f ca="1">C40+J29</f>
        <v>4110</v>
      </c>
      <c r="R65" s="1417" t="s">
        <v>816</v>
      </c>
    </row>
    <row r="66" spans="1:18" s="1381" customFormat="1" ht="16.5" thickBot="1">
      <c r="A66" s="979" t="s">
        <v>791</v>
      </c>
      <c r="B66" s="947" t="s">
        <v>726</v>
      </c>
      <c r="C66" s="21">
        <f ca="1">ROUND(C48*F66,2)</f>
        <v>0</v>
      </c>
      <c r="D66" s="961" t="s">
        <v>792</v>
      </c>
      <c r="E66" s="947" t="s">
        <v>710</v>
      </c>
      <c r="F66" s="312">
        <f t="shared" ca="1" si="0"/>
        <v>0.01</v>
      </c>
      <c r="O66" s="1415" t="s">
        <v>404</v>
      </c>
      <c r="P66" s="1416" t="s">
        <v>844</v>
      </c>
      <c r="Q66" s="1417">
        <f ca="1">L60</f>
        <v>0</v>
      </c>
      <c r="R66" s="1417" t="s">
        <v>867</v>
      </c>
    </row>
    <row r="67" spans="1:18" s="1381" customFormat="1" ht="16.5" thickBot="1">
      <c r="A67" s="954" t="s">
        <v>394</v>
      </c>
      <c r="B67" s="964" t="s">
        <v>750</v>
      </c>
      <c r="C67" s="316">
        <f ca="1">C48-C58</f>
        <v>-14</v>
      </c>
      <c r="D67" s="960" t="s">
        <v>751</v>
      </c>
      <c r="E67" s="965"/>
      <c r="F67" s="966"/>
      <c r="O67" s="1425" t="s">
        <v>405</v>
      </c>
      <c r="P67" s="1416" t="s">
        <v>848</v>
      </c>
      <c r="Q67" s="1463">
        <f ca="1">L51</f>
        <v>1321</v>
      </c>
      <c r="R67" s="1417" t="s">
        <v>868</v>
      </c>
    </row>
    <row r="68" spans="1:18" s="1381" customFormat="1" ht="16.5" thickBot="1">
      <c r="A68" s="944" t="s">
        <v>395</v>
      </c>
      <c r="B68" s="945" t="s">
        <v>772</v>
      </c>
      <c r="C68" s="301">
        <f ca="1">ROUND(C67*(1-((1+F70)/(1+F68))^F69)/(F68-F70),0)</f>
        <v>-196</v>
      </c>
      <c r="D68" s="962" t="s">
        <v>756</v>
      </c>
      <c r="E68" s="947" t="s">
        <v>757</v>
      </c>
      <c r="F68" s="312">
        <f ca="1">F40</f>
        <v>5.5E-2</v>
      </c>
      <c r="O68" s="1425" t="s">
        <v>406</v>
      </c>
      <c r="P68" s="1464" t="s">
        <v>869</v>
      </c>
      <c r="Q68" s="1417">
        <f ca="1">ROUND(Q69-Q70*Q71,0)</f>
        <v>77</v>
      </c>
      <c r="R68" s="1417" t="s">
        <v>414</v>
      </c>
    </row>
    <row r="69" spans="1:18" s="1381" customFormat="1" ht="13.5" thickBot="1">
      <c r="A69" s="948"/>
      <c r="B69" s="949"/>
      <c r="C69" s="306"/>
      <c r="D69" s="967" t="s">
        <v>760</v>
      </c>
      <c r="E69" s="947" t="s">
        <v>761</v>
      </c>
      <c r="F69" s="333">
        <f ca="1">F41</f>
        <v>27.3</v>
      </c>
      <c r="O69" s="1425" t="s">
        <v>411</v>
      </c>
      <c r="P69" s="1464" t="s">
        <v>870</v>
      </c>
      <c r="Q69" s="1417">
        <f ca="1">C39</f>
        <v>239</v>
      </c>
      <c r="R69" s="1417" t="s">
        <v>816</v>
      </c>
    </row>
    <row r="70" spans="1:18" s="1381" customFormat="1" ht="13.5" thickBot="1">
      <c r="A70" s="951"/>
      <c r="B70" s="952"/>
      <c r="C70" s="310"/>
      <c r="D70" s="963"/>
      <c r="E70" s="947" t="s">
        <v>764</v>
      </c>
      <c r="F70" s="1051"/>
      <c r="O70" s="1425" t="s">
        <v>412</v>
      </c>
      <c r="P70" s="1464" t="s">
        <v>871</v>
      </c>
      <c r="Q70" s="1417">
        <f ca="1">C13</f>
        <v>2158</v>
      </c>
      <c r="R70" s="1417" t="s">
        <v>816</v>
      </c>
    </row>
    <row r="71" spans="1:18" s="1381" customFormat="1" ht="13.5" thickBot="1">
      <c r="A71" s="968" t="s">
        <v>396</v>
      </c>
      <c r="B71" s="969" t="s">
        <v>774</v>
      </c>
      <c r="C71" s="336">
        <f ca="1">ROUND(C68*10000/F71,0)</f>
        <v>-627</v>
      </c>
      <c r="D71" s="970" t="s">
        <v>775</v>
      </c>
      <c r="E71" s="971" t="s">
        <v>776</v>
      </c>
      <c r="F71" s="339">
        <f ca="1">F43</f>
        <v>3127.15</v>
      </c>
      <c r="O71" s="1425" t="s">
        <v>413</v>
      </c>
      <c r="P71" s="1464" t="s">
        <v>872</v>
      </c>
      <c r="Q71" s="1428">
        <f ca="1">C76</f>
        <v>7.4999999999999997E-2</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162</v>
      </c>
      <c r="D75" s="1381"/>
      <c r="E75" s="1381"/>
      <c r="F75" s="1381"/>
      <c r="K75" s="1399"/>
      <c r="L75" s="1381"/>
      <c r="O75" s="1415" t="s">
        <v>409</v>
      </c>
      <c r="P75" s="1416" t="s">
        <v>836</v>
      </c>
      <c r="Q75" s="1417">
        <f ca="1">Q65+Q66</f>
        <v>4110</v>
      </c>
      <c r="R75" s="1417" t="s">
        <v>410</v>
      </c>
    </row>
    <row r="76" spans="1:18">
      <c r="B76" s="342" t="s">
        <v>794</v>
      </c>
      <c r="C76" s="343">
        <f ca="1">INDIRECT("'数据-取费表'!j"&amp;$G$1)</f>
        <v>7.4999999999999997E-2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0.32199999999999995</v>
      </c>
    </row>
    <row r="80" spans="1:18">
      <c r="B80" s="340" t="s">
        <v>798</v>
      </c>
      <c r="C80" s="274">
        <f ca="1">ROUND(C75/C39,3)</f>
        <v>0.67800000000000005</v>
      </c>
    </row>
    <row r="81" spans="2:3">
      <c r="B81" s="270" t="s">
        <v>799</v>
      </c>
      <c r="C81" s="238"/>
    </row>
    <row r="82" spans="2:3">
      <c r="B82" s="273" t="s">
        <v>800</v>
      </c>
      <c r="C82" s="275">
        <f ca="1">1-C83</f>
        <v>0.47499999999999998</v>
      </c>
    </row>
    <row r="83" spans="2:3">
      <c r="B83" s="273" t="s">
        <v>801</v>
      </c>
      <c r="C83" s="274">
        <f ca="1">ROUND(C13/C40,3)</f>
        <v>0.52500000000000002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36">
      <c r="A4" s="1477" t="str">
        <f>"受贵公司委托，我公司对"&amp;项目基本情况!S1&amp;"进行了预评估。"</f>
        <v>受贵公司委托，我公司对北京市朝阳区清林东路4号6号楼负2层B202、负3层B302商业用房房地产抵押价值进行了预评估。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估价对象为北京市朝阳区清林东路4号6号楼负2层B202、负3层B302商业用房房地产，为所有。根据《国有土地使用证》[]，估价对象（分摊）出让国有建设用地使用权面积为755.66平方米，建筑面积为5979.53平方米。</v>
      </c>
    </row>
    <row r="8" spans="1:1" ht="57.75">
      <c r="A8" s="1480" t="s">
        <v>899</v>
      </c>
    </row>
    <row r="9" spans="1:1" ht="18.75">
      <c r="A9" s="1479" t="s">
        <v>900</v>
      </c>
    </row>
    <row r="10" spans="1:1" ht="72">
      <c r="A10" s="1477" t="str">
        <f>"估价对象为"&amp;项目基本情况!S2&amp;IF('结果表-负2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755.66平方米，规划建筑面积为5979.53平方米。</v>
      </c>
    </row>
    <row r="11" spans="1:1" ht="76.5">
      <c r="A11" s="1480" t="s">
        <v>901</v>
      </c>
    </row>
    <row r="12" spans="1:1" ht="18.75">
      <c r="A12" s="1478" t="s">
        <v>902</v>
      </c>
    </row>
    <row r="13" spans="1:1" ht="38.25" customHeight="1">
      <c r="A13" s="1481"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2023年9月20日（评估专业人员实地查勘之日）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负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"本次评估采用的主估价方法为"&amp;'结果表-负2层'!K4&amp;"和"&amp;'结果表-负2层'!L4&amp;"。"</f>
        <v>本次评估采用的主估价方法为成本法和收益法。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101" sqref="J101"/>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t="s">
        <v>3662</v>
      </c>
      <c r="D1" s="1744"/>
      <c r="E1" s="1744"/>
      <c r="F1" s="1746" t="s">
        <v>1261</v>
      </c>
      <c r="G1" s="1558" t="s">
        <v>3382</v>
      </c>
      <c r="H1" s="1747" t="str">
        <f>IF(G1="现房","——","估价对象范围")</f>
        <v>——</v>
      </c>
      <c r="I1" s="1748"/>
    </row>
    <row r="2" spans="1:12" ht="21.75" customHeight="1" thickBot="1">
      <c r="A2" s="3775" t="str">
        <f>项目基本情况!S2</f>
        <v>北京市朝阳区清林东路4号6号楼负2层B202、负3层B302商业用房房地产</v>
      </c>
      <c r="B2" s="3776"/>
      <c r="C2" s="3776"/>
      <c r="D2" s="3776"/>
      <c r="E2" s="3776"/>
      <c r="F2" s="3776"/>
      <c r="G2" s="3776"/>
      <c r="H2" s="3776"/>
      <c r="I2" s="3777"/>
    </row>
    <row r="3" spans="1:12" ht="12.75">
      <c r="A3" s="3779" t="s">
        <v>1262</v>
      </c>
      <c r="B3" s="3780"/>
      <c r="C3" s="3780"/>
      <c r="D3" s="3780"/>
      <c r="E3" s="3780"/>
      <c r="F3" s="3780"/>
      <c r="G3" s="3780"/>
      <c r="H3" s="3780"/>
      <c r="I3" s="3780"/>
    </row>
    <row r="4" spans="1:12" ht="14.25">
      <c r="A4" s="1751" t="s">
        <v>1263</v>
      </c>
      <c r="B4" s="1752" t="s">
        <v>1264</v>
      </c>
      <c r="C4" s="1753" t="s">
        <v>3693</v>
      </c>
      <c r="D4" s="1753" t="s">
        <v>3691</v>
      </c>
      <c r="E4" s="3781" t="s">
        <v>1265</v>
      </c>
      <c r="F4" s="3782"/>
      <c r="G4" s="3782"/>
      <c r="H4" s="3782"/>
      <c r="I4" s="3783"/>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755" t="s">
        <v>1266</v>
      </c>
      <c r="B5" s="3742">
        <v>25</v>
      </c>
      <c r="C5" s="3758"/>
      <c r="D5" s="3778"/>
      <c r="E5" s="131" t="s">
        <v>1267</v>
      </c>
      <c r="F5" s="1754"/>
      <c r="G5" s="1754"/>
      <c r="H5" s="1754"/>
      <c r="I5" s="1370"/>
    </row>
    <row r="6" spans="1:12" ht="12.75">
      <c r="A6" s="3755"/>
      <c r="B6" s="3742"/>
      <c r="C6" s="3759"/>
      <c r="D6" s="3778"/>
      <c r="E6" s="131" t="s">
        <v>1268</v>
      </c>
      <c r="F6" s="1754"/>
      <c r="G6" s="1754"/>
      <c r="H6" s="1754"/>
      <c r="I6" s="1370"/>
    </row>
    <row r="7" spans="1:12" ht="12.75">
      <c r="A7" s="3755"/>
      <c r="B7" s="3742"/>
      <c r="C7" s="3760"/>
      <c r="D7" s="3778"/>
      <c r="E7" s="131" t="s">
        <v>1269</v>
      </c>
      <c r="F7" s="1754"/>
      <c r="G7" s="1754"/>
      <c r="H7" s="1754"/>
      <c r="I7" s="1370"/>
    </row>
    <row r="8" spans="1:12" ht="12.75">
      <c r="A8" s="3755" t="s">
        <v>1270</v>
      </c>
      <c r="B8" s="3742">
        <v>15</v>
      </c>
      <c r="C8" s="3758"/>
      <c r="D8" s="3778"/>
      <c r="E8" s="131" t="s">
        <v>1271</v>
      </c>
      <c r="F8" s="1754"/>
      <c r="G8" s="1754"/>
      <c r="H8" s="1754"/>
      <c r="I8" s="1370"/>
    </row>
    <row r="9" spans="1:12" ht="12.75">
      <c r="A9" s="3755"/>
      <c r="B9" s="3742"/>
      <c r="C9" s="3760"/>
      <c r="D9" s="3778"/>
      <c r="E9" s="131" t="s">
        <v>1272</v>
      </c>
      <c r="F9" s="1754"/>
      <c r="G9" s="1754"/>
      <c r="H9" s="1754"/>
      <c r="I9" s="1370"/>
    </row>
    <row r="10" spans="1:12" ht="12.75">
      <c r="A10" s="3755" t="s">
        <v>1273</v>
      </c>
      <c r="B10" s="3742">
        <v>15</v>
      </c>
      <c r="C10" s="3758"/>
      <c r="D10" s="3778"/>
      <c r="E10" s="131" t="s">
        <v>1274</v>
      </c>
      <c r="F10" s="1754"/>
      <c r="G10" s="1754"/>
      <c r="H10" s="1754"/>
      <c r="I10" s="1370"/>
    </row>
    <row r="11" spans="1:12" ht="12.75">
      <c r="A11" s="3755"/>
      <c r="B11" s="3742"/>
      <c r="C11" s="3760"/>
      <c r="D11" s="3778"/>
      <c r="E11" s="131" t="s">
        <v>1275</v>
      </c>
      <c r="F11" s="1754"/>
      <c r="G11" s="1754"/>
      <c r="H11" s="1754"/>
      <c r="I11" s="1370"/>
    </row>
    <row r="12" spans="1:12" ht="12.75">
      <c r="A12" s="3755" t="s">
        <v>1276</v>
      </c>
      <c r="B12" s="3742">
        <v>15</v>
      </c>
      <c r="C12" s="3758"/>
      <c r="D12" s="3778"/>
      <c r="E12" s="131" t="s">
        <v>1277</v>
      </c>
      <c r="F12" s="1754"/>
      <c r="G12" s="1754"/>
      <c r="H12" s="1754"/>
      <c r="I12" s="1370"/>
    </row>
    <row r="13" spans="1:12" ht="12.75">
      <c r="A13" s="3755"/>
      <c r="B13" s="3742"/>
      <c r="C13" s="3760"/>
      <c r="D13" s="3778"/>
      <c r="E13" s="131" t="s">
        <v>1278</v>
      </c>
      <c r="F13" s="1754"/>
      <c r="G13" s="1754"/>
      <c r="H13" s="1754"/>
      <c r="I13" s="1370"/>
    </row>
    <row r="14" spans="1:12" ht="12.75">
      <c r="A14" s="3755" t="s">
        <v>1279</v>
      </c>
      <c r="B14" s="3742">
        <v>30</v>
      </c>
      <c r="C14" s="3758">
        <v>4</v>
      </c>
      <c r="D14" s="3778">
        <v>6</v>
      </c>
      <c r="E14" s="131" t="s">
        <v>1280</v>
      </c>
      <c r="F14" s="1754"/>
      <c r="G14" s="1754"/>
      <c r="H14" s="1754"/>
      <c r="I14" s="1370"/>
    </row>
    <row r="15" spans="1:12" ht="12.75">
      <c r="A15" s="3755"/>
      <c r="B15" s="3742"/>
      <c r="C15" s="3759"/>
      <c r="D15" s="3778"/>
      <c r="E15" s="131" t="s">
        <v>1281</v>
      </c>
      <c r="F15" s="1754"/>
      <c r="G15" s="1754"/>
      <c r="H15" s="1754"/>
      <c r="I15" s="1370"/>
    </row>
    <row r="16" spans="1:12" ht="12.75">
      <c r="A16" s="3755"/>
      <c r="B16" s="3742"/>
      <c r="C16" s="3760"/>
      <c r="D16" s="3778"/>
      <c r="E16" s="131" t="s">
        <v>1282</v>
      </c>
      <c r="F16" s="1754"/>
      <c r="G16" s="1754"/>
      <c r="H16" s="1754"/>
      <c r="I16" s="1370"/>
    </row>
    <row r="17" spans="1:36" ht="15">
      <c r="A17" s="1755" t="s">
        <v>1283</v>
      </c>
      <c r="B17" s="56"/>
      <c r="C17" s="132">
        <f>SUM(C5:C16)</f>
        <v>4</v>
      </c>
      <c r="D17" s="132">
        <f>SUM(D5:D16)</f>
        <v>6</v>
      </c>
      <c r="E17" s="129"/>
      <c r="F17" s="129"/>
      <c r="G17" s="129"/>
      <c r="H17" s="129"/>
      <c r="I17" s="129"/>
      <c r="K17" s="302"/>
      <c r="L17" s="302" t="s">
        <v>1284</v>
      </c>
      <c r="M17" s="302" t="s">
        <v>1285</v>
      </c>
    </row>
    <row r="18" spans="1:36" ht="31.9" customHeight="1" thickBot="1">
      <c r="A18" s="1756" t="s">
        <v>1286</v>
      </c>
      <c r="B18" s="1757"/>
      <c r="C18" s="133">
        <f>ROUND(C17/SUM(C17:D17),2)</f>
        <v>0.4</v>
      </c>
      <c r="D18" s="133">
        <f>1-C18</f>
        <v>0.6</v>
      </c>
      <c r="E18" s="3765" t="s">
        <v>2126</v>
      </c>
      <c r="F18" s="3766"/>
      <c r="G18" s="3766"/>
      <c r="H18" s="3766"/>
      <c r="I18" s="3766"/>
      <c r="K18" s="302" t="s">
        <v>1287</v>
      </c>
      <c r="L18" s="302">
        <f>IF(C1="",'数据-汇总表'!E3,SUMIF(项目类型,C1,'数据-汇总表'!E17:E26)+SUMIF(项目类型,C1,'数据-汇总表'!I17:I26))</f>
        <v>0</v>
      </c>
      <c r="M18" s="302">
        <f>IF(C1="",'数据-汇总表'!E3,SUMIF(项目类型,C1,'数据-汇总表'!E17:E26))</f>
        <v>0</v>
      </c>
    </row>
    <row r="19" spans="1:36" ht="15">
      <c r="A19" s="1758" t="s">
        <v>1288</v>
      </c>
      <c r="B19" s="1759" t="s">
        <v>1289</v>
      </c>
      <c r="C19" s="134" t="e">
        <f ca="1">SUMIF(INDIRECT("'"&amp;C4&amp;"'"&amp;"!A:A"),'结果表-车位'!B19,INDIRECT("'"&amp;C4&amp;"'"&amp;"!B:B"))</f>
        <v>#N/A</v>
      </c>
      <c r="D19" s="135" t="e">
        <f ca="1">SUMIF(INDIRECT("'"&amp;D4&amp;"'"&amp;"!A:A"),'结果表-车位'!B19,INDIRECT("'"&amp;D4&amp;"'"&amp;"!B:B"))</f>
        <v>#N/A</v>
      </c>
      <c r="E19" s="1758" t="s">
        <v>1290</v>
      </c>
      <c r="F19" s="1759" t="s">
        <v>1289</v>
      </c>
      <c r="G19" s="136" t="e">
        <f ca="1">ROUND(C19*$C$18+D19*$D$18,0)</f>
        <v>#N/A</v>
      </c>
      <c r="H19" s="1760"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1"/>
      <c r="B20" s="1023" t="s">
        <v>1293</v>
      </c>
      <c r="C20" s="137" t="e">
        <f ca="1">SUMIF(INDIRECT("'"&amp;C4&amp;"'"&amp;"!A:A"),'结果表-车位'!B20,INDIRECT("'"&amp;C4&amp;"'"&amp;"!B:B"))</f>
        <v>#N/A</v>
      </c>
      <c r="D20" s="138">
        <f ca="1">SUMIF(INDIRECT("'"&amp;D4&amp;"'"&amp;"!A:A"),'结果表-车位'!B20,INDIRECT("'"&amp;D4&amp;"'"&amp;"!B:B"))</f>
        <v>0</v>
      </c>
      <c r="E20" s="1761"/>
      <c r="F20" s="1023" t="s">
        <v>1293</v>
      </c>
      <c r="G20" s="139" t="e">
        <f ca="1">ROUND(C20*$C$18+D20*$D$18,0)</f>
        <v>#N/A</v>
      </c>
      <c r="H20" s="805" t="s">
        <v>1294</v>
      </c>
      <c r="I20" s="129"/>
      <c r="J20" s="725">
        <v>6785</v>
      </c>
    </row>
    <row r="21" spans="1:36" ht="15" customHeight="1" thickBot="1">
      <c r="A21" s="825"/>
      <c r="B21" s="1762" t="s">
        <v>1295</v>
      </c>
      <c r="C21" s="719" t="e">
        <f ca="1">ROUND(C19*10000/L19,0)</f>
        <v>#N/A</v>
      </c>
      <c r="D21" s="720" t="e">
        <f ca="1">ROUND(D19*10000/L19,0)</f>
        <v>#N/A</v>
      </c>
      <c r="E21" s="825"/>
      <c r="F21" s="1762" t="s">
        <v>1295</v>
      </c>
      <c r="G21" s="140" t="e">
        <f ca="1">ROUND(G19*10000/L19,0)</f>
        <v>#N/A</v>
      </c>
      <c r="H21" s="1763" t="s">
        <v>1294</v>
      </c>
      <c r="I21" s="129"/>
    </row>
    <row r="22" spans="1:36" ht="15" thickBot="1">
      <c r="A22" s="1685" t="s">
        <v>1296</v>
      </c>
      <c r="B22" s="1764"/>
      <c r="C22" s="1765"/>
      <c r="D22" s="721" t="e">
        <f ca="1">IF(C19&lt;D19,D19/C19-1,C19/D19-1)</f>
        <v>#N/A</v>
      </c>
      <c r="E22" s="129"/>
      <c r="F22" s="129"/>
      <c r="G22" s="129"/>
      <c r="H22" s="129"/>
      <c r="I22" s="129"/>
    </row>
    <row r="23" spans="1:36" ht="13.5" thickBot="1">
      <c r="A23" s="1744"/>
      <c r="B23" s="1744"/>
      <c r="C23" s="1744"/>
      <c r="D23" s="1744"/>
      <c r="E23" s="129"/>
      <c r="F23" s="129"/>
      <c r="G23" s="129"/>
      <c r="H23" s="129"/>
      <c r="I23" s="129"/>
    </row>
    <row r="24" spans="1:36" ht="14.25">
      <c r="A24" s="3749" t="s">
        <v>1297</v>
      </c>
      <c r="B24" s="1759" t="s">
        <v>1289</v>
      </c>
      <c r="C24" s="136">
        <f>IF(B30=0,0,D30)</f>
        <v>0</v>
      </c>
      <c r="D24" s="1766"/>
      <c r="E24" s="129"/>
      <c r="F24" s="129"/>
      <c r="G24" s="129"/>
      <c r="H24" s="129"/>
      <c r="I24" s="129"/>
    </row>
    <row r="25" spans="1:36" ht="14.25">
      <c r="A25" s="3750"/>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t="e">
        <f ca="1">IF(D32="总价",G19-C24,G20-C25)</f>
        <v>#N/A</v>
      </c>
      <c r="D32" s="1772" t="s">
        <v>3690</v>
      </c>
      <c r="E32" s="129"/>
      <c r="F32" s="129"/>
      <c r="G32" s="129"/>
      <c r="H32" s="129"/>
      <c r="I32" s="129"/>
    </row>
    <row r="33" spans="1:15" ht="15">
      <c r="A33" s="783" t="s">
        <v>1304</v>
      </c>
      <c r="B33" s="1773"/>
      <c r="C33" s="1774" t="s">
        <v>3689</v>
      </c>
      <c r="D33" s="1775" t="s">
        <v>3693</v>
      </c>
      <c r="E33" s="1776" t="s">
        <v>1305</v>
      </c>
      <c r="F33" s="1777" t="str">
        <f>IF(D32="楼面单价","取值（单价）","取值（总价）")</f>
        <v>取值（总价）</v>
      </c>
      <c r="G33" s="129"/>
      <c r="H33" s="129"/>
      <c r="I33" s="129"/>
    </row>
    <row r="34" spans="1:15" ht="15">
      <c r="A34" s="1778"/>
      <c r="B34" s="1779" t="s">
        <v>1306</v>
      </c>
      <c r="C34" s="148" t="e">
        <f ca="1">IF(C33="自定义",F34,C32-C35)</f>
        <v>#N/A</v>
      </c>
      <c r="D34" s="858" t="e">
        <f ca="1">IF(C33="自定义",ROUND(C34/C32,3),IF(C33="收益比率",SUMIF(INDIRECT("'"&amp;D33&amp;"'"&amp;"!b:b"),"土地收益比率",INDIRECT("'"&amp;D33&amp;"'"&amp;"!c:c")),SUMIF(INDIRECT("'"&amp;D33&amp;"'"&amp;"!b:b"),"土地成本比率",INDIRECT("'"&amp;D33&amp;"'"&amp;"!c:c"))))</f>
        <v>#N/A</v>
      </c>
      <c r="E34" s="1780" t="s">
        <v>1307</v>
      </c>
      <c r="F34" s="1327"/>
      <c r="G34" s="129"/>
      <c r="H34" s="129"/>
      <c r="I34" s="129"/>
    </row>
    <row r="35" spans="1:15" ht="15.75" thickBot="1">
      <c r="A35" s="1781"/>
      <c r="B35" s="1782" t="s">
        <v>1308</v>
      </c>
      <c r="C35" s="1167" t="e">
        <f ca="1">IF(C33="自定义",F35,ROUND(C32*D35,0))</f>
        <v>#N/A</v>
      </c>
      <c r="D35" s="1168" t="e">
        <f ca="1">IF(C33="自定义",ROUND(C35/C32,3),IF(C33="收益比率",SUMIF(INDIRECT("'"&amp;D33&amp;"'"&amp;"!b:b"),"建筑物收益比率",INDIRECT("'"&amp;D33&amp;"'"&amp;"!c:c")),SUMIF(INDIRECT("'"&amp;D33&amp;"'"&amp;"!b:b"),"建筑物成本比率",INDIRECT("'"&amp;D33&amp;"'"&amp;"!c:c"))))</f>
        <v>#N/A</v>
      </c>
      <c r="E35" s="1783" t="s">
        <v>1309</v>
      </c>
      <c r="F35" s="154"/>
      <c r="G35" s="129"/>
      <c r="H35" s="129"/>
      <c r="I35" s="129"/>
    </row>
    <row r="36" spans="1:15" ht="15.75" thickBot="1">
      <c r="A36" s="3769" t="s">
        <v>1310</v>
      </c>
      <c r="B36" s="1784" t="s">
        <v>1311</v>
      </c>
      <c r="C36" s="145"/>
      <c r="D36" s="1785"/>
      <c r="E36" s="1786"/>
      <c r="F36" s="1787"/>
      <c r="G36" s="129"/>
      <c r="H36" s="129"/>
      <c r="I36" s="129"/>
    </row>
    <row r="37" spans="1:15" ht="15.75" thickBot="1">
      <c r="A37" s="3770"/>
      <c r="B37" s="1671" t="s">
        <v>1312</v>
      </c>
      <c r="C37" s="147"/>
      <c r="D37" s="1136"/>
      <c r="E37" s="1136"/>
      <c r="F37" s="1787"/>
      <c r="G37" s="129"/>
      <c r="H37" s="129"/>
      <c r="I37" s="129"/>
    </row>
    <row r="38" spans="1:15" ht="15.75" thickBot="1">
      <c r="A38" s="3771"/>
      <c r="B38" s="1788" t="s">
        <v>1313</v>
      </c>
      <c r="C38" s="674"/>
      <c r="D38" s="1789" t="s">
        <v>1314</v>
      </c>
      <c r="E38" s="1136"/>
      <c r="F38" s="1787"/>
      <c r="G38" s="129"/>
      <c r="H38" s="129"/>
      <c r="I38" s="129"/>
    </row>
    <row r="39" spans="1:15" ht="15">
      <c r="A39" s="1761" t="s">
        <v>1315</v>
      </c>
      <c r="B39" s="1790" t="s">
        <v>1299</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746" t="s">
        <v>1324</v>
      </c>
      <c r="B45" s="3747"/>
      <c r="C45" s="3748"/>
      <c r="D45" s="155" t="e">
        <f ca="1">ROUND(H101*F45,0)</f>
        <v>#N/A</v>
      </c>
      <c r="E45" s="156" t="s">
        <v>1325</v>
      </c>
      <c r="F45" s="157">
        <v>1</v>
      </c>
      <c r="G45" s="158" t="s">
        <v>1326</v>
      </c>
      <c r="H45" s="129"/>
      <c r="I45" s="129"/>
      <c r="J45" s="3824" t="s">
        <v>1327</v>
      </c>
      <c r="K45" s="3824"/>
      <c r="L45" s="3824"/>
      <c r="M45" s="3824"/>
      <c r="N45" s="3824"/>
      <c r="O45" s="3824"/>
    </row>
    <row r="46" spans="1:15" ht="14.25" customHeight="1">
      <c r="A46" s="3743" t="s">
        <v>1328</v>
      </c>
      <c r="B46" s="3744"/>
      <c r="C46" s="3744"/>
      <c r="D46" s="3744"/>
      <c r="E46" s="3744"/>
      <c r="F46" s="3744"/>
      <c r="G46" s="3745"/>
      <c r="H46" s="1803"/>
      <c r="I46" s="159"/>
      <c r="J46" s="3462">
        <v>1</v>
      </c>
      <c r="K46" s="3805" t="s">
        <v>1329</v>
      </c>
      <c r="L46" s="3805"/>
      <c r="M46" s="3825"/>
      <c r="N46" s="3825"/>
      <c r="O46" s="3825"/>
    </row>
    <row r="47" spans="1:15" ht="12" customHeight="1">
      <c r="A47" s="160" t="s">
        <v>1330</v>
      </c>
      <c r="B47" s="161"/>
      <c r="C47" s="162"/>
      <c r="D47" s="1084" t="s">
        <v>1331</v>
      </c>
      <c r="E47" s="302" t="s">
        <v>1332</v>
      </c>
      <c r="F47" s="163" t="s">
        <v>1333</v>
      </c>
      <c r="G47" s="2541" t="s">
        <v>1334</v>
      </c>
      <c r="H47" s="2542"/>
      <c r="I47" s="159"/>
      <c r="J47" s="3462">
        <v>2</v>
      </c>
      <c r="K47" s="3805" t="s">
        <v>1335</v>
      </c>
      <c r="L47" s="3805"/>
      <c r="M47" s="3826">
        <f>'数据-取费表'!B2</f>
        <v>45189</v>
      </c>
      <c r="N47" s="3826"/>
      <c r="O47" s="3826"/>
    </row>
    <row r="48" spans="1:15" ht="25.5">
      <c r="A48" s="3774" t="s">
        <v>1336</v>
      </c>
      <c r="B48" s="3757"/>
      <c r="C48" s="3757"/>
      <c r="D48" s="3465" t="b">
        <f>IF(H48="情况1",0,IF(H48="情况2",D52,IF(H48="情况3",D53,IF(H48="情况4",D54))))</f>
        <v>0</v>
      </c>
      <c r="E48" s="3453" t="str">
        <f>IF(H48="情况4","(销售额-原购置价)×税（费）率","销售额×税（费）率")</f>
        <v>销售额×税（费）率</v>
      </c>
      <c r="F48" s="2543">
        <f>IF(H48="情况1","免征",'数据-取费表'!B41)</f>
        <v>5.6000000000000001E-2</v>
      </c>
      <c r="G48" s="2544" t="s">
        <v>1337</v>
      </c>
      <c r="H48" s="2545"/>
      <c r="I48" s="1803"/>
      <c r="J48" s="3462">
        <v>3</v>
      </c>
      <c r="K48" s="3805" t="s">
        <v>1338</v>
      </c>
      <c r="L48" s="3805"/>
      <c r="M48" s="3827" t="e">
        <f ca="1">H101</f>
        <v>#N/A</v>
      </c>
      <c r="N48" s="3827"/>
      <c r="O48" s="3827"/>
    </row>
    <row r="49" spans="1:35" ht="25.5" customHeight="1">
      <c r="A49" s="3457" t="s">
        <v>1339</v>
      </c>
      <c r="B49" s="3741" t="s">
        <v>1340</v>
      </c>
      <c r="C49" s="3741"/>
      <c r="D49" s="1587">
        <v>0</v>
      </c>
      <c r="E49" s="324" t="s">
        <v>1341</v>
      </c>
      <c r="F49" s="3447" t="s">
        <v>28</v>
      </c>
      <c r="G49" s="3811"/>
      <c r="H49" s="2307" t="s">
        <v>2129</v>
      </c>
      <c r="I49" s="2308"/>
      <c r="J49" s="3462">
        <v>4</v>
      </c>
      <c r="K49" s="3805" t="str">
        <f>IF(项目基本情况!E8="房地产抵押价值","房地产抵押价值","抵押担保权已注销时的房地产抵押价值")</f>
        <v>房地产抵押价值</v>
      </c>
      <c r="L49" s="3805"/>
      <c r="M49" s="3827" t="e">
        <f ca="1">IF(项目基本情况!E8="房地产抵押价值",H107,H109)</f>
        <v>#N/A</v>
      </c>
      <c r="N49" s="3827"/>
      <c r="O49" s="3827"/>
    </row>
    <row r="50" spans="1:35" ht="25.5" customHeight="1">
      <c r="A50" s="2546"/>
      <c r="B50" s="3741" t="s">
        <v>1342</v>
      </c>
      <c r="C50" s="3741"/>
      <c r="D50" s="2547"/>
      <c r="E50" s="332"/>
      <c r="F50" s="3447"/>
      <c r="G50" s="3812"/>
      <c r="H50" s="2309" t="s">
        <v>2130</v>
      </c>
      <c r="I50" s="2308"/>
      <c r="J50" s="3824" t="s">
        <v>1343</v>
      </c>
      <c r="K50" s="3824"/>
      <c r="L50" s="3824"/>
      <c r="M50" s="3824"/>
      <c r="N50" s="3824"/>
      <c r="O50" s="3824"/>
    </row>
    <row r="51" spans="1:35" ht="20.45" customHeight="1">
      <c r="A51" s="2548"/>
      <c r="B51" s="3741" t="s">
        <v>1344</v>
      </c>
      <c r="C51" s="3741"/>
      <c r="D51" s="1084"/>
      <c r="E51" s="327"/>
      <c r="F51" s="3447"/>
      <c r="G51" s="3813"/>
      <c r="H51" s="2309" t="s">
        <v>2131</v>
      </c>
      <c r="I51" s="2308"/>
      <c r="J51" s="3461" t="s">
        <v>1345</v>
      </c>
      <c r="K51" s="3805" t="s">
        <v>1346</v>
      </c>
      <c r="L51" s="3805"/>
      <c r="M51" s="3461" t="s">
        <v>1347</v>
      </c>
      <c r="N51" s="3461" t="s">
        <v>1348</v>
      </c>
      <c r="O51" s="3461" t="s">
        <v>1349</v>
      </c>
    </row>
    <row r="52" spans="1:35" ht="24" customHeight="1">
      <c r="A52" s="3452" t="s">
        <v>1350</v>
      </c>
      <c r="B52" s="3741" t="s">
        <v>1351</v>
      </c>
      <c r="C52" s="3741"/>
      <c r="D52" s="1084" t="e">
        <f ca="1">ROUND(D45*'数据-取费表'!B41/(1+'数据-取费表'!C42),0)</f>
        <v>#N/A</v>
      </c>
      <c r="E52" s="3453" t="s">
        <v>1352</v>
      </c>
      <c r="F52" s="2549">
        <f>'数据-取费表'!B41</f>
        <v>5.6000000000000001E-2</v>
      </c>
      <c r="G52" s="2550"/>
      <c r="H52" s="2539"/>
      <c r="I52" s="1804"/>
      <c r="J52" s="3462">
        <v>1</v>
      </c>
      <c r="K52" s="3806" t="s">
        <v>1353</v>
      </c>
      <c r="L52" s="3806"/>
      <c r="M52" s="2520" t="b">
        <f>D48</f>
        <v>0</v>
      </c>
      <c r="N52" s="3462" t="str">
        <f>E48</f>
        <v>销售额×税（费）率</v>
      </c>
      <c r="O52" s="2521">
        <f>F48</f>
        <v>5.6000000000000001E-2</v>
      </c>
    </row>
    <row r="53" spans="1:35" ht="12" customHeight="1">
      <c r="A53" s="3452" t="s">
        <v>1354</v>
      </c>
      <c r="B53" s="3767" t="s">
        <v>2286</v>
      </c>
      <c r="C53" s="3768"/>
      <c r="D53" s="1084" t="e">
        <f ca="1">ROUND(D45*'数据-取费表'!B41/(1+'数据-取费表'!C42),0)</f>
        <v>#N/A</v>
      </c>
      <c r="E53" s="3453" t="s">
        <v>1352</v>
      </c>
      <c r="F53" s="2549">
        <f>'数据-取费表'!B41</f>
        <v>5.6000000000000001E-2</v>
      </c>
      <c r="G53" s="2550"/>
      <c r="H53" s="2539"/>
      <c r="I53" s="1804"/>
      <c r="J53" s="3462">
        <v>2</v>
      </c>
      <c r="K53" s="3806" t="s">
        <v>1355</v>
      </c>
      <c r="L53" s="3806"/>
      <c r="M53" s="2520" t="e">
        <f t="shared" ref="M53:O54" ca="1" si="0">D55</f>
        <v>#N/A</v>
      </c>
      <c r="N53" s="3462" t="str">
        <f t="shared" si="0"/>
        <v>销售额×税（费）率</v>
      </c>
      <c r="O53" s="2521" t="str">
        <f t="shared" si="0"/>
        <v>免征</v>
      </c>
    </row>
    <row r="54" spans="1:35" ht="12" customHeight="1">
      <c r="A54" s="3452" t="s">
        <v>1356</v>
      </c>
      <c r="B54" s="3767" t="s">
        <v>2287</v>
      </c>
      <c r="C54" s="3768"/>
      <c r="D54" s="1084" t="e">
        <f ca="1">C68</f>
        <v>#N/A</v>
      </c>
      <c r="E54" s="327" t="s">
        <v>1357</v>
      </c>
      <c r="F54" s="2549">
        <f>'数据-取费表'!B41</f>
        <v>5.6000000000000001E-2</v>
      </c>
      <c r="G54" s="2550"/>
      <c r="H54" s="2551"/>
      <c r="I54" s="1804"/>
      <c r="J54" s="3462">
        <v>3</v>
      </c>
      <c r="K54" s="3806" t="s">
        <v>1358</v>
      </c>
      <c r="L54" s="3806"/>
      <c r="M54" s="2520" t="e">
        <f t="shared" ca="1" si="0"/>
        <v>#N/A</v>
      </c>
      <c r="N54" s="3462" t="str">
        <f t="shared" si="0"/>
        <v>增值额×税（费）率</v>
      </c>
      <c r="O54" s="2522" t="str">
        <f t="shared" si="0"/>
        <v>免征</v>
      </c>
    </row>
    <row r="55" spans="1:35" ht="24" customHeight="1">
      <c r="A55" s="3756" t="s">
        <v>1359</v>
      </c>
      <c r="B55" s="3757"/>
      <c r="C55" s="3757"/>
      <c r="D55" s="3465" t="e">
        <f ca="1">IF(H55="个人住宅",0,ROUND(D45*I55,0))</f>
        <v>#N/A</v>
      </c>
      <c r="E55" s="3453" t="s">
        <v>1360</v>
      </c>
      <c r="F55" s="2549" t="str">
        <f>IF(H55="正常",I55,"免征")</f>
        <v>免征</v>
      </c>
      <c r="G55" s="2550"/>
      <c r="H55" s="2545"/>
      <c r="I55" s="165">
        <f>'数据-取费表'!B49</f>
        <v>5.0000000000000001E-4</v>
      </c>
      <c r="J55" s="3462">
        <f>IF(H59="非个人房产","",4)</f>
        <v>4</v>
      </c>
      <c r="K55" s="3806" t="str">
        <f>IF(H59="非个人房产","——","个人所得税")</f>
        <v>个人所得税</v>
      </c>
      <c r="L55" s="3806"/>
      <c r="M55" s="2523" t="e">
        <f ca="1">D59</f>
        <v>#N/A</v>
      </c>
      <c r="N55" s="3463" t="str">
        <f>E59</f>
        <v>差额计税</v>
      </c>
      <c r="O55" s="2524">
        <f>F59</f>
        <v>0.01</v>
      </c>
    </row>
    <row r="56" spans="1:35" ht="24.75">
      <c r="A56" s="3756" t="s">
        <v>1361</v>
      </c>
      <c r="B56" s="3757"/>
      <c r="C56" s="3757"/>
      <c r="D56" s="3465" t="e">
        <f ca="1">IF(H56="个人住宅",D57,D58)</f>
        <v>#N/A</v>
      </c>
      <c r="E56" s="3453" t="s">
        <v>1362</v>
      </c>
      <c r="F56" s="2549" t="str">
        <f>IF(H56="正常",F58,"免征")</f>
        <v>免征</v>
      </c>
      <c r="G56" s="2552" t="s">
        <v>1363</v>
      </c>
      <c r="H56" s="2553"/>
      <c r="I56" s="1805"/>
      <c r="J56" s="3462" t="str">
        <f>IF(项目基本情况!K6="上海银行",IF(J55="",4,J55+1),"")</f>
        <v/>
      </c>
      <c r="K56" s="3829" t="str">
        <f>IF(项目基本情况!K6="上海银行","其他处置费用","")</f>
        <v/>
      </c>
      <c r="L56" s="3830"/>
      <c r="M56" s="2520" t="str">
        <f>IF(项目基本情况!K6="上海银行",M69,"")</f>
        <v/>
      </c>
      <c r="N56" s="3829" t="str">
        <f>IF(项目基本情况!K6="上海银行","包含处置中涉及的律师、诉讼、拍卖、评估等费用","")</f>
        <v/>
      </c>
      <c r="O56" s="3832"/>
    </row>
    <row r="57" spans="1:35" ht="12.75">
      <c r="A57" s="3452" t="s">
        <v>1339</v>
      </c>
      <c r="B57" s="3767" t="s">
        <v>1364</v>
      </c>
      <c r="C57" s="3768"/>
      <c r="D57" s="1587">
        <v>0</v>
      </c>
      <c r="E57" s="324" t="s">
        <v>1341</v>
      </c>
      <c r="F57" s="302"/>
      <c r="G57" s="2550"/>
      <c r="H57" s="2554"/>
      <c r="I57" s="1805"/>
      <c r="J57" s="3806">
        <f>IF(AND(J55="",J56=""),4,IF(项目基本情况!K6="上海银行",'结果表-车位'!J56+1,'结果表-车位'!J55+1))</f>
        <v>5</v>
      </c>
      <c r="K57" s="3806" t="s">
        <v>1365</v>
      </c>
      <c r="L57" s="2525" t="s">
        <v>1366</v>
      </c>
      <c r="M57" s="2526"/>
      <c r="N57" s="2527">
        <f ca="1">SUMIF(M52:M56,"&lt;9e307")</f>
        <v>0</v>
      </c>
      <c r="O57" s="2528"/>
      <c r="P57" s="2685" t="e">
        <f ca="1">N57/M49</f>
        <v>#N/A</v>
      </c>
    </row>
    <row r="58" spans="1:35" ht="24.75">
      <c r="A58" s="3452" t="s">
        <v>1350</v>
      </c>
      <c r="B58" s="3767" t="s">
        <v>1367</v>
      </c>
      <c r="C58" s="3741"/>
      <c r="D58" s="3465" t="e">
        <f ca="1">IF(H58="转让取得",C81,C97)</f>
        <v>#N/A</v>
      </c>
      <c r="E58" s="3453" t="s">
        <v>1362</v>
      </c>
      <c r="F58" s="302" t="s">
        <v>28</v>
      </c>
      <c r="G58" s="2550"/>
      <c r="H58" s="2553"/>
      <c r="I58" s="1805"/>
      <c r="J58" s="3806"/>
      <c r="K58" s="3806"/>
      <c r="L58" s="2525" t="s">
        <v>1368</v>
      </c>
      <c r="M58" s="2529"/>
      <c r="N58" s="2530" t="str">
        <f ca="1">NUMBERSTRING(INT(N57*10000),2)&amp;"元整"</f>
        <v>零元整</v>
      </c>
      <c r="O58" s="2531"/>
    </row>
    <row r="59" spans="1:35" ht="24.75" thickBot="1">
      <c r="A59" s="3809" t="s">
        <v>1369</v>
      </c>
      <c r="B59" s="3810"/>
      <c r="C59" s="3810"/>
      <c r="D59" s="2555" t="e">
        <f ca="1">IF(H59="非个人房产","——",IF(H59="个人住宅（满五唯一有凭证）",0,IF(H59="个人其他（无凭证）",ROUND(D45*F59,0),ROUND(C67*F59,0))))</f>
        <v>#N/A</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1"/>
      <c r="I59" s="2310" t="s">
        <v>2132</v>
      </c>
      <c r="J59" s="3807">
        <f>J57+1</f>
        <v>6</v>
      </c>
      <c r="K59" s="3806" t="s">
        <v>1370</v>
      </c>
      <c r="L59" s="3462" t="s">
        <v>1366</v>
      </c>
      <c r="M59" s="2532"/>
      <c r="N59" s="2533" t="e">
        <f ca="1">M49-N57</f>
        <v>#N/A</v>
      </c>
      <c r="O59" s="2534"/>
    </row>
    <row r="60" spans="1:35" ht="12" customHeight="1">
      <c r="A60" s="1806"/>
      <c r="B60" s="1744"/>
      <c r="C60" s="1744"/>
      <c r="D60" s="1744"/>
      <c r="E60" s="1575"/>
      <c r="F60" s="1805"/>
      <c r="G60" s="1805"/>
      <c r="H60" s="1807"/>
      <c r="I60" s="129"/>
      <c r="J60" s="3808"/>
      <c r="K60" s="3806"/>
      <c r="L60" s="2525" t="s">
        <v>1368</v>
      </c>
      <c r="M60" s="2529"/>
      <c r="N60" s="2530" t="e">
        <f ca="1">NUMBERSTRING(INT(N59*10000),2)&amp;"元整"</f>
        <v>#N/A</v>
      </c>
      <c r="O60" s="2531"/>
    </row>
    <row r="61" spans="1:35" ht="13.5" thickBot="1">
      <c r="A61" s="3754" t="s">
        <v>1371</v>
      </c>
      <c r="B61" s="3754"/>
      <c r="C61" s="3754"/>
      <c r="D61" s="3754"/>
      <c r="E61" s="3754"/>
      <c r="F61" s="1805"/>
      <c r="G61" s="1805"/>
      <c r="H61" s="1807"/>
      <c r="I61" s="129"/>
      <c r="J61" s="3462">
        <f>J59+1</f>
        <v>7</v>
      </c>
      <c r="K61" s="3806" t="s">
        <v>1372</v>
      </c>
      <c r="L61" s="3806"/>
      <c r="M61" s="2535"/>
      <c r="N61" s="2536" t="e">
        <f ca="1">ROUND(N59*10000/'数据-汇总表'!E3,0)</f>
        <v>#N/A</v>
      </c>
      <c r="O61" s="2537"/>
    </row>
    <row r="62" spans="1:35" ht="12.75">
      <c r="A62" s="3772" t="s">
        <v>1373</v>
      </c>
      <c r="B62" s="3773"/>
      <c r="C62" s="3456"/>
      <c r="D62" s="3456" t="s">
        <v>1374</v>
      </c>
      <c r="E62" s="166" t="s">
        <v>1375</v>
      </c>
      <c r="F62" s="1805"/>
      <c r="G62" s="1805"/>
      <c r="H62" s="1807"/>
      <c r="I62" s="129"/>
    </row>
    <row r="63" spans="1:35" ht="12.75">
      <c r="A63" s="173" t="s">
        <v>330</v>
      </c>
      <c r="B63" s="167" t="s">
        <v>1376</v>
      </c>
      <c r="C63" s="2559" t="e">
        <f ca="1">ROUND((C64+C65)/(1+'数据-取费表'!C42),0)</f>
        <v>#N/A</v>
      </c>
      <c r="D63" s="167"/>
      <c r="E63" s="168"/>
      <c r="F63" s="1805"/>
      <c r="G63" s="1805"/>
      <c r="H63" s="1807"/>
      <c r="I63" s="129"/>
      <c r="J63" s="3831" t="s">
        <v>1377</v>
      </c>
      <c r="K63" s="3466" t="s">
        <v>1378</v>
      </c>
      <c r="L63" s="3466" t="e">
        <f ca="1">IF(M49&gt;10000,M49*0.5%,IF(AND(M49&gt;1000,M49&lt;=10000),M49*1%,IF(AND(M49&gt;100,M49&lt;=1000),M49*3%,IF(AND(M49&gt;10,M49&lt;=100),M49*5%,M49*8%))))</f>
        <v>#N/A</v>
      </c>
      <c r="M63" s="302" t="e">
        <f ca="1">ROUND(L63,1)</f>
        <v>#N/A</v>
      </c>
      <c r="N63" s="2538"/>
      <c r="Z63" s="1749"/>
      <c r="AI63" s="1750"/>
    </row>
    <row r="64" spans="1:35" ht="14.25" customHeight="1">
      <c r="A64" s="169" t="s">
        <v>325</v>
      </c>
      <c r="B64" s="170" t="s">
        <v>1379</v>
      </c>
      <c r="C64" s="2560" t="e">
        <f ca="1">D45</f>
        <v>#N/A</v>
      </c>
      <c r="D64" s="170" t="s">
        <v>26</v>
      </c>
      <c r="E64" s="172"/>
      <c r="F64" s="1805"/>
      <c r="G64" s="1805"/>
      <c r="H64" s="1807"/>
      <c r="I64" s="129"/>
      <c r="J64" s="3831"/>
      <c r="K64" s="3466" t="s">
        <v>1380</v>
      </c>
      <c r="L64" s="3466"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9" t="s">
        <v>1381</v>
      </c>
      <c r="Z64" s="1749"/>
      <c r="AI64" s="1750"/>
    </row>
    <row r="65" spans="1:35" ht="14.25" customHeight="1">
      <c r="A65" s="169" t="s">
        <v>326</v>
      </c>
      <c r="B65" s="170" t="s">
        <v>1382</v>
      </c>
      <c r="C65" s="2561"/>
      <c r="D65" s="170"/>
      <c r="E65" s="172"/>
      <c r="F65" s="1805"/>
      <c r="G65" s="1805"/>
      <c r="H65" s="1807"/>
      <c r="I65" s="129"/>
      <c r="J65" s="3831"/>
      <c r="K65" s="3466" t="s">
        <v>1383</v>
      </c>
      <c r="L65" s="3466" t="e">
        <f ca="1">IF(M49&gt;1000,M49*0.1%,IF(AND(M49&gt;500,M49&lt;=1000),M49*0.5%,IF(AND(M49&gt;50,M49&lt;=500),M49*1%,IF(AND(M49&gt;1,M49&lt;=50),M49*1.5%))))</f>
        <v>#N/A</v>
      </c>
      <c r="M65" s="302" t="e">
        <f t="shared" ca="1" si="1"/>
        <v>#N/A</v>
      </c>
      <c r="N65" s="2539" t="s">
        <v>1381</v>
      </c>
      <c r="Z65" s="1749"/>
      <c r="AI65" s="1750"/>
    </row>
    <row r="66" spans="1:35" ht="14.25" customHeight="1">
      <c r="A66" s="173" t="s">
        <v>327</v>
      </c>
      <c r="B66" s="174" t="s">
        <v>1384</v>
      </c>
      <c r="C66" s="2562"/>
      <c r="D66" s="174" t="s">
        <v>26</v>
      </c>
      <c r="E66" s="1335" t="s">
        <v>669</v>
      </c>
      <c r="F66" s="1805"/>
      <c r="G66" s="1805"/>
      <c r="H66" s="1807"/>
      <c r="I66" s="129"/>
      <c r="J66" s="3831"/>
      <c r="K66" s="3466" t="s">
        <v>1385</v>
      </c>
      <c r="L66" s="3466" t="e">
        <f ca="1">M49*0.5%</f>
        <v>#N/A</v>
      </c>
      <c r="M66" s="302" t="e">
        <f ca="1">IF(L66&gt;0.5,0.5,ROUND(L66,0))</f>
        <v>#N/A</v>
      </c>
      <c r="N66" s="2539" t="s">
        <v>1386</v>
      </c>
      <c r="Z66" s="1749"/>
      <c r="AI66" s="1750"/>
    </row>
    <row r="67" spans="1:35" ht="14.25" customHeight="1">
      <c r="A67" s="173" t="s">
        <v>328</v>
      </c>
      <c r="B67" s="174" t="s">
        <v>1387</v>
      </c>
      <c r="C67" s="2563" t="e">
        <f ca="1">C63-C66</f>
        <v>#N/A</v>
      </c>
      <c r="D67" s="170" t="s">
        <v>26</v>
      </c>
      <c r="E67" s="172"/>
      <c r="F67" s="1805"/>
      <c r="G67" s="1805"/>
      <c r="H67" s="1807"/>
      <c r="I67" s="129"/>
      <c r="J67" s="3831"/>
      <c r="K67" s="3466" t="s">
        <v>1388</v>
      </c>
      <c r="L67" s="3466"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8"/>
      <c r="Z67" s="1749"/>
      <c r="AI67" s="1750"/>
    </row>
    <row r="68" spans="1:35" ht="14.25" customHeight="1" thickBot="1">
      <c r="A68" s="176" t="s">
        <v>329</v>
      </c>
      <c r="B68" s="177" t="s">
        <v>1389</v>
      </c>
      <c r="C68" s="2564" t="e">
        <f ca="1">IF(C67&lt;=0,0,ROUND(C67*D68,0))</f>
        <v>#N/A</v>
      </c>
      <c r="D68" s="2565">
        <f>'数据-取费表'!B41</f>
        <v>5.6000000000000001E-2</v>
      </c>
      <c r="E68" s="178"/>
      <c r="F68" s="1805"/>
      <c r="G68" s="1805"/>
      <c r="H68" s="1807"/>
      <c r="I68" s="129"/>
      <c r="J68" s="3831"/>
      <c r="K68" s="3466" t="s">
        <v>1390</v>
      </c>
      <c r="L68" s="3466" t="e">
        <f ca="1">IF(M49&gt;10000,M49*0.5%,IF(AND(M49&gt;5000,M49&lt;=10000),M49*1%,IF(AND(M49&gt;1000,M49&lt;=5000),M49*2%,IF(AND(M49&gt;200,M49&lt;=1000),M49*3%,M49*5%))))</f>
        <v>#N/A</v>
      </c>
      <c r="M68" s="302" t="e">
        <f ca="1">ROUND(L68,1)</f>
        <v>#N/A</v>
      </c>
      <c r="N68" s="2538"/>
      <c r="Z68" s="1749"/>
      <c r="AI68" s="1750"/>
    </row>
    <row r="69" spans="1:35" s="1769" customFormat="1" ht="16.5" customHeight="1">
      <c r="A69" s="1808"/>
      <c r="B69" s="1809"/>
      <c r="C69" s="1810"/>
      <c r="D69" s="1811"/>
      <c r="E69" s="1812"/>
      <c r="F69" s="1575"/>
      <c r="G69" s="1575"/>
      <c r="H69" s="1574"/>
      <c r="I69" s="1744"/>
      <c r="J69" s="3831"/>
      <c r="K69" s="3466" t="s">
        <v>1391</v>
      </c>
      <c r="L69" s="3466"/>
      <c r="M69" s="302" t="e">
        <f ca="1">ROUND(SUM(M63:M68),0)</f>
        <v>#N/A</v>
      </c>
      <c r="N69" s="2540" t="e">
        <f ca="1">M69/M49</f>
        <v>#N/A</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793" t="s">
        <v>1392</v>
      </c>
      <c r="B70" s="3794"/>
      <c r="C70" s="3794"/>
      <c r="D70" s="3794"/>
      <c r="E70" s="3794"/>
      <c r="F70" s="3794"/>
      <c r="G70" s="3794"/>
      <c r="H70" s="379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72" t="s">
        <v>1373</v>
      </c>
      <c r="B71" s="3773"/>
      <c r="C71" s="3456"/>
      <c r="D71" s="345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#N/A</v>
      </c>
      <c r="D72" s="170" t="s">
        <v>26</v>
      </c>
      <c r="E72" s="3455"/>
      <c r="F72" s="3448"/>
      <c r="G72" s="3448"/>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#N/A</v>
      </c>
      <c r="D73" s="170" t="s">
        <v>26</v>
      </c>
      <c r="E73" s="3455"/>
      <c r="F73" s="3448"/>
      <c r="G73" s="3448"/>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5"/>
      <c r="F74" s="3448"/>
      <c r="G74" s="3448"/>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767" t="s">
        <v>1400</v>
      </c>
      <c r="F76" s="3741"/>
      <c r="G76" s="3741"/>
      <c r="H76" s="379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5" t="s">
        <v>1402</v>
      </c>
      <c r="F77" s="186"/>
      <c r="G77" s="1819"/>
      <c r="H77" s="345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#N/A</v>
      </c>
      <c r="D78" s="2572">
        <f>'数据-取费表'!B43</f>
        <v>6.000000000000001E-3</v>
      </c>
      <c r="E78" s="3751" t="s">
        <v>1404</v>
      </c>
      <c r="F78" s="3752"/>
      <c r="G78" s="3752"/>
      <c r="H78" s="376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#N/A</v>
      </c>
      <c r="D79" s="170" t="s">
        <v>26</v>
      </c>
      <c r="E79" s="3455"/>
      <c r="F79" s="3448"/>
      <c r="G79" s="3448"/>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#N/A</v>
      </c>
      <c r="D80" s="170" t="s">
        <v>26</v>
      </c>
      <c r="E80" s="3465" t="e">
        <f ca="1">IF(C80&gt;=200%,"增值额超过扣除项目金额200%",IF(C80&gt;=100%,"增值额超过扣除项目金额100%，未超过200%",IF(C80&gt;=50%,"增值额超过扣除项目金额50%，未超过100%",IF(C80&lt;50%,"增值额未超过扣除项目金额50%"))))</f>
        <v>#N/A</v>
      </c>
      <c r="F80" s="3448"/>
      <c r="G80" s="3448"/>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#N/A</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93" t="s">
        <v>1408</v>
      </c>
      <c r="B83" s="3794"/>
      <c r="C83" s="3794"/>
      <c r="D83" s="3794"/>
      <c r="E83" s="3794"/>
      <c r="F83" s="3794"/>
      <c r="G83" s="3794"/>
      <c r="H83" s="379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72" t="s">
        <v>1373</v>
      </c>
      <c r="B84" s="3773"/>
      <c r="C84" s="3456"/>
      <c r="D84" s="345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#N/A</v>
      </c>
      <c r="D85" s="170" t="s">
        <v>26</v>
      </c>
      <c r="E85" s="3455"/>
      <c r="F85" s="3448"/>
      <c r="G85" s="3448"/>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#N/A</v>
      </c>
      <c r="D86" s="2576"/>
      <c r="E86" s="3455"/>
      <c r="F86" s="3448"/>
      <c r="G86" s="3448"/>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9"/>
      <c r="F87" s="3450"/>
      <c r="G87" s="3450"/>
      <c r="H87" s="345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50"/>
      <c r="G88" s="194" t="s">
        <v>1412</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50"/>
      <c r="G89" s="3450"/>
      <c r="H89" s="345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50"/>
      <c r="G90" s="3833" t="s">
        <v>2124</v>
      </c>
      <c r="H90" s="3834"/>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IF(H91="——",'成本法-负2层'!C33,I91)</f>
        <v>0</v>
      </c>
      <c r="D91" s="2572"/>
      <c r="E91" s="3751" t="s">
        <v>1417</v>
      </c>
      <c r="F91" s="3752"/>
      <c r="G91" s="375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751" t="s">
        <v>1420</v>
      </c>
      <c r="F92" s="3752"/>
      <c r="G92" s="3752"/>
      <c r="H92" s="3761"/>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#N/A</v>
      </c>
      <c r="D93" s="2572">
        <f>'数据-取费表'!B43</f>
        <v>6.000000000000001E-3</v>
      </c>
      <c r="E93" s="3751" t="s">
        <v>1404</v>
      </c>
      <c r="F93" s="3752"/>
      <c r="G93" s="3752"/>
      <c r="H93" s="376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762" t="s">
        <v>1424</v>
      </c>
      <c r="F94" s="3763"/>
      <c r="G94" s="3763"/>
      <c r="H94" s="376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#N/A</v>
      </c>
      <c r="D95" s="170" t="s">
        <v>26</v>
      </c>
      <c r="E95" s="3455"/>
      <c r="F95" s="3448"/>
      <c r="G95" s="3448"/>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#N/A</v>
      </c>
      <c r="D96" s="170" t="s">
        <v>26</v>
      </c>
      <c r="E96" s="3465" t="e">
        <f ca="1">IF(C96&gt;=200%,"增值额超过扣除项目金额200%",IF(C96&gt;=100%,"增值额超过扣除项目金额100%，未超过200%",IF(C96&gt;=50%,"增值额超过扣除项目金额50%，未超过100%",IF(C96&lt;50%,"增值额未超过扣除项目金额50%"))))</f>
        <v>#N/A</v>
      </c>
      <c r="F96" s="3448"/>
      <c r="G96" s="3448"/>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#N/A</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728" t="s">
        <v>1426</v>
      </c>
      <c r="B100" s="3729"/>
      <c r="C100" s="3729"/>
      <c r="D100" s="3753"/>
      <c r="E100" s="3729" t="s">
        <v>1427</v>
      </c>
      <c r="F100" s="3729"/>
      <c r="G100" s="3729"/>
      <c r="H100" s="3753"/>
      <c r="I100" s="129"/>
    </row>
    <row r="101" spans="1:35" ht="18.75" customHeight="1">
      <c r="A101" s="3814" t="s">
        <v>1428</v>
      </c>
      <c r="B101" s="3815"/>
      <c r="C101" s="2580" t="str">
        <f>C4</f>
        <v>成本法-车位</v>
      </c>
      <c r="D101" s="2581" t="str">
        <f>D4</f>
        <v>收益法-地下车位</v>
      </c>
      <c r="E101" s="3828" t="s">
        <v>1429</v>
      </c>
      <c r="F101" s="3785"/>
      <c r="G101" s="1824" t="s">
        <v>1430</v>
      </c>
      <c r="H101" s="2590" t="e">
        <f ca="1">H118</f>
        <v>#N/A</v>
      </c>
      <c r="I101" s="129"/>
    </row>
    <row r="102" spans="1:35" ht="18.75" customHeight="1">
      <c r="A102" s="3787" t="s">
        <v>1431</v>
      </c>
      <c r="B102" s="2579" t="s">
        <v>1430</v>
      </c>
      <c r="C102" s="2580" t="e">
        <f ca="1">IF(D32="楼面单价",ROUND(C19,0),C19)</f>
        <v>#N/A</v>
      </c>
      <c r="D102" s="2581" t="e">
        <f ca="1">IF(D32="楼面单价",ROUND(D19,0),D19)</f>
        <v>#N/A</v>
      </c>
      <c r="E102" s="3828"/>
      <c r="F102" s="3785"/>
      <c r="G102" s="1824" t="s">
        <v>1432</v>
      </c>
      <c r="H102" s="2550" t="e">
        <f ca="1">I118</f>
        <v>#N/A</v>
      </c>
      <c r="I102" s="129"/>
    </row>
    <row r="103" spans="1:35" ht="42.75" customHeight="1">
      <c r="A103" s="3787"/>
      <c r="B103" s="2579" t="s">
        <v>1432</v>
      </c>
      <c r="C103" s="2582" t="e">
        <f ca="1">C20</f>
        <v>#N/A</v>
      </c>
      <c r="D103" s="2583">
        <f ca="1">D20</f>
        <v>0</v>
      </c>
      <c r="E103" s="3822" t="s">
        <v>1433</v>
      </c>
      <c r="F103" s="3823"/>
      <c r="G103" s="1825" t="s">
        <v>1434</v>
      </c>
      <c r="H103" s="2590">
        <f>IF(D36="正常操作",H104+H105+H106,H105+H106)</f>
        <v>0</v>
      </c>
      <c r="I103" s="129"/>
    </row>
    <row r="104" spans="1:35" ht="18.75" customHeight="1">
      <c r="A104" s="3787" t="s">
        <v>1435</v>
      </c>
      <c r="B104" s="2584" t="s">
        <v>1430</v>
      </c>
      <c r="C104" s="2585" t="e">
        <f ca="1">H118</f>
        <v>#N/A</v>
      </c>
      <c r="D104" s="2586"/>
      <c r="E104" s="1671" t="s">
        <v>1436</v>
      </c>
      <c r="F104" s="1663"/>
      <c r="G104" s="1825" t="s">
        <v>1434</v>
      </c>
      <c r="H104" s="2591">
        <f>IF(D36="同一抵押权人同一抵押物续贷",C36&amp;"（续贷，未扣减，详见特别提示）",C36)</f>
        <v>0</v>
      </c>
      <c r="I104" s="129"/>
    </row>
    <row r="105" spans="1:35" ht="18.75" customHeight="1" thickBot="1">
      <c r="A105" s="3788"/>
      <c r="B105" s="2587" t="s">
        <v>1432</v>
      </c>
      <c r="C105" s="2588" t="e">
        <f ca="1">I118</f>
        <v>#N/A</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784" t="str">
        <f>IF(项目基本情况!E8="已注销","——","3.房地产抵押价值")</f>
        <v>3.房地产抵押价值</v>
      </c>
      <c r="F107" s="3785"/>
      <c r="G107" s="1824" t="s">
        <v>1430</v>
      </c>
      <c r="H107" s="2590" t="e">
        <f ca="1">IF(E107="——","——",H101-H103)</f>
        <v>#N/A</v>
      </c>
      <c r="I107" s="129"/>
    </row>
    <row r="108" spans="1:35" ht="18.75" customHeight="1">
      <c r="A108" s="129"/>
      <c r="B108" s="129"/>
      <c r="C108" s="129"/>
      <c r="D108" s="129"/>
      <c r="E108" s="3784"/>
      <c r="F108" s="3785"/>
      <c r="G108" s="1824" t="s">
        <v>1432</v>
      </c>
      <c r="H108" s="2550" t="e">
        <f ca="1">IF(H107=H101,H102,ROUND(H107*10000/'数据-汇总表'!E3,0))</f>
        <v>#N/A</v>
      </c>
      <c r="I108" s="129"/>
    </row>
    <row r="109" spans="1:35" ht="18.75" customHeight="1">
      <c r="A109" s="129"/>
      <c r="B109" s="129"/>
      <c r="C109" s="129"/>
      <c r="D109" s="129"/>
      <c r="E109" s="3784" t="str">
        <f>IF(项目基本情况!E8="已注销及未注销","4.抵押担保权已注销时的房地产抵押价值",IF(项目基本情况!E8="已注销","3.抵押担保权已注销时的房地产抵押价值","——"))</f>
        <v>——</v>
      </c>
      <c r="F109" s="3785"/>
      <c r="G109" s="1824" t="s">
        <v>1430</v>
      </c>
      <c r="H109" s="2593" t="str">
        <f>IF(E109="——","——",H101-H105-H106)</f>
        <v>——</v>
      </c>
      <c r="I109" s="129"/>
    </row>
    <row r="110" spans="1:35" ht="18.75" customHeight="1">
      <c r="A110" s="129"/>
      <c r="B110" s="129"/>
      <c r="C110" s="129"/>
      <c r="D110" s="129"/>
      <c r="E110" s="3784"/>
      <c r="F110" s="3785"/>
      <c r="G110" s="1824" t="s">
        <v>1432</v>
      </c>
      <c r="H110" s="2550" t="str">
        <f>IF(H109="——","——",ROUND(H109*10000/'数据-汇总表'!E3,0))</f>
        <v>——</v>
      </c>
      <c r="I110" s="129"/>
    </row>
    <row r="111" spans="1:35" ht="18.75" customHeight="1">
      <c r="A111" s="129"/>
      <c r="B111" s="129"/>
      <c r="C111" s="129"/>
      <c r="D111" s="129"/>
      <c r="E111" s="3816" t="str">
        <f>IF(项目基本情况!E9="抵押净值",IF(OR(项目基本情况!E8="已注销",项目基本情况!E8="房地产抵押价值"),"4.抵押净值","5.抵押净值"),"——")</f>
        <v>——</v>
      </c>
      <c r="F111" s="3786"/>
      <c r="G111" s="1824" t="s">
        <v>1430</v>
      </c>
      <c r="H111" s="2590" t="str">
        <f>IF(E111="——","——",N59)</f>
        <v>——</v>
      </c>
      <c r="I111" s="129"/>
    </row>
    <row r="112" spans="1:35" ht="18.75" customHeight="1" thickBot="1">
      <c r="A112" s="129"/>
      <c r="B112" s="129"/>
      <c r="C112" s="129"/>
      <c r="D112" s="129"/>
      <c r="E112" s="3817"/>
      <c r="F112" s="3818"/>
      <c r="G112" s="1827" t="s">
        <v>1432</v>
      </c>
      <c r="H112" s="2594" t="str">
        <f>IF(E111="——","——",N61)</f>
        <v>——</v>
      </c>
      <c r="I112" s="129"/>
    </row>
    <row r="113" spans="1:27" ht="18.75" customHeight="1">
      <c r="A113" s="129"/>
      <c r="B113" s="129"/>
      <c r="C113" s="129"/>
      <c r="D113" s="129"/>
      <c r="E113" s="3789" t="s">
        <v>1438</v>
      </c>
      <c r="F113" s="3789"/>
      <c r="G113" s="3789"/>
      <c r="H113" s="3789"/>
      <c r="I113" s="129"/>
    </row>
    <row r="114" spans="1:27" ht="3.75" customHeight="1">
      <c r="A114" s="1744"/>
      <c r="B114" s="1744"/>
      <c r="C114" s="1744"/>
      <c r="D114" s="1744"/>
      <c r="E114" s="1806"/>
      <c r="F114" s="1806"/>
      <c r="G114" s="1806"/>
      <c r="H114" s="1806"/>
      <c r="I114" s="1744"/>
    </row>
    <row r="115" spans="1:27" ht="18.75" customHeight="1">
      <c r="A115" s="3799" t="s">
        <v>1440</v>
      </c>
      <c r="B115" s="3800"/>
      <c r="C115" s="3800"/>
      <c r="D115" s="3800"/>
      <c r="E115" s="3800"/>
      <c r="F115" s="3800"/>
      <c r="G115" s="3800"/>
      <c r="H115" s="3800"/>
      <c r="I115" s="3801"/>
    </row>
    <row r="116" spans="1:27" ht="27" customHeight="1">
      <c r="A116" s="3755" t="s">
        <v>1441</v>
      </c>
      <c r="B116" s="3790" t="s">
        <v>3685</v>
      </c>
      <c r="C116" s="3790" t="s">
        <v>3686</v>
      </c>
      <c r="D116" s="3803" t="s">
        <v>1442</v>
      </c>
      <c r="E116" s="3804"/>
      <c r="F116" s="3798" t="s">
        <v>3687</v>
      </c>
      <c r="G116" s="3798"/>
      <c r="H116" s="3755" t="s">
        <v>1443</v>
      </c>
      <c r="I116" s="3755"/>
    </row>
    <row r="117" spans="1:27" ht="18.75" customHeight="1">
      <c r="A117" s="3755"/>
      <c r="B117" s="3791"/>
      <c r="C117" s="3791"/>
      <c r="D117" s="3451" t="s">
        <v>1444</v>
      </c>
      <c r="E117" s="3451" t="s">
        <v>1445</v>
      </c>
      <c r="F117" s="3451" t="s">
        <v>1444</v>
      </c>
      <c r="G117" s="3451" t="s">
        <v>1446</v>
      </c>
      <c r="H117" s="3451" t="s">
        <v>1444</v>
      </c>
      <c r="I117" s="3451" t="s">
        <v>1446</v>
      </c>
    </row>
    <row r="118" spans="1:27" ht="24.75" customHeight="1">
      <c r="A118" s="2595" t="str">
        <f>项目基本情况!S2</f>
        <v>北京市朝阳区清林东路4号6号楼负2层B202、负3层B302商业用房房地产</v>
      </c>
      <c r="B118" s="3451">
        <f>M18</f>
        <v>0</v>
      </c>
      <c r="C118" s="3451">
        <f>M19</f>
        <v>0</v>
      </c>
      <c r="D118" s="3451" t="e">
        <f ca="1">ROUND(IF(D32="总价",C34,E118*B118/10000),0)</f>
        <v>#N/A</v>
      </c>
      <c r="E118" s="3451" t="e">
        <f ca="1">ROUND(IF(C33="自定义",IF(D32="楼面单价",C34,D118*10000/B118),I118-G118),0)</f>
        <v>#N/A</v>
      </c>
      <c r="F118" s="3451" t="e">
        <f ca="1">ROUND(IF(D32="总价",C35,G118*B118/10000),0)</f>
        <v>#N/A</v>
      </c>
      <c r="G118" s="3451" t="e">
        <f ca="1">ROUND(IF(D32="楼面单价",C35,F118*10000/B118),0)</f>
        <v>#N/A</v>
      </c>
      <c r="H118" s="3451" t="e">
        <f ca="1">ROUND(IF(D32="总价",C32,I118*B118/10000),0)</f>
        <v>#N/A</v>
      </c>
      <c r="I118" s="3451" t="e">
        <f ca="1">ROUND(IF(D32="楼面单价",C32,H118*10000/B118),0)</f>
        <v>#N/A</v>
      </c>
    </row>
    <row r="119" spans="1:27" ht="18.75" customHeight="1">
      <c r="A119" s="3755" t="s">
        <v>1447</v>
      </c>
      <c r="B119" s="3755"/>
      <c r="C119" s="3755"/>
      <c r="D119" s="3795" t="e">
        <f ca="1">NUMBERSTRING(INT(D118*10000),2)&amp;"元整"</f>
        <v>#N/A</v>
      </c>
      <c r="E119" s="3797"/>
      <c r="F119" s="3795" t="e">
        <f ca="1">NUMBERSTRING(INT(F118*10000),2)&amp;"元整"</f>
        <v>#N/A</v>
      </c>
      <c r="G119" s="3797"/>
      <c r="H119" s="3795" t="e">
        <f ca="1">NUMBERSTRING(INT(H118*10000),2)&amp;"元整"</f>
        <v>#N/A</v>
      </c>
      <c r="I119" s="3797"/>
    </row>
    <row r="120" spans="1:27" ht="18.75" customHeight="1">
      <c r="A120" s="3819" t="str">
        <f>IF(项目基本情况!B9="房地产市场价值","",MID(E103,3,LEN(E103)-2))</f>
        <v>估价师知悉的法定优先受偿款</v>
      </c>
      <c r="B120" s="3820"/>
      <c r="C120" s="3821"/>
      <c r="D120" s="3819">
        <f>H103</f>
        <v>0</v>
      </c>
      <c r="E120" s="3820"/>
      <c r="F120" s="3820"/>
      <c r="G120" s="3820"/>
      <c r="H120" s="3820"/>
      <c r="I120" s="382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95" t="s">
        <v>1447</v>
      </c>
      <c r="B121" s="3796"/>
      <c r="C121" s="3797"/>
      <c r="D121" s="3795" t="str">
        <f>IF(D120=0,"零元整",NUMBERSTRING(INT(D120*10000),2)&amp;"元整")</f>
        <v>零元整</v>
      </c>
      <c r="E121" s="3796"/>
      <c r="F121" s="3796"/>
      <c r="G121" s="3796"/>
      <c r="H121" s="3796"/>
      <c r="I121" s="3797"/>
      <c r="AA121" s="725"/>
    </row>
    <row r="122" spans="1:27" ht="18.75" customHeight="1">
      <c r="A122" s="3786" t="str">
        <f>IF(项目基本情况!B9="房地产市场价值","",MID(E107,3,LEN(E107)-2))</f>
        <v>房地产抵押价值</v>
      </c>
      <c r="B122" s="3786"/>
      <c r="C122" s="3786"/>
      <c r="D122" s="3819" t="e">
        <f ca="1">H107</f>
        <v>#N/A</v>
      </c>
      <c r="E122" s="3820"/>
      <c r="F122" s="3820"/>
      <c r="G122" s="3820"/>
      <c r="H122" s="3820"/>
      <c r="I122" s="3821"/>
      <c r="AA122" s="725"/>
    </row>
    <row r="123" spans="1:27" ht="18.75" customHeight="1">
      <c r="A123" s="3755" t="s">
        <v>1447</v>
      </c>
      <c r="B123" s="3755"/>
      <c r="C123" s="3755"/>
      <c r="D123" s="3795" t="e">
        <f ca="1">NUMBERSTRING(INT(D122*10000),2)&amp;"元整"</f>
        <v>#N/A</v>
      </c>
      <c r="E123" s="3796"/>
      <c r="F123" s="3796"/>
      <c r="G123" s="3796"/>
      <c r="H123" s="3796"/>
      <c r="I123" s="3797"/>
      <c r="AA123" s="725"/>
    </row>
    <row r="124" spans="1:27" ht="18.75" customHeight="1">
      <c r="A124" s="3786" t="str">
        <f>IF(项目基本情况!B9="房地产市场价值","",MID(E109,3,LEN(E109)-2))</f>
        <v/>
      </c>
      <c r="B124" s="3786"/>
      <c r="C124" s="3786"/>
      <c r="D124" s="3819" t="str">
        <f>H109</f>
        <v>——</v>
      </c>
      <c r="E124" s="3820"/>
      <c r="F124" s="3820"/>
      <c r="G124" s="3820"/>
      <c r="H124" s="3820"/>
      <c r="I124" s="3821"/>
      <c r="AA124" s="725"/>
    </row>
    <row r="125" spans="1:27" ht="18.75" customHeight="1">
      <c r="A125" s="3755" t="s">
        <v>1447</v>
      </c>
      <c r="B125" s="3755"/>
      <c r="C125" s="3755"/>
      <c r="D125" s="3795" t="e">
        <f>NUMBERSTRING(INT(D124*10000),2)&amp;"元整"</f>
        <v>#VALUE!</v>
      </c>
      <c r="E125" s="3796"/>
      <c r="F125" s="3796"/>
      <c r="G125" s="3796"/>
      <c r="H125" s="3796"/>
      <c r="I125" s="3797"/>
      <c r="AA125" s="725"/>
    </row>
    <row r="126" spans="1:27" ht="18.75" customHeight="1">
      <c r="A126" s="3786" t="str">
        <f>IF(项目基本情况!B9="房地产市场价值","",MID(E111,3,LEN(E111)-2))</f>
        <v/>
      </c>
      <c r="B126" s="3786"/>
      <c r="C126" s="3786"/>
      <c r="D126" s="3819" t="str">
        <f>H111</f>
        <v>——</v>
      </c>
      <c r="E126" s="3820"/>
      <c r="F126" s="3820"/>
      <c r="G126" s="3820"/>
      <c r="H126" s="3820"/>
      <c r="I126" s="3821"/>
      <c r="AA126" s="725"/>
    </row>
    <row r="127" spans="1:27" ht="18.75" customHeight="1">
      <c r="A127" s="3755" t="s">
        <v>1447</v>
      </c>
      <c r="B127" s="3755"/>
      <c r="C127" s="3755"/>
      <c r="D127" s="3795" t="e">
        <f>NUMBERSTRING(INT(D126*10000),2)&amp;"元整"</f>
        <v>#VALUE!</v>
      </c>
      <c r="E127" s="3796"/>
      <c r="F127" s="3796"/>
      <c r="G127" s="3796"/>
      <c r="H127" s="3796"/>
      <c r="I127" s="3797"/>
      <c r="AA127" s="725"/>
    </row>
    <row r="128" spans="1:27" ht="21.75" customHeight="1">
      <c r="A128" s="3802" t="s">
        <v>1448</v>
      </c>
      <c r="B128" s="3802"/>
      <c r="C128" s="3802"/>
      <c r="D128" s="3802"/>
      <c r="E128" s="3802"/>
      <c r="F128" s="3802"/>
      <c r="G128" s="3802"/>
      <c r="H128" s="3802"/>
      <c r="I128" s="3802"/>
      <c r="AA128" s="725"/>
    </row>
    <row r="129" spans="1:35" ht="21.75" customHeight="1">
      <c r="A129" s="1828" t="s">
        <v>1449</v>
      </c>
      <c r="B129" s="1829"/>
      <c r="C129" s="1830" t="s">
        <v>1450</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1451</v>
      </c>
      <c r="G135" s="1845"/>
      <c r="H135" s="1845"/>
      <c r="I135" s="1846" t="s">
        <v>1452</v>
      </c>
    </row>
    <row r="136" spans="1:35" ht="21.75" customHeight="1">
      <c r="A136" s="725"/>
      <c r="B136" s="1847"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1454</v>
      </c>
    </row>
    <row r="139" spans="1:35" ht="21.75" customHeight="1">
      <c r="A139" s="725"/>
      <c r="B139" s="1847" t="s">
        <v>1455</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1454</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6" priority="10" stopIfTrue="1" operator="equal">
      <formula>25</formula>
    </cfRule>
  </conditionalFormatting>
  <conditionalFormatting sqref="C8:C9">
    <cfRule type="cellIs" dxfId="175" priority="9" stopIfTrue="1" operator="equal">
      <formula>15</formula>
    </cfRule>
  </conditionalFormatting>
  <conditionalFormatting sqref="C14:C16">
    <cfRule type="cellIs" dxfId="174" priority="8" stopIfTrue="1" operator="equal">
      <formula>30</formula>
    </cfRule>
  </conditionalFormatting>
  <conditionalFormatting sqref="D5:D7">
    <cfRule type="cellIs" dxfId="173" priority="7" stopIfTrue="1" operator="equal">
      <formula>25</formula>
    </cfRule>
  </conditionalFormatting>
  <conditionalFormatting sqref="D8:D9">
    <cfRule type="cellIs" dxfId="172" priority="6" stopIfTrue="1" operator="equal">
      <formula>15</formula>
    </cfRule>
  </conditionalFormatting>
  <conditionalFormatting sqref="C10:D13">
    <cfRule type="cellIs" dxfId="171" priority="5" stopIfTrue="1" operator="equal">
      <formula>15</formula>
    </cfRule>
  </conditionalFormatting>
  <conditionalFormatting sqref="D14:D16">
    <cfRule type="cellIs" dxfId="170" priority="4"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c r="D1" s="1359" t="s">
        <v>43</v>
      </c>
      <c r="E1" s="1360" t="s">
        <v>676</v>
      </c>
      <c r="F1" s="1059">
        <f ca="1">J53</f>
        <v>0</v>
      </c>
      <c r="G1" s="1375">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876</v>
      </c>
      <c r="B2" s="3420" t="e">
        <f ca="1">ROUND(D2/10000,4)</f>
        <v>#DIV/0!</v>
      </c>
      <c r="C2" s="1384" t="s">
        <v>877</v>
      </c>
      <c r="D2" s="1468" t="e">
        <f ca="1">C40+J29+L46</f>
        <v>#DIV/0!</v>
      </c>
      <c r="E2" s="1385" t="s">
        <v>878</v>
      </c>
      <c r="F2" s="1386"/>
      <c r="G2" s="2701"/>
      <c r="H2" s="2690"/>
      <c r="I2" s="2690"/>
      <c r="J2" s="2690"/>
      <c r="K2" s="2691"/>
      <c r="L2" s="2690"/>
      <c r="M2" s="2690"/>
    </row>
    <row r="3" spans="1:37" ht="18" customHeight="1" thickBot="1">
      <c r="A3" s="1387" t="s">
        <v>879</v>
      </c>
      <c r="B3" s="1388">
        <f ca="1">IF(ISERROR(D2/F43),0,ROUND(D2/F43,0))</f>
        <v>0</v>
      </c>
      <c r="C3" s="1384" t="s">
        <v>880</v>
      </c>
      <c r="D3" s="1384"/>
      <c r="E3" s="1385"/>
      <c r="F3" s="1386"/>
      <c r="G3" s="2701"/>
      <c r="H3" s="683"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7">
        <f ca="1">C6+C10+C12</f>
        <v>0</v>
      </c>
      <c r="D5" s="1361" t="s">
        <v>887</v>
      </c>
      <c r="E5" s="1068"/>
      <c r="F5" s="1069"/>
      <c r="G5" s="1381"/>
      <c r="H5" s="299">
        <v>1</v>
      </c>
      <c r="I5" s="300" t="s">
        <v>886</v>
      </c>
      <c r="J5" s="1067">
        <f ca="1">J6+J10+J12</f>
        <v>0</v>
      </c>
      <c r="K5" s="1361" t="s">
        <v>887</v>
      </c>
      <c r="L5" s="1068"/>
      <c r="M5" s="1069"/>
    </row>
    <row r="6" spans="1:37" ht="18" customHeight="1">
      <c r="A6" s="1066" t="s">
        <v>398</v>
      </c>
      <c r="B6" s="3859" t="s">
        <v>692</v>
      </c>
      <c r="C6" s="1071">
        <f ca="1">ROUND(F6*F8*F7*(1-F9),0)</f>
        <v>0</v>
      </c>
      <c r="D6" s="155" t="s">
        <v>2101</v>
      </c>
      <c r="E6" s="302" t="s">
        <v>694</v>
      </c>
      <c r="F6" s="303">
        <f ca="1">INDIRECT("'数据-取费表'!u"&amp;$G$1)</f>
        <v>0</v>
      </c>
      <c r="G6" s="1381"/>
      <c r="H6" s="1066" t="s">
        <v>398</v>
      </c>
      <c r="I6" s="3859" t="s">
        <v>692</v>
      </c>
      <c r="J6" s="301">
        <f ca="1">ROUND(M6*M8*M7*(1-M9),0)</f>
        <v>0</v>
      </c>
      <c r="K6" s="1373" t="s">
        <v>2102</v>
      </c>
      <c r="L6" s="302" t="s">
        <v>694</v>
      </c>
      <c r="M6" s="303">
        <f ca="1">INDIRECT("'数据-取费表'!z"&amp;$G$1)</f>
        <v>0</v>
      </c>
    </row>
    <row r="7" spans="1:37" ht="18" customHeight="1">
      <c r="A7" s="1070"/>
      <c r="B7" s="3860"/>
      <c r="C7" s="1072"/>
      <c r="D7" s="307"/>
      <c r="E7" s="1073" t="s">
        <v>695</v>
      </c>
      <c r="F7" s="303">
        <f ca="1">IF(INDIRECT("'数据-取费表'!ah"&amp;$G$1)="",INDIRECT("'数据-取费表'!k"&amp;$G$1),INDIRECT("'数据-取费表'!ah"&amp;$G$1))</f>
        <v>0</v>
      </c>
      <c r="G7" s="1381"/>
      <c r="H7" s="304"/>
      <c r="I7" s="3860"/>
      <c r="J7" s="306"/>
      <c r="K7" s="307"/>
      <c r="L7" s="302" t="s">
        <v>695</v>
      </c>
      <c r="M7" s="303">
        <f ca="1">F7</f>
        <v>0</v>
      </c>
    </row>
    <row r="8" spans="1:37" ht="18" customHeight="1">
      <c r="A8" s="304"/>
      <c r="B8" s="3860"/>
      <c r="C8" s="306"/>
      <c r="D8" s="307"/>
      <c r="E8" s="302" t="s">
        <v>696</v>
      </c>
      <c r="F8" s="303">
        <f ca="1">INDIRECT("'数据-取费表'!ai"&amp;$G$1)</f>
        <v>365</v>
      </c>
      <c r="G8" s="1381"/>
      <c r="H8" s="304"/>
      <c r="I8" s="3860"/>
      <c r="J8" s="306"/>
      <c r="K8" s="307"/>
      <c r="L8" s="302" t="s">
        <v>696</v>
      </c>
      <c r="M8" s="303">
        <f ca="1">INDIRECT("'数据-取费表'!ai"&amp;$G$1)</f>
        <v>365</v>
      </c>
    </row>
    <row r="9" spans="1:37" ht="18" customHeight="1">
      <c r="A9" s="304"/>
      <c r="B9" s="3861"/>
      <c r="C9" s="306"/>
      <c r="D9" s="307"/>
      <c r="E9" s="302" t="s">
        <v>697</v>
      </c>
      <c r="F9" s="312">
        <f ca="1">INDIRECT("'数据-取费表'!w"&amp;$G$1)</f>
        <v>0</v>
      </c>
      <c r="G9" s="1381"/>
      <c r="H9" s="304"/>
      <c r="I9" s="3861"/>
      <c r="J9" s="306"/>
      <c r="K9" s="307"/>
      <c r="L9" s="313" t="s">
        <v>697</v>
      </c>
      <c r="M9" s="314">
        <f ca="1">INDIRECT("'数据-取费表'!ab"&amp;$G$1)</f>
        <v>0</v>
      </c>
    </row>
    <row r="10" spans="1:37" ht="18" customHeight="1">
      <c r="A10" s="1066" t="s">
        <v>402</v>
      </c>
      <c r="B10" s="1362" t="s">
        <v>698</v>
      </c>
      <c r="C10" s="316">
        <f ca="1">ROUND(IF(F10="押一",C6/12*F11,IF(F10="押二",C6/12*2*F11,IF(F10="押三",C6/12*3*F11,C11*F11))),0)</f>
        <v>0</v>
      </c>
      <c r="D10" s="1363" t="s">
        <v>2111</v>
      </c>
      <c r="E10" s="313" t="s">
        <v>699</v>
      </c>
      <c r="F10" s="1113"/>
      <c r="G10" s="1381"/>
      <c r="H10" s="1066" t="s">
        <v>402</v>
      </c>
      <c r="I10" s="1362" t="s">
        <v>698</v>
      </c>
      <c r="J10" s="301">
        <f ca="1">ROUND(IF(M10="押一",J6/12*M11,IF(M10="押二",J6/12*2*M11,IF(M10="押三",J6/12*3*M11,J11*M11))),0)</f>
        <v>0</v>
      </c>
      <c r="K10" s="1374" t="s">
        <v>2113</v>
      </c>
      <c r="L10" s="313" t="s">
        <v>699</v>
      </c>
      <c r="M10" s="1113"/>
    </row>
    <row r="11" spans="1:37" ht="18" customHeight="1">
      <c r="A11" s="308"/>
      <c r="B11" s="1364" t="s">
        <v>888</v>
      </c>
      <c r="C11" s="956"/>
      <c r="D11" s="307"/>
      <c r="E11" s="313" t="s">
        <v>700</v>
      </c>
      <c r="F11" s="314">
        <f ca="1">'数据-取费表'!B39</f>
        <v>1.4999999999999999E-2</v>
      </c>
      <c r="G11" s="1381"/>
      <c r="H11" s="1074"/>
      <c r="I11" s="1364" t="s">
        <v>889</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f ca="1">ROUND(C29*F13,0)</f>
        <v>0</v>
      </c>
      <c r="D13" s="1078" t="s">
        <v>703</v>
      </c>
      <c r="E13" s="1078" t="s">
        <v>704</v>
      </c>
      <c r="F13" s="1079">
        <f ca="1">INDIRECT("'数据-取费表'!y"&amp;$G$1)</f>
        <v>0</v>
      </c>
      <c r="G13" s="1381"/>
      <c r="H13" s="1076">
        <v>2</v>
      </c>
      <c r="I13" s="1077" t="s">
        <v>702</v>
      </c>
      <c r="J13" s="1065">
        <f ca="1">ROUND(J14*J15,0)</f>
        <v>0</v>
      </c>
      <c r="K13" s="1084" t="s">
        <v>703</v>
      </c>
      <c r="L13" s="1389"/>
      <c r="M13" s="1390"/>
    </row>
    <row r="14" spans="1:37" ht="18" customHeight="1">
      <c r="A14" s="979" t="s">
        <v>397</v>
      </c>
      <c r="B14" s="302" t="s">
        <v>705</v>
      </c>
      <c r="C14" s="318">
        <f ca="1">ROUND(INDIRECT("'数据-取费表'!l"&amp;$G$1)*F43+'数据-取费表'!L14*INDIRECT("'数据-取费表'!S"&amp;$G$1),0)</f>
        <v>0</v>
      </c>
      <c r="D14" s="1342" t="s">
        <v>706</v>
      </c>
      <c r="E14" s="1339"/>
      <c r="F14" s="319"/>
      <c r="G14" s="1381"/>
      <c r="H14" s="979" t="s">
        <v>398</v>
      </c>
      <c r="I14" s="302" t="s">
        <v>707</v>
      </c>
      <c r="J14" s="21">
        <f ca="1">C29</f>
        <v>0</v>
      </c>
      <c r="K14" s="12"/>
      <c r="L14" s="804"/>
      <c r="M14" s="805"/>
    </row>
    <row r="15" spans="1:37" s="1394" customFormat="1" ht="18" customHeight="1" thickBot="1">
      <c r="A15" s="979" t="s">
        <v>399</v>
      </c>
      <c r="B15" s="302" t="s">
        <v>708</v>
      </c>
      <c r="C15" s="21">
        <f ca="1">ROUND(C14*F15,0)</f>
        <v>0</v>
      </c>
      <c r="D15" s="320" t="s">
        <v>709</v>
      </c>
      <c r="E15" s="320" t="s">
        <v>710</v>
      </c>
      <c r="F15" s="321">
        <f>'数据-取费表'!B33</f>
        <v>0.05</v>
      </c>
      <c r="G15" s="1393"/>
      <c r="H15" s="1086" t="s">
        <v>402</v>
      </c>
      <c r="I15" s="1087" t="s">
        <v>704</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f ca="1">ROUND(INDIRECT("'数据-取费表'!l"&amp;$G$1)*F43*F16,0)</f>
        <v>0</v>
      </c>
      <c r="D16" s="302" t="s">
        <v>709</v>
      </c>
      <c r="E16" s="302" t="s">
        <v>710</v>
      </c>
      <c r="F16" s="322">
        <f ca="1">IF(INDIRECT("'数据-取费表'!c"&amp;$G$1)="住宅",'数据-取费表'!B34,0)</f>
        <v>0</v>
      </c>
      <c r="G16" s="1381"/>
      <c r="H16" s="1076" t="s">
        <v>393</v>
      </c>
      <c r="I16" s="1077" t="s">
        <v>712</v>
      </c>
      <c r="J16" s="310">
        <f ca="1">ROUND(J17+J22+J23+J24,0)</f>
        <v>0</v>
      </c>
      <c r="K16" s="1084" t="s">
        <v>713</v>
      </c>
      <c r="L16" s="1085"/>
      <c r="M16" s="1069"/>
    </row>
    <row r="17" spans="1:37" s="1394" customFormat="1" ht="18" customHeight="1">
      <c r="A17" s="979" t="s">
        <v>679</v>
      </c>
      <c r="B17" s="302" t="s">
        <v>714</v>
      </c>
      <c r="C17" s="21">
        <f ca="1">ROUND(F17*(F43+INDIRECT("'数据-取费表'!S"&amp;$G$1)),0)</f>
        <v>0</v>
      </c>
      <c r="D17" s="302" t="s">
        <v>715</v>
      </c>
      <c r="E17" s="302" t="s">
        <v>716</v>
      </c>
      <c r="F17" s="23">
        <f>'数据-取费表'!B35</f>
        <v>200</v>
      </c>
      <c r="G17" s="1393"/>
      <c r="H17" s="979" t="s">
        <v>398</v>
      </c>
      <c r="I17" s="302" t="s">
        <v>717</v>
      </c>
      <c r="J17" s="2313">
        <f ca="1">ROUND(IF(AND(项目基本情况!B11="自然人",项目基本情况!B10="北京市"),J6*M17/(1+'数据-取费表'!C42),J18+J19+J20),0)</f>
        <v>0</v>
      </c>
      <c r="K17" s="1342" t="s">
        <v>718</v>
      </c>
      <c r="L17" s="1341"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f ca="1">ROUND(C14*F18,0)</f>
        <v>0</v>
      </c>
      <c r="D18" s="302" t="s">
        <v>709</v>
      </c>
      <c r="E18" s="302" t="s">
        <v>710</v>
      </c>
      <c r="F18" s="322">
        <f>'数据-取费表'!B36</f>
        <v>1.4999999999999999E-2</v>
      </c>
      <c r="G18" s="1393"/>
      <c r="H18" s="979" t="s">
        <v>397</v>
      </c>
      <c r="I18" s="302" t="s">
        <v>721</v>
      </c>
      <c r="J18" s="21">
        <f ca="1">ROUND(J6*M18/(1+'数据-取费表'!C42),0)</f>
        <v>0</v>
      </c>
      <c r="K18" s="1341"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f ca="1">SUM(C14:C18)</f>
        <v>0</v>
      </c>
      <c r="D19" s="131" t="s">
        <v>724</v>
      </c>
      <c r="E19" s="1357"/>
      <c r="F19" s="23"/>
      <c r="G19" s="1381"/>
      <c r="H19" s="979" t="s">
        <v>399</v>
      </c>
      <c r="I19" s="302" t="s">
        <v>725</v>
      </c>
      <c r="J19" s="21">
        <f ca="1">IF(K19="按租金收入计税",ROUND(J6*M19/(1+'数据-取费表'!C42),0),ROUND(C29*M19*0.7,0))</f>
        <v>0</v>
      </c>
      <c r="K19" s="1367" t="s">
        <v>3336</v>
      </c>
      <c r="L19" s="302" t="s">
        <v>710</v>
      </c>
      <c r="M19" s="322">
        <f>IF(K19="按租金收入计税",'数据-取费表'!B51,'数据-取费表'!B50)</f>
        <v>0.12</v>
      </c>
    </row>
    <row r="20" spans="1:37" s="1394" customFormat="1" ht="18" customHeight="1">
      <c r="A20" s="979" t="s">
        <v>402</v>
      </c>
      <c r="B20" s="302" t="s">
        <v>726</v>
      </c>
      <c r="C20" s="21">
        <f ca="1">ROUND(C19*F20,0)</f>
        <v>0</v>
      </c>
      <c r="D20" s="323" t="s">
        <v>727</v>
      </c>
      <c r="E20" s="302" t="s">
        <v>710</v>
      </c>
      <c r="F20" s="322">
        <f>'数据-取费表'!B37</f>
        <v>0.03</v>
      </c>
      <c r="G20" s="1393"/>
      <c r="H20" s="979" t="s">
        <v>678</v>
      </c>
      <c r="I20" s="155" t="s">
        <v>728</v>
      </c>
      <c r="J20" s="22">
        <f ca="1">ROUND(M20*M21,0)</f>
        <v>0</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0</v>
      </c>
      <c r="D21" s="323" t="s">
        <v>732</v>
      </c>
      <c r="E21" s="302" t="s">
        <v>733</v>
      </c>
      <c r="F21" s="322">
        <f>'数据-取费表'!B38</f>
        <v>0.03</v>
      </c>
      <c r="G21" s="1393"/>
      <c r="H21" s="326"/>
      <c r="I21" s="311"/>
      <c r="J21" s="26"/>
      <c r="K21" s="327"/>
      <c r="L21" s="302" t="s">
        <v>734</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1357"/>
      <c r="F22" s="23"/>
      <c r="G22" s="1381"/>
      <c r="H22" s="979" t="s">
        <v>402</v>
      </c>
      <c r="I22" s="302" t="s">
        <v>736</v>
      </c>
      <c r="J22" s="21">
        <f ca="1">ROUND(J14*M22,0)</f>
        <v>0</v>
      </c>
      <c r="K22" s="1341" t="s">
        <v>737</v>
      </c>
      <c r="L22" s="302" t="s">
        <v>710</v>
      </c>
      <c r="M22" s="328">
        <f ca="1">INDIRECT("'数据-取费表'!Ak"&amp;$G$1)</f>
        <v>0</v>
      </c>
    </row>
    <row r="23" spans="1:37" s="1394" customFormat="1" ht="18" customHeight="1">
      <c r="A23" s="979"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f ca="1">ROUND(J13*M23,0)</f>
        <v>0</v>
      </c>
      <c r="K23" s="1341" t="s">
        <v>741</v>
      </c>
      <c r="L23" s="302" t="s">
        <v>742</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682</v>
      </c>
      <c r="I24" s="1087" t="s">
        <v>726</v>
      </c>
      <c r="J24" s="1088">
        <f ca="1">ROUND(J5*M24,0)</f>
        <v>0</v>
      </c>
      <c r="K24" s="1089" t="s">
        <v>746</v>
      </c>
      <c r="L24" s="1087" t="s">
        <v>742</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747</v>
      </c>
      <c r="B25" s="302" t="s">
        <v>748</v>
      </c>
      <c r="C25" s="21"/>
      <c r="D25" s="131" t="s">
        <v>749</v>
      </c>
      <c r="E25" s="1357"/>
      <c r="F25" s="23"/>
      <c r="G25" s="1381"/>
      <c r="H25" s="1076" t="s">
        <v>394</v>
      </c>
      <c r="I25" s="1091" t="s">
        <v>750</v>
      </c>
      <c r="J25" s="310">
        <f ca="1">J5-J16</f>
        <v>0</v>
      </c>
      <c r="K25" s="1092" t="s">
        <v>751</v>
      </c>
      <c r="L25" s="1093"/>
      <c r="M25" s="1094"/>
    </row>
    <row r="26" spans="1:37" ht="18" customHeight="1">
      <c r="A26" s="979" t="s">
        <v>397</v>
      </c>
      <c r="B26" s="302" t="s">
        <v>752</v>
      </c>
      <c r="C26" s="21">
        <f ca="1">ROUND((C19+C20)*F26,0)</f>
        <v>0</v>
      </c>
      <c r="D26" s="323" t="s">
        <v>753</v>
      </c>
      <c r="E26" s="313" t="s">
        <v>754</v>
      </c>
      <c r="F26" s="312">
        <f ca="1">INDIRECT("'数据-取费表'!q"&amp;$G$1)</f>
        <v>0</v>
      </c>
      <c r="G26" s="1381"/>
      <c r="H26" s="299" t="s">
        <v>395</v>
      </c>
      <c r="I26" s="300" t="s">
        <v>755</v>
      </c>
      <c r="J26" s="301">
        <f ca="1">IF(J5&lt;&gt;0,ROUND(J25*(1-((1+M28)/(1+M26))^M27)/(M26-M28),0),0)</f>
        <v>0</v>
      </c>
      <c r="K26" s="324" t="s">
        <v>756</v>
      </c>
      <c r="L26" s="302" t="s">
        <v>757</v>
      </c>
      <c r="M26" s="312">
        <f ca="1">INDIRECT("'数据-取费表'!I"&amp;$G$1)</f>
        <v>0</v>
      </c>
    </row>
    <row r="27" spans="1:37" ht="18" customHeight="1">
      <c r="A27" s="979" t="s">
        <v>399</v>
      </c>
      <c r="B27" s="302" t="s">
        <v>758</v>
      </c>
      <c r="C27" s="21">
        <f ca="1">ROUND(F21*F26,4)</f>
        <v>0</v>
      </c>
      <c r="D27" s="323" t="s">
        <v>759</v>
      </c>
      <c r="E27" s="320"/>
      <c r="F27" s="321"/>
      <c r="G27" s="1381"/>
      <c r="H27" s="304"/>
      <c r="I27" s="305"/>
      <c r="J27" s="306"/>
      <c r="K27" s="332" t="s">
        <v>760</v>
      </c>
      <c r="L27" s="302" t="s">
        <v>761</v>
      </c>
      <c r="M27" s="333">
        <f ca="1">INDIRECT("'数据-取费表'!ag"&amp;$G$1)</f>
        <v>0</v>
      </c>
    </row>
    <row r="28" spans="1:37" s="1394" customFormat="1" ht="18" customHeight="1">
      <c r="A28" s="979" t="s">
        <v>400</v>
      </c>
      <c r="B28" s="302" t="s">
        <v>762</v>
      </c>
      <c r="C28" s="21">
        <f>ROUND(F28/(1+'数据-取费表'!C42),4)</f>
        <v>5.33E-2</v>
      </c>
      <c r="D28" s="323" t="s">
        <v>763</v>
      </c>
      <c r="E28" s="302" t="s">
        <v>710</v>
      </c>
      <c r="F28" s="322">
        <f>'数据-取费表'!B41</f>
        <v>5.6000000000000001E-2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f ca="1">ROUND((C19+C20+C23+C26)/(1-F21-C24-C27-C28),0)</f>
        <v>0</v>
      </c>
      <c r="D29" s="1089"/>
      <c r="E29" s="1087"/>
      <c r="F29" s="1090"/>
      <c r="G29" s="1393"/>
      <c r="H29" s="334" t="s">
        <v>396</v>
      </c>
      <c r="I29" s="335" t="s">
        <v>766</v>
      </c>
      <c r="J29" s="336">
        <f ca="1">ROUND(J26/(1+F40)^F41,0)</f>
        <v>0</v>
      </c>
      <c r="K29" s="337" t="s">
        <v>767</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f ca="1">ROUND(C31+C36+C37+C38,0)</f>
        <v>0</v>
      </c>
      <c r="D30" s="1084" t="s">
        <v>713</v>
      </c>
      <c r="E30" s="1085"/>
      <c r="F30" s="1069"/>
      <c r="G30" s="1381"/>
      <c r="H30" s="2692"/>
      <c r="I30" s="1395"/>
      <c r="J30" s="1396"/>
      <c r="K30" s="2470"/>
      <c r="L30" s="2693"/>
      <c r="M30" s="2694"/>
    </row>
    <row r="31" spans="1:37" ht="18" customHeight="1">
      <c r="A31" s="979" t="s">
        <v>398</v>
      </c>
      <c r="B31" s="302" t="s">
        <v>717</v>
      </c>
      <c r="C31" s="2313">
        <f ca="1">ROUND(IF(AND(项目基本情况!B11="自然人",项目基本情况!B10="北京市"),C6*F31/(1+'数据-取费表'!C42),C32+C33+C34),0)</f>
        <v>0</v>
      </c>
      <c r="D31" s="1342" t="s">
        <v>718</v>
      </c>
      <c r="E31" s="1341" t="s">
        <v>768</v>
      </c>
      <c r="F31" s="2312" t="str">
        <f>IF(项目基本情况!B11="企业","——",IF(M47="住宅",IF(F6*F7*F8/12/(1+'数据-取费表'!F30)&gt;100000,4%,2.5%),IF(F6*F7*F8/12/(1+'数据-取费表'!F30)&gt;100000,12%,7%)))</f>
        <v>——</v>
      </c>
      <c r="G31" s="1381"/>
      <c r="H31" s="2803" t="s">
        <v>2305</v>
      </c>
      <c r="I31" s="1395"/>
      <c r="J31" s="1396"/>
      <c r="K31" s="2470"/>
      <c r="L31" s="2693"/>
      <c r="M31" s="2694"/>
    </row>
    <row r="32" spans="1:37" ht="18" customHeight="1">
      <c r="A32" s="979" t="s">
        <v>397</v>
      </c>
      <c r="B32" s="302" t="s">
        <v>721</v>
      </c>
      <c r="C32" s="21">
        <f ca="1">IF(项目基本情况!B11="自然人","——",ROUND(C6*F32/(1+'数据-取费表'!C42),0))</f>
        <v>0</v>
      </c>
      <c r="D32" s="1341" t="s">
        <v>722</v>
      </c>
      <c r="E32" s="302" t="s">
        <v>710</v>
      </c>
      <c r="F32" s="331">
        <f>'数据-取费表'!B41</f>
        <v>5.6000000000000001E-2</v>
      </c>
      <c r="G32" s="1381"/>
      <c r="H32" s="2692"/>
      <c r="I32" s="1395"/>
      <c r="J32" s="1396"/>
      <c r="K32" s="2470"/>
      <c r="L32" s="2693"/>
      <c r="M32" s="2694"/>
    </row>
    <row r="33" spans="1:18" ht="18" customHeight="1">
      <c r="A33" s="979" t="s">
        <v>399</v>
      </c>
      <c r="B33" s="302" t="s">
        <v>725</v>
      </c>
      <c r="C33" s="21">
        <f ca="1">IF(项目基本情况!B11="自然人","——",IF(D33="按租金收入计税",ROUND(C6*F33/(1+'数据-取费表'!C42),0),IF(D33="按房产原值计税",ROUND(C29*F33*0.7,0),INDIRECT("'数据-取费表'!Aj"&amp;$G$1))))</f>
        <v>0</v>
      </c>
      <c r="D33" s="1367" t="s">
        <v>3336</v>
      </c>
      <c r="E33" s="302" t="s">
        <v>710</v>
      </c>
      <c r="F33" s="322">
        <f>IF(D33="按票据","——",IF(D33="按租金收入计税",'数据-取费表'!B51,'数据-取费表'!B50))</f>
        <v>0.12</v>
      </c>
      <c r="G33" s="1381"/>
      <c r="H33" s="2695"/>
      <c r="I33" s="1395"/>
      <c r="J33" s="1396"/>
      <c r="K33" s="2696"/>
      <c r="L33" s="2695"/>
      <c r="M33" s="2695"/>
    </row>
    <row r="34" spans="1:18" ht="18" customHeight="1">
      <c r="A34" s="1066" t="s">
        <v>678</v>
      </c>
      <c r="B34" s="155" t="s">
        <v>728</v>
      </c>
      <c r="C34" s="22">
        <f ca="1">IF(项目基本情况!B11="自然人","——",ROUND(F34*F35,0))</f>
        <v>0</v>
      </c>
      <c r="D34" s="324" t="s">
        <v>729</v>
      </c>
      <c r="E34" s="302" t="s">
        <v>730</v>
      </c>
      <c r="F34" s="325">
        <f>'数据-取费表'!B52</f>
        <v>3</v>
      </c>
      <c r="G34" s="1381"/>
      <c r="H34" s="2692"/>
      <c r="I34" s="1395"/>
      <c r="J34" s="1396"/>
      <c r="K34" s="2697"/>
      <c r="L34" s="2698"/>
      <c r="M34" s="2698"/>
    </row>
    <row r="35" spans="1:18" ht="18" customHeight="1">
      <c r="A35" s="1100"/>
      <c r="B35" s="1098"/>
      <c r="C35" s="26"/>
      <c r="D35" s="327"/>
      <c r="E35" s="302" t="s">
        <v>734</v>
      </c>
      <c r="F35" s="303">
        <f ca="1">INDIRECT("'数据-取费表'!r"&amp;$G$1)</f>
        <v>0</v>
      </c>
      <c r="G35" s="1381"/>
      <c r="H35" s="2692"/>
      <c r="I35" s="1395"/>
      <c r="J35" s="1396"/>
      <c r="K35" s="2696"/>
      <c r="L35" s="2695"/>
      <c r="M35" s="2695"/>
    </row>
    <row r="36" spans="1:18" ht="18" customHeight="1">
      <c r="A36" s="1099" t="s">
        <v>402</v>
      </c>
      <c r="B36" s="302" t="s">
        <v>736</v>
      </c>
      <c r="C36" s="21">
        <f ca="1">ROUND(C29*F36,0)</f>
        <v>0</v>
      </c>
      <c r="D36" s="1341" t="s">
        <v>769</v>
      </c>
      <c r="E36" s="302" t="s">
        <v>710</v>
      </c>
      <c r="F36" s="328">
        <f ca="1">INDIRECT("'数据-取费表'!Ak"&amp;$G$1)</f>
        <v>0</v>
      </c>
      <c r="G36" s="1381"/>
      <c r="H36" s="2695"/>
      <c r="I36" s="1395"/>
      <c r="J36" s="1396"/>
      <c r="K36" s="2539"/>
      <c r="L36" s="2695"/>
      <c r="M36" s="2695"/>
    </row>
    <row r="37" spans="1:18" ht="18" customHeight="1">
      <c r="A37" s="979" t="s">
        <v>437</v>
      </c>
      <c r="B37" s="302" t="s">
        <v>740</v>
      </c>
      <c r="C37" s="21">
        <f ca="1">ROUND(C13*F37,0)</f>
        <v>0</v>
      </c>
      <c r="D37" s="1341" t="s">
        <v>741</v>
      </c>
      <c r="E37" s="302" t="s">
        <v>742</v>
      </c>
      <c r="F37" s="330">
        <f ca="1">INDIRECT("'数据-取费表'!Al"&amp;$G$1)</f>
        <v>0</v>
      </c>
      <c r="G37" s="1381"/>
      <c r="H37" s="2695"/>
      <c r="I37" s="1395"/>
      <c r="J37" s="1396"/>
      <c r="K37" s="2539"/>
      <c r="L37" s="2695"/>
      <c r="M37" s="2695"/>
    </row>
    <row r="38" spans="1:18" ht="18" customHeight="1" thickBot="1">
      <c r="A38" s="1086" t="s">
        <v>682</v>
      </c>
      <c r="B38" s="1087" t="s">
        <v>726</v>
      </c>
      <c r="C38" s="1088">
        <f ca="1">ROUND(C5*F38,0)</f>
        <v>0</v>
      </c>
      <c r="D38" s="1089" t="s">
        <v>746</v>
      </c>
      <c r="E38" s="1087" t="s">
        <v>742</v>
      </c>
      <c r="F38" s="1083">
        <f ca="1">INDIRECT("'数据-取费表'!Am"&amp;$G$1)</f>
        <v>0</v>
      </c>
      <c r="G38" s="1381"/>
      <c r="H38" s="2695"/>
      <c r="I38" s="1395"/>
      <c r="J38" s="1396"/>
      <c r="K38" s="2699"/>
      <c r="L38" s="2695"/>
      <c r="M38" s="2695"/>
    </row>
    <row r="39" spans="1:18" ht="24.6" customHeight="1" thickTop="1">
      <c r="A39" s="1076" t="s">
        <v>394</v>
      </c>
      <c r="B39" s="1091" t="s">
        <v>770</v>
      </c>
      <c r="C39" s="310">
        <f ca="1">C5-C30</f>
        <v>0</v>
      </c>
      <c r="D39" s="1092" t="s">
        <v>771</v>
      </c>
      <c r="E39" s="1093"/>
      <c r="F39" s="1094"/>
      <c r="G39" s="1381"/>
      <c r="H39" s="2695"/>
      <c r="I39" s="1395"/>
      <c r="J39" s="1396"/>
      <c r="K39" s="2699"/>
      <c r="L39" s="2695"/>
      <c r="M39" s="2695"/>
    </row>
    <row r="40" spans="1:18" ht="18" customHeight="1">
      <c r="A40" s="299" t="s">
        <v>395</v>
      </c>
      <c r="B40" s="300" t="s">
        <v>772</v>
      </c>
      <c r="C40" s="301" t="e">
        <f ca="1">ROUND(C39*(1-((1+F42)/(1+F40))^F41)/(F40-F42),0)</f>
        <v>#DIV/0!</v>
      </c>
      <c r="D40" s="324" t="s">
        <v>756</v>
      </c>
      <c r="E40" s="302" t="s">
        <v>757</v>
      </c>
      <c r="F40" s="312">
        <f ca="1">INDIRECT("'数据-取费表'!I"&amp;$G$1)</f>
        <v>0</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764</v>
      </c>
      <c r="F42" s="312">
        <f ca="1">INDIRECT("'数据-取费表'!v"&amp;$G$1)</f>
        <v>0</v>
      </c>
      <c r="G42" s="1381"/>
      <c r="H42" s="1188"/>
      <c r="I42" s="1395"/>
      <c r="J42" s="1396"/>
      <c r="K42" s="2539"/>
      <c r="L42" s="1188"/>
      <c r="M42" s="1188"/>
    </row>
    <row r="43" spans="1:18" ht="18" customHeight="1" thickBot="1">
      <c r="A43" s="334" t="s">
        <v>396</v>
      </c>
      <c r="B43" s="335" t="s">
        <v>774</v>
      </c>
      <c r="C43" s="336" t="e">
        <f ca="1">ROUND(C40/F43,0)</f>
        <v>#DIV/0!</v>
      </c>
      <c r="D43" s="337" t="s">
        <v>775</v>
      </c>
      <c r="E43" s="338" t="s">
        <v>776</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3352</v>
      </c>
      <c r="B45" s="1397"/>
      <c r="C45" s="1469" t="e">
        <f ca="1">ROUND((C68-C40)/10000,4)</f>
        <v>#DIV/0!</v>
      </c>
      <c r="D45" s="3427" t="s">
        <v>3353</v>
      </c>
      <c r="E45" s="1397"/>
      <c r="F45" s="1397"/>
      <c r="O45" s="1400" t="s">
        <v>806</v>
      </c>
      <c r="P45" s="1458"/>
      <c r="Q45" s="1458"/>
      <c r="R45" s="1458"/>
    </row>
    <row r="46" spans="1:18" s="1381" customFormat="1" ht="13.5" thickBot="1">
      <c r="A46" s="1401" t="s">
        <v>807</v>
      </c>
      <c r="C46" s="1402" t="e">
        <f ca="1">ROUND(C45,0)</f>
        <v>#DIV/0!</v>
      </c>
      <c r="D46" s="1403" t="str">
        <f>C2</f>
        <v>万元</v>
      </c>
      <c r="I46" s="1404" t="s">
        <v>808</v>
      </c>
      <c r="J46" s="1405"/>
      <c r="K46" s="1406"/>
      <c r="L46" s="1407" t="e">
        <f ca="1">IF(M47="住宅",0,IF(L48&gt;J51,L60,J60))</f>
        <v>#DIV/0!</v>
      </c>
      <c r="O46" s="1408" t="s">
        <v>809</v>
      </c>
      <c r="P46" s="1409" t="s">
        <v>810</v>
      </c>
      <c r="Q46" s="1410" t="s">
        <v>811</v>
      </c>
      <c r="R46" s="1410" t="s">
        <v>812</v>
      </c>
    </row>
    <row r="47" spans="1:18" s="1381" customFormat="1" ht="13.5" thickBot="1">
      <c r="A47" s="943" t="s">
        <v>685</v>
      </c>
      <c r="B47" s="975" t="s">
        <v>686</v>
      </c>
      <c r="C47" s="975" t="s">
        <v>687</v>
      </c>
      <c r="D47" s="975" t="s">
        <v>688</v>
      </c>
      <c r="E47" s="1055" t="s">
        <v>689</v>
      </c>
      <c r="F47" s="1056"/>
      <c r="G47" s="722"/>
      <c r="I47" s="1411" t="s">
        <v>813</v>
      </c>
      <c r="J47" s="1412"/>
      <c r="K47" s="1413" t="s">
        <v>814</v>
      </c>
      <c r="L47" s="1414">
        <f ca="1">INDIRECT("'数据-取费表'!d"&amp;$G$1)</f>
        <v>0</v>
      </c>
      <c r="M47" s="1377" t="str">
        <f>IF(ISNUMBER(FIND("住宅",C1)),"住宅","非住宅")</f>
        <v>非住宅</v>
      </c>
      <c r="O47" s="1415" t="s">
        <v>403</v>
      </c>
      <c r="P47" s="1416" t="s">
        <v>815</v>
      </c>
      <c r="Q47" s="1417" t="e">
        <f ca="1">C40+J29</f>
        <v>#DIV/0!</v>
      </c>
      <c r="R47" s="1417" t="s">
        <v>816</v>
      </c>
    </row>
    <row r="48" spans="1:18" s="1381" customFormat="1" ht="28.5" thickBot="1">
      <c r="A48" s="1107" t="s">
        <v>438</v>
      </c>
      <c r="B48" s="300" t="s">
        <v>690</v>
      </c>
      <c r="C48" s="1356">
        <f ca="1">C49+C53+C55</f>
        <v>0</v>
      </c>
      <c r="D48" s="1109"/>
      <c r="E48" s="1110"/>
      <c r="F48" s="959"/>
      <c r="G48" s="722"/>
      <c r="H48" s="723"/>
      <c r="I48" s="1418" t="s">
        <v>817</v>
      </c>
      <c r="J48" s="1419"/>
      <c r="K48" s="1420" t="s">
        <v>818</v>
      </c>
      <c r="L48" s="1421">
        <f ca="1">INDIRECT("'数据-取费表'!f"&amp;$G$1)</f>
        <v>0</v>
      </c>
      <c r="O48" s="1415" t="s">
        <v>404</v>
      </c>
      <c r="P48" s="1416" t="s">
        <v>819</v>
      </c>
      <c r="Q48" s="1417" t="e">
        <f ca="1">J60</f>
        <v>#DIV/0!</v>
      </c>
      <c r="R48" s="1417" t="s">
        <v>820</v>
      </c>
    </row>
    <row r="49" spans="1:18" s="1381" customFormat="1" ht="13.5" thickBot="1">
      <c r="A49" s="972" t="s">
        <v>439</v>
      </c>
      <c r="B49" s="1368" t="s">
        <v>777</v>
      </c>
      <c r="C49" s="1111">
        <f ca="1">ROUND(F49*F51*F50*(1-F52),0)</f>
        <v>0</v>
      </c>
      <c r="D49" s="1052" t="s">
        <v>693</v>
      </c>
      <c r="E49" s="1369" t="s">
        <v>778</v>
      </c>
      <c r="F49" s="1057"/>
      <c r="G49" s="1422"/>
      <c r="H49" s="723"/>
      <c r="I49" s="1418" t="s">
        <v>821</v>
      </c>
      <c r="J49" s="1423"/>
      <c r="K49" s="1420" t="s">
        <v>822</v>
      </c>
      <c r="L49" s="1424"/>
      <c r="O49" s="1425" t="s">
        <v>405</v>
      </c>
      <c r="P49" s="1416" t="s">
        <v>823</v>
      </c>
      <c r="Q49" s="1417">
        <f ca="1">C29</f>
        <v>0</v>
      </c>
      <c r="R49" s="1417" t="s">
        <v>816</v>
      </c>
    </row>
    <row r="50" spans="1:18" s="1381" customFormat="1" ht="13.5" thickBot="1">
      <c r="A50" s="973"/>
      <c r="B50" s="976"/>
      <c r="C50" s="977"/>
      <c r="D50" s="950"/>
      <c r="E50" s="1053" t="s">
        <v>695</v>
      </c>
      <c r="F50" s="1054">
        <f ca="1">F7</f>
        <v>0</v>
      </c>
      <c r="H50" s="723"/>
      <c r="I50" s="1418" t="s">
        <v>824</v>
      </c>
      <c r="J50" s="1426">
        <f>SUMPRODUCT((I63:I65=J47)*(J62:L62=J48)*(J63:L65))</f>
        <v>0</v>
      </c>
      <c r="K50" s="1420" t="s">
        <v>825</v>
      </c>
      <c r="L50" s="1424"/>
      <c r="M50" s="1427"/>
      <c r="O50" s="1425" t="s">
        <v>406</v>
      </c>
      <c r="P50" s="1416" t="s">
        <v>826</v>
      </c>
      <c r="Q50" s="1428" t="e">
        <f ca="1">J58</f>
        <v>#DIV/0!</v>
      </c>
      <c r="R50" s="1417"/>
    </row>
    <row r="51" spans="1:18" s="1381" customFormat="1" ht="13.5" thickBot="1">
      <c r="A51" s="974"/>
      <c r="B51" s="976"/>
      <c r="C51" s="977"/>
      <c r="D51" s="950"/>
      <c r="E51" s="978" t="s">
        <v>696</v>
      </c>
      <c r="F51" s="303">
        <f ca="1">F8</f>
        <v>365</v>
      </c>
      <c r="I51" s="1429" t="s">
        <v>827</v>
      </c>
      <c r="J51" s="1430">
        <f>IF(J49="",J50,J49+J50-YEAR('数据-取费表'!B2))</f>
        <v>0</v>
      </c>
      <c r="K51" s="1431" t="s">
        <v>828</v>
      </c>
      <c r="L51" s="1432">
        <f ca="1">ROUND(-PV(INDIRECT("'数据-取费表'!h"&amp;$G$1),J51,(C39-C13*C76),0),0)</f>
        <v>0</v>
      </c>
      <c r="M51" s="1433"/>
      <c r="O51" s="1425" t="s">
        <v>407</v>
      </c>
      <c r="P51" s="1416" t="s">
        <v>829</v>
      </c>
      <c r="Q51" s="1428">
        <f>J52</f>
        <v>0</v>
      </c>
      <c r="R51" s="1417"/>
    </row>
    <row r="52" spans="1:18" s="1381" customFormat="1" ht="13.5" thickBot="1">
      <c r="A52" s="974"/>
      <c r="B52" s="976"/>
      <c r="C52" s="977"/>
      <c r="D52" s="950"/>
      <c r="E52" s="978" t="s">
        <v>697</v>
      </c>
      <c r="F52" s="1051"/>
      <c r="I52" s="1434" t="s">
        <v>830</v>
      </c>
      <c r="J52" s="1435"/>
      <c r="K52" s="1434" t="s">
        <v>831</v>
      </c>
      <c r="L52" s="1435"/>
      <c r="O52" s="1425" t="s">
        <v>408</v>
      </c>
      <c r="P52" s="1416" t="s">
        <v>832</v>
      </c>
      <c r="Q52" s="1417">
        <f ca="1">J53</f>
        <v>0</v>
      </c>
      <c r="R52" s="1417" t="s">
        <v>833</v>
      </c>
    </row>
    <row r="53" spans="1:18" s="1381" customFormat="1" ht="30.75" customHeight="1" thickBot="1">
      <c r="A53" s="1108" t="s">
        <v>440</v>
      </c>
      <c r="B53" s="323" t="s">
        <v>698</v>
      </c>
      <c r="C53" s="316">
        <f ca="1">ROUND(IF(F53="押一",C49/12*F11,IF(F53="押二",C49/12*2*F11,IF(F53="押三",C49/12*3*F11,C54*F11))),0)</f>
        <v>0</v>
      </c>
      <c r="D53" s="1363" t="s">
        <v>2114</v>
      </c>
      <c r="E53" s="313" t="s">
        <v>699</v>
      </c>
      <c r="F53" s="1113"/>
      <c r="I53" s="1436" t="s">
        <v>834</v>
      </c>
      <c r="J53" s="2165">
        <f ca="1">IF(M47="住宅",IF(D1="——",MAX(J51,L48),MAX(J51,L48-'数据-取费表'!B24)),IF(D1="——",MIN(J51,L48),MIN(J51,L48-'数据-取费表'!B24)))</f>
        <v>0</v>
      </c>
      <c r="K53" s="3857" t="s">
        <v>835</v>
      </c>
      <c r="L53" s="3858"/>
      <c r="O53" s="1415" t="s">
        <v>409</v>
      </c>
      <c r="P53" s="1416" t="s">
        <v>836</v>
      </c>
      <c r="Q53" s="1417" t="e">
        <f ca="1">Q47+Q48</f>
        <v>#DIV/0!</v>
      </c>
      <c r="R53" s="1417" t="s">
        <v>410</v>
      </c>
    </row>
    <row r="54" spans="1:18" s="1381" customFormat="1" ht="13.5" thickBot="1">
      <c r="A54" s="972"/>
      <c r="B54" s="1470" t="s">
        <v>889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837</v>
      </c>
      <c r="P54" s="1378"/>
      <c r="Q54" s="1378"/>
      <c r="R54" s="1378"/>
    </row>
    <row r="55" spans="1:18" s="1381" customFormat="1" ht="13.5" thickBot="1">
      <c r="A55" s="1080" t="s">
        <v>437</v>
      </c>
      <c r="B55" s="1366" t="s">
        <v>701</v>
      </c>
      <c r="C55" s="1081"/>
      <c r="D55" s="1363"/>
      <c r="E55" s="1371"/>
      <c r="F55" s="1437"/>
      <c r="I55" s="1440" t="s">
        <v>838</v>
      </c>
      <c r="J55" s="1441" t="e">
        <f ca="1">ROUND(IF(J47="钢混",J57/J50,1-(1-2%)*(J50-J57)/J50),3)</f>
        <v>#DIV/0!</v>
      </c>
      <c r="K55" s="1442" t="s">
        <v>839</v>
      </c>
      <c r="L55" s="1443"/>
      <c r="O55" s="1408" t="s">
        <v>809</v>
      </c>
      <c r="P55" s="1409" t="s">
        <v>810</v>
      </c>
      <c r="Q55" s="1410" t="s">
        <v>811</v>
      </c>
      <c r="R55" s="1410" t="s">
        <v>812</v>
      </c>
    </row>
    <row r="56" spans="1:18" s="1381" customFormat="1" ht="36" customHeight="1" thickTop="1" thickBot="1">
      <c r="A56" s="954">
        <v>2</v>
      </c>
      <c r="B56" s="955" t="s">
        <v>702</v>
      </c>
      <c r="C56" s="232">
        <f ca="1">C13</f>
        <v>0</v>
      </c>
      <c r="D56" s="1444"/>
      <c r="E56" s="1445"/>
      <c r="F56" s="1437"/>
      <c r="I56" s="1446" t="s">
        <v>840</v>
      </c>
      <c r="J56" s="1447"/>
      <c r="K56" s="1418" t="s">
        <v>841</v>
      </c>
      <c r="L56" s="1421">
        <f ca="1">IF(L48&lt;J51,"——",L48-J51)</f>
        <v>0</v>
      </c>
      <c r="O56" s="1415" t="s">
        <v>403</v>
      </c>
      <c r="P56" s="1416" t="s">
        <v>815</v>
      </c>
      <c r="Q56" s="1417" t="e">
        <f ca="1">C40+J29</f>
        <v>#DIV/0!</v>
      </c>
      <c r="R56" s="1417" t="s">
        <v>816</v>
      </c>
    </row>
    <row r="57" spans="1:18" s="1381" customFormat="1" ht="24.75" thickBot="1">
      <c r="A57" s="1448"/>
      <c r="B57" s="947" t="s">
        <v>765</v>
      </c>
      <c r="C57" s="238">
        <f ca="1">C29</f>
        <v>0</v>
      </c>
      <c r="D57" s="1449"/>
      <c r="E57" s="1450"/>
      <c r="F57" s="1451"/>
      <c r="I57" s="1452" t="s">
        <v>842</v>
      </c>
      <c r="J57" s="1453">
        <f ca="1">IF(OR(M47="住宅",J51&lt;L48,J56="是"),"——",J51-L48)</f>
        <v>0</v>
      </c>
      <c r="K57" s="1418" t="s">
        <v>890</v>
      </c>
      <c r="L57" s="1421">
        <f ca="1">IF(L48&lt;J51,"——",IF(L55="比较法",L49,IF(L55="基准地价",L50,L51)))</f>
        <v>0</v>
      </c>
      <c r="O57" s="1415" t="s">
        <v>404</v>
      </c>
      <c r="P57" s="1416" t="s">
        <v>891</v>
      </c>
      <c r="Q57" s="1417" t="e">
        <f ca="1">L60</f>
        <v>#DIV/0!</v>
      </c>
      <c r="R57" s="1417" t="s">
        <v>892</v>
      </c>
    </row>
    <row r="58" spans="1:18" s="1381" customFormat="1" ht="24.75" thickBot="1">
      <c r="A58" s="315" t="s">
        <v>393</v>
      </c>
      <c r="B58" s="955" t="s">
        <v>712</v>
      </c>
      <c r="C58" s="316">
        <f ca="1">ROUND(C59+C64+C65+C66,0)</f>
        <v>0</v>
      </c>
      <c r="D58" s="957" t="s">
        <v>713</v>
      </c>
      <c r="E58" s="958"/>
      <c r="F58" s="959"/>
      <c r="I58" s="1452" t="s">
        <v>846</v>
      </c>
      <c r="J58" s="1454" t="e">
        <f ca="1">IF(J55&lt;0.4,0.4,J55)</f>
        <v>#DIV/0!</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79" t="s">
        <v>398</v>
      </c>
      <c r="B59" s="947" t="s">
        <v>717</v>
      </c>
      <c r="C59" s="2313">
        <f ca="1">ROUND(IF(AND(项目基本情况!B11="自然人",项目基本情况!B10="北京市"),C49*F59/(1+'数据-取费表'!C42),C60+C61+C62),0)</f>
        <v>0</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79" t="s">
        <v>397</v>
      </c>
      <c r="B60" s="947" t="s">
        <v>721</v>
      </c>
      <c r="C60" s="21">
        <f ca="1">IF(项目基本情况!B11="自然人","——",ROUND(C48*F60/(1+'数据-取费表'!C42),0))</f>
        <v>0</v>
      </c>
      <c r="D60" s="961" t="s">
        <v>722</v>
      </c>
      <c r="E60" s="947" t="s">
        <v>710</v>
      </c>
      <c r="F60" s="331">
        <f t="shared" ref="F60:F66" si="0">F32</f>
        <v>5.6000000000000001E-2</v>
      </c>
      <c r="I60" s="1455" t="s">
        <v>851</v>
      </c>
      <c r="J60" s="1456" t="e">
        <f ca="1">IF(OR(M47="住宅",J51&lt;L48,J56="是"),"0",ROUND(J59/(1+J52)^J53,0))</f>
        <v>#DIV/0!</v>
      </c>
      <c r="K60" s="1457" t="s">
        <v>852</v>
      </c>
      <c r="L60" s="1456" t="e">
        <f ca="1">IF(OR(M47="住宅",L48&lt;J51),0,ROUND(L57*(L58/L59-1),0))</f>
        <v>#DIV/0!</v>
      </c>
      <c r="O60" s="1425" t="s">
        <v>407</v>
      </c>
      <c r="P60" s="1416" t="s">
        <v>853</v>
      </c>
      <c r="Q60" s="1417" t="e">
        <f ca="1">L58</f>
        <v>#DIV/0!</v>
      </c>
      <c r="R60" s="1417" t="s">
        <v>854</v>
      </c>
    </row>
    <row r="61" spans="1:18" s="1381" customFormat="1" ht="13.5" thickBot="1">
      <c r="A61" s="979" t="s">
        <v>779</v>
      </c>
      <c r="B61" s="947" t="s">
        <v>780</v>
      </c>
      <c r="C61" s="21">
        <f ca="1">IF(项目基本情况!B11="自然人","——",IF(D61="按租金收入计税",ROUND(C49*F61/(1+'数据-取费表'!C42),0),IF(D61="按房产原值计税",ROUND(C57*F61*0.7,0),INDIRECT("'数据-取费表'!Aj"&amp;$G$1))))</f>
        <v>0</v>
      </c>
      <c r="D61" s="1367" t="s">
        <v>3336</v>
      </c>
      <c r="E61" s="947"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79" t="s">
        <v>782</v>
      </c>
      <c r="B62" s="946" t="s">
        <v>783</v>
      </c>
      <c r="C62" s="22">
        <f ca="1">IF(项目基本情况!B11="自然人","——",ROUND(F62*F63,0))</f>
        <v>0</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#DIV/0!</v>
      </c>
      <c r="R62" s="1417" t="s">
        <v>410</v>
      </c>
    </row>
    <row r="63" spans="1:18" s="1381" customFormat="1" ht="13.5" thickBot="1">
      <c r="A63" s="326"/>
      <c r="B63" s="953"/>
      <c r="C63" s="26"/>
      <c r="D63" s="963"/>
      <c r="E63" s="947" t="s">
        <v>786</v>
      </c>
      <c r="F63" s="303">
        <f t="shared" ca="1" si="0"/>
        <v>0</v>
      </c>
      <c r="I63" s="1459" t="s">
        <v>862</v>
      </c>
      <c r="J63" s="1460">
        <v>70</v>
      </c>
      <c r="K63" s="1460">
        <v>50</v>
      </c>
      <c r="L63" s="1460">
        <v>80</v>
      </c>
      <c r="M63" s="1462">
        <v>0.02</v>
      </c>
      <c r="O63" s="1400" t="s">
        <v>863</v>
      </c>
      <c r="P63" s="1378"/>
      <c r="Q63" s="1378"/>
      <c r="R63" s="1378"/>
    </row>
    <row r="64" spans="1:18" s="1381" customFormat="1" ht="13.5" thickBot="1">
      <c r="A64" s="979" t="s">
        <v>787</v>
      </c>
      <c r="B64" s="947" t="s">
        <v>788</v>
      </c>
      <c r="C64" s="21">
        <f ca="1">ROUND(C57*F64,0)</f>
        <v>0</v>
      </c>
      <c r="D64" s="961" t="s">
        <v>789</v>
      </c>
      <c r="E64" s="947" t="s">
        <v>781</v>
      </c>
      <c r="F64" s="328">
        <f t="shared" ca="1" si="0"/>
        <v>0</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f ca="1">ROUND(C56*F65,0)</f>
        <v>0</v>
      </c>
      <c r="D65" s="961" t="s">
        <v>741</v>
      </c>
      <c r="E65" s="947" t="s">
        <v>742</v>
      </c>
      <c r="F65" s="330">
        <f t="shared" ca="1" si="0"/>
        <v>0</v>
      </c>
      <c r="I65" s="1459" t="s">
        <v>865</v>
      </c>
      <c r="J65" s="1460">
        <v>40</v>
      </c>
      <c r="K65" s="1460">
        <v>30</v>
      </c>
      <c r="L65" s="1460">
        <v>50</v>
      </c>
      <c r="M65" s="1462">
        <v>0.02</v>
      </c>
      <c r="O65" s="1415" t="s">
        <v>403</v>
      </c>
      <c r="P65" s="1416" t="s">
        <v>866</v>
      </c>
      <c r="Q65" s="1417" t="e">
        <f ca="1">C40+J29</f>
        <v>#DIV/0!</v>
      </c>
      <c r="R65" s="1417" t="s">
        <v>816</v>
      </c>
    </row>
    <row r="66" spans="1:18" s="1381" customFormat="1" ht="16.5" thickBot="1">
      <c r="A66" s="979" t="s">
        <v>791</v>
      </c>
      <c r="B66" s="947" t="s">
        <v>726</v>
      </c>
      <c r="C66" s="21">
        <f ca="1">ROUND(C48*F66,0)</f>
        <v>0</v>
      </c>
      <c r="D66" s="961" t="s">
        <v>792</v>
      </c>
      <c r="E66" s="947" t="s">
        <v>710</v>
      </c>
      <c r="F66" s="312">
        <f t="shared" ca="1" si="0"/>
        <v>0</v>
      </c>
      <c r="O66" s="1415" t="s">
        <v>404</v>
      </c>
      <c r="P66" s="1416" t="s">
        <v>844</v>
      </c>
      <c r="Q66" s="1417" t="e">
        <f ca="1">L60</f>
        <v>#DIV/0!</v>
      </c>
      <c r="R66" s="1417" t="s">
        <v>867</v>
      </c>
    </row>
    <row r="67" spans="1:18" s="1381" customFormat="1" ht="16.5" thickBot="1">
      <c r="A67" s="954" t="s">
        <v>394</v>
      </c>
      <c r="B67" s="964" t="s">
        <v>750</v>
      </c>
      <c r="C67" s="316">
        <f ca="1">C48-C58</f>
        <v>0</v>
      </c>
      <c r="D67" s="960" t="s">
        <v>751</v>
      </c>
      <c r="E67" s="965"/>
      <c r="F67" s="966"/>
      <c r="O67" s="1425" t="s">
        <v>405</v>
      </c>
      <c r="P67" s="1416" t="s">
        <v>848</v>
      </c>
      <c r="Q67" s="1463">
        <f ca="1">L51</f>
        <v>0</v>
      </c>
      <c r="R67" s="1417" t="s">
        <v>868</v>
      </c>
    </row>
    <row r="68" spans="1:18" s="1381" customFormat="1" ht="16.5" thickBot="1">
      <c r="A68" s="944" t="s">
        <v>395</v>
      </c>
      <c r="B68" s="945" t="s">
        <v>772</v>
      </c>
      <c r="C68" s="301" t="e">
        <f ca="1">ROUND(C67*(1-((1+F70)/(1+F68))^F69)/(F68-F70),0)</f>
        <v>#DIV/0!</v>
      </c>
      <c r="D68" s="962" t="s">
        <v>756</v>
      </c>
      <c r="E68" s="947" t="s">
        <v>757</v>
      </c>
      <c r="F68" s="312">
        <f ca="1">F40</f>
        <v>0</v>
      </c>
      <c r="O68" s="1425" t="s">
        <v>406</v>
      </c>
      <c r="P68" s="1464" t="s">
        <v>869</v>
      </c>
      <c r="Q68" s="1417">
        <f ca="1">ROUND(Q69-Q70*Q71,0)</f>
        <v>0</v>
      </c>
      <c r="R68" s="1417" t="s">
        <v>414</v>
      </c>
    </row>
    <row r="69" spans="1:18" s="1381" customFormat="1" ht="13.5" thickBot="1">
      <c r="A69" s="948"/>
      <c r="B69" s="949"/>
      <c r="C69" s="306"/>
      <c r="D69" s="967" t="s">
        <v>760</v>
      </c>
      <c r="E69" s="947" t="s">
        <v>761</v>
      </c>
      <c r="F69" s="333">
        <f ca="1">F41</f>
        <v>0</v>
      </c>
      <c r="O69" s="1425" t="s">
        <v>411</v>
      </c>
      <c r="P69" s="1464" t="s">
        <v>870</v>
      </c>
      <c r="Q69" s="1417">
        <f ca="1">C39</f>
        <v>0</v>
      </c>
      <c r="R69" s="1417" t="s">
        <v>816</v>
      </c>
    </row>
    <row r="70" spans="1:18" s="1381" customFormat="1" ht="13.5" thickBot="1">
      <c r="A70" s="951"/>
      <c r="B70" s="952"/>
      <c r="C70" s="310"/>
      <c r="D70" s="963"/>
      <c r="E70" s="947" t="s">
        <v>764</v>
      </c>
      <c r="F70" s="1051"/>
      <c r="O70" s="1425" t="s">
        <v>412</v>
      </c>
      <c r="P70" s="1464" t="s">
        <v>871</v>
      </c>
      <c r="Q70" s="1417">
        <f ca="1">C13</f>
        <v>0</v>
      </c>
      <c r="R70" s="1417" t="s">
        <v>816</v>
      </c>
    </row>
    <row r="71" spans="1:18" s="1381" customFormat="1" ht="13.5" thickBot="1">
      <c r="A71" s="968" t="s">
        <v>396</v>
      </c>
      <c r="B71" s="969" t="s">
        <v>774</v>
      </c>
      <c r="C71" s="336" t="e">
        <f ca="1">ROUND(C68/F71,0)</f>
        <v>#DIV/0!</v>
      </c>
      <c r="D71" s="970" t="s">
        <v>775</v>
      </c>
      <c r="E71" s="971" t="s">
        <v>776</v>
      </c>
      <c r="F71" s="339">
        <f ca="1">F43</f>
        <v>0</v>
      </c>
      <c r="O71" s="1425" t="s">
        <v>413</v>
      </c>
      <c r="P71" s="1464" t="s">
        <v>872</v>
      </c>
      <c r="Q71" s="1428">
        <f ca="1">C76</f>
        <v>0</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0</v>
      </c>
      <c r="D75" s="1381"/>
      <c r="E75" s="1381"/>
      <c r="F75" s="1381"/>
      <c r="K75" s="1399"/>
      <c r="L75" s="1381"/>
      <c r="O75" s="1415" t="s">
        <v>409</v>
      </c>
      <c r="P75" s="1416" t="s">
        <v>836</v>
      </c>
      <c r="Q75" s="1417" t="e">
        <f ca="1">Q65+Q66</f>
        <v>#DIV/0!</v>
      </c>
      <c r="R75" s="1417" t="s">
        <v>410</v>
      </c>
    </row>
    <row r="76" spans="1:18">
      <c r="B76" s="342" t="s">
        <v>794</v>
      </c>
      <c r="C76" s="343">
        <f ca="1">INDIRECT("'数据-取费表'!j"&amp;$G$1)</f>
        <v>0</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3359</v>
      </c>
      <c r="E2" s="3439"/>
      <c r="F2" s="2841"/>
      <c r="G2" s="2842"/>
      <c r="H2" s="2843"/>
      <c r="I2" s="2844"/>
      <c r="J2" s="3868" t="s">
        <v>2316</v>
      </c>
      <c r="K2" s="3869"/>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870" t="s">
        <v>2326</v>
      </c>
      <c r="K3" s="3871"/>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870" t="s">
        <v>2328</v>
      </c>
      <c r="K4" s="3871"/>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876" t="s">
        <v>2332</v>
      </c>
      <c r="B6" s="3877"/>
      <c r="C6" s="3878"/>
      <c r="D6" s="2865"/>
      <c r="E6" s="2866"/>
      <c r="F6" s="2867"/>
      <c r="G6" s="2868"/>
      <c r="H6" s="2843"/>
      <c r="I6" s="2844"/>
      <c r="J6" s="3862">
        <v>1</v>
      </c>
      <c r="K6" s="3863"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862"/>
      <c r="K7" s="3864"/>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879" t="s">
        <v>2346</v>
      </c>
      <c r="C8" s="3880"/>
      <c r="D8" s="2884" t="s">
        <v>2347</v>
      </c>
      <c r="E8" s="2885" t="s">
        <v>2348</v>
      </c>
      <c r="F8" s="2886" t="s">
        <v>2349</v>
      </c>
      <c r="G8" s="2887"/>
      <c r="H8" s="2843"/>
      <c r="I8" s="2844"/>
      <c r="J8" s="3862"/>
      <c r="K8" s="3864"/>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879" t="s">
        <v>2352</v>
      </c>
      <c r="C9" s="3880"/>
      <c r="D9" s="2884">
        <f>ROUND(D6*E9,0)</f>
        <v>0</v>
      </c>
      <c r="E9" s="2888"/>
      <c r="F9" s="2889" t="s">
        <v>2353</v>
      </c>
      <c r="G9" s="2868"/>
      <c r="H9" s="2843"/>
      <c r="I9" s="2844"/>
      <c r="J9" s="3862"/>
      <c r="K9" s="3864"/>
      <c r="L9" s="2878" t="s">
        <v>2354</v>
      </c>
      <c r="M9" s="2879"/>
      <c r="N9" s="2855"/>
      <c r="O9" s="2880"/>
      <c r="P9" s="2880"/>
      <c r="Q9" s="2881">
        <v>365</v>
      </c>
      <c r="R9" s="2882">
        <f t="shared" si="0"/>
        <v>0</v>
      </c>
      <c r="S9" s="2836"/>
      <c r="T9" s="2836"/>
      <c r="U9" s="2836"/>
      <c r="V9" s="2844"/>
    </row>
    <row r="10" spans="1:22" s="2848" customFormat="1" ht="13.15" customHeight="1">
      <c r="A10" s="2883">
        <v>2</v>
      </c>
      <c r="B10" s="3879" t="s">
        <v>2355</v>
      </c>
      <c r="C10" s="3880"/>
      <c r="D10" s="2884">
        <f>ROUND(D6*E10,0)</f>
        <v>0</v>
      </c>
      <c r="E10" s="2888"/>
      <c r="F10" s="2889" t="s">
        <v>2356</v>
      </c>
      <c r="G10" s="2868"/>
      <c r="H10" s="2843"/>
      <c r="I10" s="2844"/>
      <c r="J10" s="3862"/>
      <c r="K10" s="3864"/>
      <c r="L10" s="2878" t="s">
        <v>2357</v>
      </c>
      <c r="M10" s="2879"/>
      <c r="N10" s="2855"/>
      <c r="O10" s="2880"/>
      <c r="P10" s="2880"/>
      <c r="Q10" s="2881">
        <v>365</v>
      </c>
      <c r="R10" s="2882">
        <f t="shared" si="0"/>
        <v>0</v>
      </c>
      <c r="S10" s="2836"/>
      <c r="T10" s="2836"/>
      <c r="U10" s="2836"/>
      <c r="V10" s="2844"/>
    </row>
    <row r="11" spans="1:22" s="2848" customFormat="1" ht="13.15" customHeight="1">
      <c r="A11" s="2883">
        <v>3</v>
      </c>
      <c r="B11" s="3879" t="s">
        <v>2358</v>
      </c>
      <c r="C11" s="3880"/>
      <c r="D11" s="2884">
        <f>D12+D14+D15+D16</f>
        <v>0</v>
      </c>
      <c r="E11" s="2890" t="e">
        <f>D11/D6</f>
        <v>#DIV/0!</v>
      </c>
      <c r="F11" s="2886"/>
      <c r="G11" s="2887"/>
      <c r="H11" s="2843"/>
      <c r="I11" s="2844"/>
      <c r="J11" s="3862"/>
      <c r="K11" s="3864"/>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872" t="s">
        <v>2361</v>
      </c>
      <c r="C12" s="3873"/>
      <c r="D12" s="2892">
        <f>ROUND(D13*1.2%*(1-30%),0)</f>
        <v>0</v>
      </c>
      <c r="E12" s="2893">
        <v>1.2E-2</v>
      </c>
      <c r="F12" s="2886" t="s">
        <v>2362</v>
      </c>
      <c r="G12" s="2887"/>
      <c r="H12" s="2843"/>
      <c r="I12" s="2844"/>
      <c r="J12" s="3862"/>
      <c r="K12" s="3864"/>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862"/>
      <c r="K13" s="3864"/>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872" t="s">
        <v>2367</v>
      </c>
      <c r="C14" s="3873"/>
      <c r="D14" s="2892">
        <f>ROUND(E14*B5/10000,0)</f>
        <v>0</v>
      </c>
      <c r="E14" s="2881"/>
      <c r="F14" s="2886" t="s">
        <v>2368</v>
      </c>
      <c r="G14" s="2887"/>
      <c r="H14" s="2843"/>
      <c r="I14" s="2844"/>
      <c r="J14" s="3862"/>
      <c r="K14" s="3865"/>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872" t="s">
        <v>2371</v>
      </c>
      <c r="C15" s="3873"/>
      <c r="D15" s="2892">
        <f>ROUND(D6*E15,0)</f>
        <v>0</v>
      </c>
      <c r="E15" s="2893">
        <v>5.5E-2</v>
      </c>
      <c r="F15" s="2886" t="s">
        <v>2372</v>
      </c>
      <c r="G15" s="2868"/>
      <c r="H15" s="2843"/>
      <c r="I15" s="2844"/>
      <c r="J15" s="3862">
        <v>2</v>
      </c>
      <c r="K15" s="3863"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872" t="s">
        <v>2380</v>
      </c>
      <c r="C16" s="3873"/>
      <c r="D16" s="2903">
        <f>D6*E16</f>
        <v>0</v>
      </c>
      <c r="E16" s="2904"/>
      <c r="F16" s="2889" t="s">
        <v>2381</v>
      </c>
      <c r="G16" s="2868"/>
      <c r="H16" s="2843"/>
      <c r="I16" s="2844"/>
      <c r="J16" s="3862"/>
      <c r="K16" s="3864"/>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874" t="s">
        <v>2383</v>
      </c>
      <c r="C17" s="3875"/>
      <c r="D17" s="2906">
        <f>ROUND(D6*E17,0)</f>
        <v>0</v>
      </c>
      <c r="E17" s="2907"/>
      <c r="F17" s="2908" t="s">
        <v>2384</v>
      </c>
      <c r="G17" s="2868"/>
      <c r="H17" s="2843"/>
      <c r="I17" s="2844"/>
      <c r="J17" s="3862"/>
      <c r="K17" s="3864"/>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862"/>
      <c r="K18" s="3864"/>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862"/>
      <c r="K19" s="3865"/>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62">
        <v>3</v>
      </c>
      <c r="K20" s="3863"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862"/>
      <c r="K21" s="3864"/>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862"/>
      <c r="K22" s="3864"/>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862"/>
      <c r="K23" s="3864"/>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862"/>
      <c r="K24" s="3865"/>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866">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86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868" t="s">
        <v>2316</v>
      </c>
      <c r="K32" s="3869"/>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870" t="s">
        <v>2326</v>
      </c>
      <c r="K33" s="3871"/>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870" t="s">
        <v>2328</v>
      </c>
      <c r="K34" s="387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862">
        <v>1</v>
      </c>
      <c r="K36" s="3863"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862"/>
      <c r="K37" s="3864"/>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62"/>
      <c r="K38" s="3864"/>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862"/>
      <c r="K39" s="3864"/>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862"/>
      <c r="K40" s="3865"/>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866">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86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1653</v>
      </c>
      <c r="B1" s="1865"/>
      <c r="C1" s="1865"/>
      <c r="D1" s="1865"/>
      <c r="E1" s="1866"/>
      <c r="F1" s="2702"/>
      <c r="G1" s="1486"/>
      <c r="H1" s="1486"/>
      <c r="I1" s="1486"/>
      <c r="J1" s="1486"/>
      <c r="K1" s="1486"/>
      <c r="L1" s="1486"/>
      <c r="M1" s="1486"/>
      <c r="N1" s="1486"/>
      <c r="O1" s="1486"/>
      <c r="P1" s="1486"/>
      <c r="Q1" s="1486"/>
      <c r="R1" s="1486"/>
      <c r="S1" s="1486"/>
    </row>
    <row r="2" spans="1:22" ht="15.75">
      <c r="A2" s="1867" t="s">
        <v>1457</v>
      </c>
      <c r="B2" s="1868">
        <f ca="1">SUMIF(B6:B13,"&lt;&gt;#ref!",B6:B13)</f>
        <v>9170</v>
      </c>
      <c r="C2" s="1869" t="s">
        <v>1646</v>
      </c>
      <c r="D2" s="1870" t="s">
        <v>1647</v>
      </c>
      <c r="E2" s="2602">
        <f>SUM(E6:E13)</f>
        <v>5979.5300000000007</v>
      </c>
      <c r="F2" s="2702"/>
      <c r="G2" s="1486"/>
      <c r="H2" s="1486"/>
      <c r="I2" s="1486"/>
      <c r="J2" s="1486"/>
      <c r="K2" s="1486"/>
      <c r="L2" s="1486"/>
      <c r="M2" s="1486"/>
      <c r="N2" s="1486"/>
      <c r="O2" s="1486"/>
      <c r="P2" s="1486"/>
      <c r="Q2" s="1486"/>
      <c r="R2" s="1486"/>
      <c r="S2" s="1486"/>
    </row>
    <row r="3" spans="1:22" ht="15.75">
      <c r="A3" s="1867" t="s">
        <v>684</v>
      </c>
      <c r="B3" s="2596">
        <f ca="1">ROUND(B2*10000/E2,0)</f>
        <v>15336</v>
      </c>
      <c r="C3" s="1869" t="s">
        <v>1654</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1648</v>
      </c>
      <c r="B5" s="3881" t="s">
        <v>1649</v>
      </c>
      <c r="C5" s="3882"/>
      <c r="D5" s="2703"/>
      <c r="E5" s="1871" t="s">
        <v>1650</v>
      </c>
      <c r="F5" s="1872" t="s">
        <v>1651</v>
      </c>
      <c r="G5" s="1486"/>
      <c r="H5" s="1486"/>
      <c r="I5" s="1486"/>
      <c r="J5" s="1486"/>
      <c r="K5" s="1486"/>
      <c r="L5" s="1486"/>
      <c r="M5" s="1486"/>
      <c r="N5" s="1486"/>
      <c r="O5" s="1486"/>
      <c r="P5" s="1486"/>
      <c r="Q5" s="1486"/>
      <c r="R5" s="1486"/>
      <c r="S5" s="1486"/>
    </row>
    <row r="6" spans="1:22">
      <c r="A6" s="2599" t="str">
        <f>'数据-取费表'!AN6</f>
        <v>收益法-负2层</v>
      </c>
      <c r="B6" s="2597">
        <f ca="1">IF(F6="是",'数据-取费表'!AO6,0)</f>
        <v>4932</v>
      </c>
      <c r="C6" s="1869" t="s">
        <v>1646</v>
      </c>
      <c r="D6" s="2704"/>
      <c r="E6" s="2601">
        <f>IF(OR(A6=0,F6="否"),0,'数据-取费表'!K6+'数据-取费表'!S6)</f>
        <v>2852.38</v>
      </c>
      <c r="F6" s="1873" t="s">
        <v>1652</v>
      </c>
      <c r="G6" s="1486"/>
      <c r="H6" s="1486"/>
      <c r="I6" s="1486"/>
      <c r="J6" s="1486"/>
      <c r="K6" s="1486"/>
      <c r="L6" s="1486"/>
      <c r="M6" s="1486"/>
      <c r="N6" s="1486"/>
      <c r="O6" s="1486"/>
      <c r="P6" s="1486"/>
      <c r="Q6" s="1486"/>
      <c r="R6" s="1486"/>
      <c r="S6" s="1486"/>
    </row>
    <row r="7" spans="1:22">
      <c r="A7" s="2599" t="str">
        <f>'数据-取费表'!AN7</f>
        <v>收益法-负3层</v>
      </c>
      <c r="B7" s="2597">
        <f ca="1">IF(F7="是",'数据-取费表'!AO7,0)</f>
        <v>4238</v>
      </c>
      <c r="C7" s="1869" t="s">
        <v>1646</v>
      </c>
      <c r="D7" s="2704"/>
      <c r="E7" s="2601">
        <f>IF(OR(A7=0,F7="否"),0,'数据-取费表'!K7+'数据-取费表'!S7)</f>
        <v>3127.15</v>
      </c>
      <c r="F7" s="1873" t="s">
        <v>1652</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1646</v>
      </c>
      <c r="D8" s="2704"/>
      <c r="E8" s="2601">
        <f>IF(OR(A8=0,F8="否"),0,'数据-取费表'!K8+'数据-取费表'!S8)</f>
        <v>0</v>
      </c>
      <c r="F8" s="1873" t="s">
        <v>1652</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1646</v>
      </c>
      <c r="D9" s="2704"/>
      <c r="E9" s="2601">
        <f>IF(OR(A9=0,F9="否"),0,'数据-取费表'!K9+'数据-取费表'!S9)</f>
        <v>0</v>
      </c>
      <c r="F9" s="1873" t="s">
        <v>1652</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1646</v>
      </c>
      <c r="D10" s="2704"/>
      <c r="E10" s="2601">
        <f>IF(OR(A10=0,F10="否"),0,'数据-取费表'!K10+'数据-取费表'!S10)</f>
        <v>0</v>
      </c>
      <c r="F10" s="1873" t="s">
        <v>1652</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1646</v>
      </c>
      <c r="D11" s="2704"/>
      <c r="E11" s="2601">
        <f>IF(OR(A11=0,F11="否"),0,'数据-取费表'!K11+'数据-取费表'!S11)</f>
        <v>0</v>
      </c>
      <c r="F11" s="1873" t="s">
        <v>1652</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1646</v>
      </c>
      <c r="D12" s="2704"/>
      <c r="E12" s="2601">
        <f>IF(OR(A12=0,F12="否"),0,'数据-取费表'!K12+'数据-取费表'!S12)</f>
        <v>0</v>
      </c>
      <c r="F12" s="1873" t="s">
        <v>1652</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1646</v>
      </c>
      <c r="D13" s="2705"/>
      <c r="E13" s="2601">
        <f>IF(OR(A13=0,F13="否"),0,'数据-取费表'!K13+'数据-取费表'!S13)</f>
        <v>0</v>
      </c>
      <c r="F13" s="1873" t="s">
        <v>1652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1656</v>
      </c>
      <c r="C1" s="1235" t="s">
        <v>1657</v>
      </c>
      <c r="D1" s="1222"/>
      <c r="E1" s="3421"/>
      <c r="F1" s="1876"/>
      <c r="G1" s="1232" t="s">
        <v>1658</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1659</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0</v>
      </c>
      <c r="C3" s="354" t="s">
        <v>1660</v>
      </c>
      <c r="D3" s="353">
        <f>IF(D1="",'数据-汇总表'!E3,SUMIF('数据-汇总表'!$C19:$C33,D1,'数据-汇总表'!$E19:$E33))</f>
        <v>5979.5300000000007</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1661</v>
      </c>
      <c r="B4" s="356"/>
      <c r="C4" s="3901" t="s">
        <v>1662</v>
      </c>
      <c r="D4" s="3902"/>
      <c r="E4" s="3903" t="s">
        <v>1663</v>
      </c>
      <c r="F4" s="3904"/>
      <c r="G4" s="3901" t="s">
        <v>1664</v>
      </c>
      <c r="H4" s="3902"/>
      <c r="I4" s="3901" t="s">
        <v>1665</v>
      </c>
      <c r="J4" s="3902"/>
      <c r="K4" s="1886" t="s">
        <v>1666</v>
      </c>
      <c r="L4" s="2710"/>
      <c r="M4" s="2711"/>
      <c r="N4" s="2711"/>
      <c r="O4" s="2711"/>
      <c r="P4" s="3905" t="s">
        <v>1667</v>
      </c>
      <c r="Q4" s="3906"/>
      <c r="R4" s="3911" t="s">
        <v>1663</v>
      </c>
      <c r="S4" s="3912"/>
      <c r="T4" s="3911" t="s">
        <v>1664</v>
      </c>
      <c r="U4" s="3912"/>
      <c r="V4" s="3917" t="s">
        <v>1665</v>
      </c>
      <c r="W4" s="3917"/>
      <c r="X4" s="1352"/>
      <c r="Y4" s="3911" t="s">
        <v>1667</v>
      </c>
      <c r="Z4" s="3912"/>
      <c r="AA4" s="3898" t="s">
        <v>1663</v>
      </c>
      <c r="AB4" s="3898" t="s">
        <v>1664</v>
      </c>
      <c r="AC4" s="3898" t="s">
        <v>1665</v>
      </c>
    </row>
    <row r="5" spans="1:29" ht="15">
      <c r="A5" s="358"/>
      <c r="B5" s="359"/>
      <c r="C5" s="3920" t="s">
        <v>1668</v>
      </c>
      <c r="D5" s="3921"/>
      <c r="E5" s="3927" t="s">
        <v>1669</v>
      </c>
      <c r="F5" s="3928"/>
      <c r="G5" s="3920" t="s">
        <v>1670</v>
      </c>
      <c r="H5" s="3921"/>
      <c r="I5" s="3920" t="s">
        <v>1671</v>
      </c>
      <c r="J5" s="3921"/>
      <c r="K5" s="1887"/>
      <c r="L5" s="2710"/>
      <c r="M5" s="2711"/>
      <c r="N5" s="2711"/>
      <c r="O5" s="2711"/>
      <c r="P5" s="3907"/>
      <c r="Q5" s="3908"/>
      <c r="R5" s="3913"/>
      <c r="S5" s="3914"/>
      <c r="T5" s="3913"/>
      <c r="U5" s="3914"/>
      <c r="V5" s="3917"/>
      <c r="W5" s="3917"/>
      <c r="X5" s="1352"/>
      <c r="Y5" s="3913"/>
      <c r="Z5" s="3914"/>
      <c r="AA5" s="3899"/>
      <c r="AB5" s="3899"/>
      <c r="AC5" s="3899"/>
    </row>
    <row r="6" spans="1:29" ht="15.75" thickBot="1">
      <c r="A6" s="360"/>
      <c r="B6" s="361"/>
      <c r="C6" s="3918" t="s">
        <v>1672</v>
      </c>
      <c r="D6" s="3919"/>
      <c r="E6" s="3925" t="s">
        <v>1672</v>
      </c>
      <c r="F6" s="3926"/>
      <c r="G6" s="3918" t="s">
        <v>1672</v>
      </c>
      <c r="H6" s="3919"/>
      <c r="I6" s="3918" t="s">
        <v>1672</v>
      </c>
      <c r="J6" s="3919"/>
      <c r="K6" s="1887" t="s">
        <v>1673</v>
      </c>
      <c r="L6" s="2710"/>
      <c r="M6" s="2711"/>
      <c r="N6" s="2711"/>
      <c r="O6" s="2711"/>
      <c r="P6" s="3909"/>
      <c r="Q6" s="3910"/>
      <c r="R6" s="3913"/>
      <c r="S6" s="3914"/>
      <c r="T6" s="3915"/>
      <c r="U6" s="3916"/>
      <c r="V6" s="3917"/>
      <c r="W6" s="3917"/>
      <c r="X6" s="1352"/>
      <c r="Y6" s="3915"/>
      <c r="Z6" s="3916"/>
      <c r="AA6" s="3900"/>
      <c r="AB6" s="3900"/>
      <c r="AC6" s="3900"/>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922" t="s">
        <v>1675</v>
      </c>
      <c r="Q7" s="3924"/>
      <c r="R7" s="701" t="s">
        <v>20</v>
      </c>
      <c r="S7" s="702">
        <f t="shared" ref="S7:S15" si="0">F7</f>
        <v>0</v>
      </c>
      <c r="T7" s="701" t="s">
        <v>20</v>
      </c>
      <c r="U7" s="702">
        <f t="shared" ref="U7:U15" si="1">H7</f>
        <v>0</v>
      </c>
      <c r="V7" s="701" t="s">
        <v>20</v>
      </c>
      <c r="W7" s="702">
        <f t="shared" ref="W7:W15" si="2">J7</f>
        <v>0</v>
      </c>
      <c r="X7" s="703"/>
      <c r="Y7" s="3922" t="s">
        <v>1675</v>
      </c>
      <c r="Z7" s="3923"/>
      <c r="AA7" s="704" t="e">
        <f>D7/F7</f>
        <v>#DIV/0!</v>
      </c>
      <c r="AB7" s="704" t="e">
        <f>D7/H7</f>
        <v>#DIV/0!</v>
      </c>
      <c r="AC7" s="704" t="e">
        <f>D7/J7</f>
        <v>#DIV/0!</v>
      </c>
    </row>
    <row r="8" spans="1:29" s="108" customFormat="1" ht="15.75" thickBot="1">
      <c r="A8" s="362" t="s">
        <v>1676</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922" t="s">
        <v>1678</v>
      </c>
      <c r="Q8" s="3923"/>
      <c r="R8" s="701" t="s">
        <v>20</v>
      </c>
      <c r="S8" s="702">
        <f t="shared" si="0"/>
        <v>100</v>
      </c>
      <c r="T8" s="701" t="s">
        <v>20</v>
      </c>
      <c r="U8" s="702">
        <f t="shared" si="1"/>
        <v>100</v>
      </c>
      <c r="V8" s="701" t="s">
        <v>20</v>
      </c>
      <c r="W8" s="702">
        <f t="shared" si="2"/>
        <v>100</v>
      </c>
      <c r="X8" s="703"/>
      <c r="Y8" s="3922" t="s">
        <v>1678</v>
      </c>
      <c r="Z8" s="3923"/>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897"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897"/>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897"/>
      <c r="Q11" s="1340" t="str">
        <f t="shared" si="6"/>
        <v>容积率</v>
      </c>
      <c r="R11" s="701" t="s">
        <v>18</v>
      </c>
      <c r="S11" s="702" t="e">
        <f t="shared" si="0"/>
        <v>#N/A</v>
      </c>
      <c r="T11" s="701" t="s">
        <v>18</v>
      </c>
      <c r="U11" s="702" t="e">
        <f t="shared" si="1"/>
        <v>#N/A</v>
      </c>
      <c r="V11" s="701" t="s">
        <v>18</v>
      </c>
      <c r="W11" s="702" t="e">
        <f t="shared" si="2"/>
        <v>#N/A</v>
      </c>
      <c r="X11" s="703"/>
      <c r="Y11" s="3742"/>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897"/>
      <c r="Q12" s="1340">
        <f t="shared" si="6"/>
        <v>111</v>
      </c>
      <c r="R12" s="701" t="s">
        <v>18</v>
      </c>
      <c r="S12" s="702">
        <f t="shared" si="0"/>
        <v>100</v>
      </c>
      <c r="T12" s="701" t="s">
        <v>18</v>
      </c>
      <c r="U12" s="702">
        <f t="shared" si="1"/>
        <v>100</v>
      </c>
      <c r="V12" s="701" t="s">
        <v>18</v>
      </c>
      <c r="W12" s="702">
        <f t="shared" si="2"/>
        <v>100</v>
      </c>
      <c r="X12" s="703"/>
      <c r="Y12" s="3742"/>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897"/>
      <c r="Q13" s="1340">
        <f t="shared" si="6"/>
        <v>111</v>
      </c>
      <c r="R13" s="701" t="s">
        <v>18</v>
      </c>
      <c r="S13" s="702">
        <f t="shared" si="0"/>
        <v>100</v>
      </c>
      <c r="T13" s="701" t="s">
        <v>18</v>
      </c>
      <c r="U13" s="702">
        <f t="shared" si="1"/>
        <v>100</v>
      </c>
      <c r="V13" s="701" t="s">
        <v>18</v>
      </c>
      <c r="W13" s="702">
        <f t="shared" si="2"/>
        <v>100</v>
      </c>
      <c r="X13" s="703"/>
      <c r="Y13" s="3742"/>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897"/>
      <c r="Q14" s="1340">
        <f t="shared" si="6"/>
        <v>111</v>
      </c>
      <c r="R14" s="701" t="s">
        <v>18</v>
      </c>
      <c r="S14" s="702">
        <f t="shared" si="0"/>
        <v>100</v>
      </c>
      <c r="T14" s="701" t="s">
        <v>18</v>
      </c>
      <c r="U14" s="702">
        <f t="shared" si="1"/>
        <v>100</v>
      </c>
      <c r="V14" s="701" t="s">
        <v>18</v>
      </c>
      <c r="W14" s="702">
        <f t="shared" si="2"/>
        <v>100</v>
      </c>
      <c r="X14" s="703"/>
      <c r="Y14" s="3742"/>
      <c r="Z14" s="52">
        <f t="shared" si="7"/>
        <v>111</v>
      </c>
      <c r="AA14" s="704">
        <f t="shared" si="3"/>
        <v>1</v>
      </c>
      <c r="AB14" s="704">
        <f t="shared" si="4"/>
        <v>1</v>
      </c>
      <c r="AC14" s="704">
        <f t="shared" si="5"/>
        <v>1</v>
      </c>
    </row>
    <row r="15" spans="1:29" ht="85.5">
      <c r="A15" s="391" t="s">
        <v>1685</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95" t="s">
        <v>1686</v>
      </c>
      <c r="Q15" s="1349" t="str">
        <f t="shared" si="6"/>
        <v>居住社区成熟度</v>
      </c>
      <c r="R15" s="705" t="s">
        <v>18</v>
      </c>
      <c r="S15" s="706">
        <f t="shared" si="0"/>
        <v>100</v>
      </c>
      <c r="T15" s="705" t="s">
        <v>18</v>
      </c>
      <c r="U15" s="706">
        <f t="shared" si="1"/>
        <v>100</v>
      </c>
      <c r="V15" s="705" t="s">
        <v>18</v>
      </c>
      <c r="W15" s="706">
        <f t="shared" si="2"/>
        <v>100</v>
      </c>
      <c r="X15" s="1352"/>
      <c r="Y15" s="3888" t="s">
        <v>1686</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896"/>
      <c r="Q16" s="1349"/>
      <c r="R16" s="705"/>
      <c r="S16" s="706"/>
      <c r="T16" s="705"/>
      <c r="U16" s="706"/>
      <c r="V16" s="705"/>
      <c r="W16" s="706"/>
      <c r="X16" s="1352"/>
      <c r="Y16" s="3889"/>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96"/>
      <c r="Q17" s="1349" t="str">
        <f>B17</f>
        <v>交通便捷度</v>
      </c>
      <c r="R17" s="705" t="s">
        <v>18</v>
      </c>
      <c r="S17" s="706">
        <f>F17</f>
        <v>100</v>
      </c>
      <c r="T17" s="705" t="s">
        <v>18</v>
      </c>
      <c r="U17" s="706">
        <f>H17</f>
        <v>100</v>
      </c>
      <c r="V17" s="705" t="s">
        <v>18</v>
      </c>
      <c r="W17" s="706">
        <f>J17</f>
        <v>100</v>
      </c>
      <c r="X17" s="1352"/>
      <c r="Y17" s="388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896"/>
      <c r="Q18" s="1349"/>
      <c r="R18" s="705"/>
      <c r="S18" s="706"/>
      <c r="T18" s="705"/>
      <c r="U18" s="706"/>
      <c r="V18" s="705"/>
      <c r="W18" s="706"/>
      <c r="X18" s="1352"/>
      <c r="Y18" s="3889"/>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96"/>
      <c r="Q19" s="1349" t="str">
        <f>B19</f>
        <v>公共配套设施</v>
      </c>
      <c r="R19" s="705" t="s">
        <v>18</v>
      </c>
      <c r="S19" s="706">
        <f>F19</f>
        <v>100</v>
      </c>
      <c r="T19" s="705" t="s">
        <v>18</v>
      </c>
      <c r="U19" s="706">
        <f>H19</f>
        <v>100</v>
      </c>
      <c r="V19" s="705" t="s">
        <v>18</v>
      </c>
      <c r="W19" s="706">
        <f>J19</f>
        <v>100</v>
      </c>
      <c r="X19" s="1352"/>
      <c r="Y19" s="388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896"/>
      <c r="Q20" s="1349"/>
      <c r="R20" s="705"/>
      <c r="S20" s="706"/>
      <c r="T20" s="705"/>
      <c r="U20" s="706"/>
      <c r="V20" s="705"/>
      <c r="W20" s="706"/>
      <c r="X20" s="1352"/>
      <c r="Y20" s="3889"/>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96"/>
      <c r="Q21" s="1349" t="str">
        <f>B21</f>
        <v>基础设施水平</v>
      </c>
      <c r="R21" s="705" t="s">
        <v>14</v>
      </c>
      <c r="S21" s="706">
        <f>F21</f>
        <v>100</v>
      </c>
      <c r="T21" s="705" t="s">
        <v>14</v>
      </c>
      <c r="U21" s="706">
        <f>H21</f>
        <v>100</v>
      </c>
      <c r="V21" s="705" t="s">
        <v>14</v>
      </c>
      <c r="W21" s="706">
        <f>J21</f>
        <v>100</v>
      </c>
      <c r="X21" s="1352"/>
      <c r="Y21" s="388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896"/>
      <c r="Q22" s="1349"/>
      <c r="R22" s="705"/>
      <c r="S22" s="706"/>
      <c r="T22" s="705"/>
      <c r="U22" s="706"/>
      <c r="V22" s="705"/>
      <c r="W22" s="706"/>
      <c r="X22" s="1352"/>
      <c r="Y22" s="3889"/>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96"/>
      <c r="Q23" s="1349" t="str">
        <f>B23</f>
        <v>自然及人文环境</v>
      </c>
      <c r="R23" s="705" t="s">
        <v>18</v>
      </c>
      <c r="S23" s="706">
        <f>F23</f>
        <v>100</v>
      </c>
      <c r="T23" s="705" t="s">
        <v>18</v>
      </c>
      <c r="U23" s="706">
        <f>H23</f>
        <v>100</v>
      </c>
      <c r="V23" s="705" t="s">
        <v>18</v>
      </c>
      <c r="W23" s="706">
        <f>J23</f>
        <v>100</v>
      </c>
      <c r="X23" s="1352"/>
      <c r="Y23" s="388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896"/>
      <c r="Q24" s="1349"/>
      <c r="R24" s="705"/>
      <c r="S24" s="706"/>
      <c r="T24" s="705"/>
      <c r="U24" s="706"/>
      <c r="V24" s="705"/>
      <c r="W24" s="706"/>
      <c r="X24" s="1352"/>
      <c r="Y24" s="3889"/>
      <c r="Z24" s="1353"/>
      <c r="AA24" s="1350">
        <v>1</v>
      </c>
      <c r="AB24" s="1350">
        <v>1</v>
      </c>
      <c r="AC24" s="1350">
        <v>1</v>
      </c>
    </row>
    <row r="25" spans="1:29" ht="15">
      <c r="A25" s="379"/>
      <c r="B25" s="375" t="s">
        <v>1687</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896"/>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889"/>
      <c r="Z25" s="1353" t="str">
        <f>Q25</f>
        <v>楼层-1</v>
      </c>
      <c r="AA25" s="1350">
        <f t="shared" ref="AA25:AA46" si="15">D25/F25</f>
        <v>1</v>
      </c>
      <c r="AB25" s="1350">
        <f t="shared" ref="AB25:AB46" si="16">D25/H25</f>
        <v>1</v>
      </c>
      <c r="AC25" s="1350">
        <f t="shared" ref="AC25:AC46" si="17">D25/J25</f>
        <v>1</v>
      </c>
    </row>
    <row r="26" spans="1:29" ht="15">
      <c r="A26" s="379"/>
      <c r="B26" s="375" t="s">
        <v>1688</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896"/>
      <c r="Q26" s="1349" t="str">
        <f t="shared" si="11"/>
        <v>朝向</v>
      </c>
      <c r="R26" s="705" t="s">
        <v>18</v>
      </c>
      <c r="S26" s="706">
        <f t="shared" si="12"/>
        <v>100</v>
      </c>
      <c r="T26" s="705" t="s">
        <v>18</v>
      </c>
      <c r="U26" s="706">
        <f t="shared" si="13"/>
        <v>100</v>
      </c>
      <c r="V26" s="705" t="s">
        <v>18</v>
      </c>
      <c r="W26" s="706">
        <f t="shared" si="14"/>
        <v>100</v>
      </c>
      <c r="X26" s="1352"/>
      <c r="Y26" s="3889"/>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896"/>
      <c r="Q27" s="1340">
        <f t="shared" si="11"/>
        <v>111</v>
      </c>
      <c r="R27" s="701" t="s">
        <v>18</v>
      </c>
      <c r="S27" s="702">
        <f t="shared" si="12"/>
        <v>100</v>
      </c>
      <c r="T27" s="701" t="s">
        <v>18</v>
      </c>
      <c r="U27" s="702">
        <f t="shared" si="13"/>
        <v>100</v>
      </c>
      <c r="V27" s="701" t="s">
        <v>18</v>
      </c>
      <c r="W27" s="702">
        <f t="shared" si="14"/>
        <v>100</v>
      </c>
      <c r="X27" s="703"/>
      <c r="Y27" s="3889"/>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896"/>
      <c r="Q28" s="1349">
        <f t="shared" si="11"/>
        <v>111</v>
      </c>
      <c r="R28" s="705" t="s">
        <v>18</v>
      </c>
      <c r="S28" s="706">
        <f t="shared" si="12"/>
        <v>100</v>
      </c>
      <c r="T28" s="705" t="s">
        <v>18</v>
      </c>
      <c r="U28" s="706">
        <f t="shared" si="13"/>
        <v>100</v>
      </c>
      <c r="V28" s="705" t="s">
        <v>18</v>
      </c>
      <c r="W28" s="706">
        <f t="shared" si="14"/>
        <v>100</v>
      </c>
      <c r="X28" s="1352"/>
      <c r="Y28" s="3889"/>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896"/>
      <c r="Q29" s="1349">
        <f t="shared" si="11"/>
        <v>111</v>
      </c>
      <c r="R29" s="705" t="s">
        <v>18</v>
      </c>
      <c r="S29" s="706">
        <f t="shared" si="12"/>
        <v>100</v>
      </c>
      <c r="T29" s="705" t="s">
        <v>18</v>
      </c>
      <c r="U29" s="706">
        <f t="shared" si="13"/>
        <v>100</v>
      </c>
      <c r="V29" s="705" t="s">
        <v>18</v>
      </c>
      <c r="W29" s="706">
        <f t="shared" si="14"/>
        <v>100</v>
      </c>
      <c r="X29" s="1352"/>
      <c r="Y29" s="3889"/>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896"/>
      <c r="Q30" s="1349">
        <f t="shared" si="11"/>
        <v>111</v>
      </c>
      <c r="R30" s="705" t="s">
        <v>18</v>
      </c>
      <c r="S30" s="706">
        <f t="shared" si="12"/>
        <v>100</v>
      </c>
      <c r="T30" s="705" t="s">
        <v>18</v>
      </c>
      <c r="U30" s="706">
        <f t="shared" si="13"/>
        <v>100</v>
      </c>
      <c r="V30" s="705" t="s">
        <v>18</v>
      </c>
      <c r="W30" s="706">
        <f t="shared" si="14"/>
        <v>100</v>
      </c>
      <c r="X30" s="1352"/>
      <c r="Y30" s="3889"/>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896"/>
      <c r="Q31" s="1349">
        <f t="shared" si="11"/>
        <v>111</v>
      </c>
      <c r="R31" s="705" t="s">
        <v>18</v>
      </c>
      <c r="S31" s="706">
        <f t="shared" si="12"/>
        <v>100</v>
      </c>
      <c r="T31" s="705" t="s">
        <v>18</v>
      </c>
      <c r="U31" s="706">
        <f t="shared" si="13"/>
        <v>100</v>
      </c>
      <c r="V31" s="705" t="s">
        <v>18</v>
      </c>
      <c r="W31" s="706">
        <f t="shared" si="14"/>
        <v>100</v>
      </c>
      <c r="X31" s="1352"/>
      <c r="Y31" s="3889"/>
      <c r="Z31" s="1353">
        <f t="shared" si="18"/>
        <v>111</v>
      </c>
      <c r="AA31" s="1350">
        <f t="shared" si="15"/>
        <v>1</v>
      </c>
      <c r="AB31" s="1350">
        <f t="shared" si="16"/>
        <v>1</v>
      </c>
      <c r="AC31" s="1350">
        <f t="shared" si="17"/>
        <v>1</v>
      </c>
    </row>
    <row r="32" spans="1:29" ht="15">
      <c r="A32" s="391" t="s">
        <v>1689</v>
      </c>
      <c r="B32" s="63" t="s">
        <v>1690</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890" t="s">
        <v>1691</v>
      </c>
      <c r="Q32" s="1349" t="str">
        <f t="shared" si="11"/>
        <v>建筑类型</v>
      </c>
      <c r="R32" s="705" t="s">
        <v>18</v>
      </c>
      <c r="S32" s="706">
        <f t="shared" si="12"/>
        <v>100</v>
      </c>
      <c r="T32" s="705" t="s">
        <v>18</v>
      </c>
      <c r="U32" s="706">
        <f t="shared" si="13"/>
        <v>100</v>
      </c>
      <c r="V32" s="705" t="s">
        <v>18</v>
      </c>
      <c r="W32" s="706">
        <f t="shared" si="14"/>
        <v>100</v>
      </c>
      <c r="X32" s="1352"/>
      <c r="Y32" s="3893" t="s">
        <v>1691</v>
      </c>
      <c r="Z32" s="1353" t="str">
        <f t="shared" si="18"/>
        <v>建筑类型</v>
      </c>
      <c r="AA32" s="1350">
        <f t="shared" si="15"/>
        <v>1</v>
      </c>
      <c r="AB32" s="1350">
        <f t="shared" si="16"/>
        <v>1</v>
      </c>
      <c r="AC32" s="1350">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891"/>
      <c r="Q33" s="707" t="str">
        <f t="shared" si="11"/>
        <v>项目建筑规模</v>
      </c>
      <c r="R33" s="708" t="s">
        <v>18</v>
      </c>
      <c r="S33" s="709" t="e">
        <f t="shared" si="12"/>
        <v>#N/A</v>
      </c>
      <c r="T33" s="708" t="s">
        <v>18</v>
      </c>
      <c r="U33" s="709" t="e">
        <f t="shared" si="13"/>
        <v>#N/A</v>
      </c>
      <c r="V33" s="708" t="s">
        <v>18</v>
      </c>
      <c r="W33" s="709" t="e">
        <f t="shared" si="14"/>
        <v>#N/A</v>
      </c>
      <c r="X33" s="710"/>
      <c r="Y33" s="3893"/>
      <c r="Z33" s="711" t="str">
        <f t="shared" si="18"/>
        <v>项目建筑规模</v>
      </c>
      <c r="AA33" s="1350" t="e">
        <f t="shared" si="15"/>
        <v>#N/A</v>
      </c>
      <c r="AB33" s="1350" t="e">
        <f t="shared" si="16"/>
        <v>#N/A</v>
      </c>
      <c r="AC33" s="1350" t="e">
        <f t="shared" si="17"/>
        <v>#N/A</v>
      </c>
    </row>
    <row r="34" spans="1:29" ht="15">
      <c r="A34" s="423"/>
      <c r="B34" s="375" t="s">
        <v>1693</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891"/>
      <c r="Q34" s="1349" t="str">
        <f t="shared" si="11"/>
        <v>建筑结构</v>
      </c>
      <c r="R34" s="705" t="s">
        <v>18</v>
      </c>
      <c r="S34" s="706">
        <f t="shared" si="12"/>
        <v>100</v>
      </c>
      <c r="T34" s="705" t="s">
        <v>18</v>
      </c>
      <c r="U34" s="706">
        <f t="shared" si="13"/>
        <v>100</v>
      </c>
      <c r="V34" s="705" t="s">
        <v>18</v>
      </c>
      <c r="W34" s="706">
        <f t="shared" si="14"/>
        <v>100</v>
      </c>
      <c r="X34" s="1352"/>
      <c r="Y34" s="3893"/>
      <c r="Z34" s="1353" t="str">
        <f t="shared" si="18"/>
        <v>建筑结构</v>
      </c>
      <c r="AA34" s="1350">
        <f t="shared" si="15"/>
        <v>1</v>
      </c>
      <c r="AB34" s="1350">
        <f t="shared" si="16"/>
        <v>1</v>
      </c>
      <c r="AC34" s="1350">
        <f t="shared" si="17"/>
        <v>1</v>
      </c>
    </row>
    <row r="35" spans="1:29" ht="15">
      <c r="A35" s="423"/>
      <c r="B35" s="375" t="s">
        <v>1694</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891"/>
      <c r="Q35" s="1349" t="str">
        <f t="shared" si="11"/>
        <v>建筑品质</v>
      </c>
      <c r="R35" s="705" t="s">
        <v>18</v>
      </c>
      <c r="S35" s="706">
        <f t="shared" si="12"/>
        <v>100</v>
      </c>
      <c r="T35" s="705" t="s">
        <v>18</v>
      </c>
      <c r="U35" s="706">
        <f t="shared" si="13"/>
        <v>100</v>
      </c>
      <c r="V35" s="705" t="s">
        <v>18</v>
      </c>
      <c r="W35" s="706">
        <f t="shared" si="14"/>
        <v>100</v>
      </c>
      <c r="X35" s="1352"/>
      <c r="Y35" s="3893"/>
      <c r="Z35" s="1353" t="str">
        <f t="shared" si="18"/>
        <v>建筑品质</v>
      </c>
      <c r="AA35" s="1350">
        <f t="shared" si="15"/>
        <v>1</v>
      </c>
      <c r="AB35" s="1350">
        <f t="shared" si="16"/>
        <v>1</v>
      </c>
      <c r="AC35" s="1350">
        <f t="shared" si="17"/>
        <v>1</v>
      </c>
    </row>
    <row r="36" spans="1:29" ht="15">
      <c r="A36" s="423"/>
      <c r="B36" s="375" t="s">
        <v>1695</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891"/>
      <c r="Q36" s="1349" t="str">
        <f t="shared" si="11"/>
        <v>公共部分装修</v>
      </c>
      <c r="R36" s="705" t="s">
        <v>18</v>
      </c>
      <c r="S36" s="706">
        <f t="shared" si="12"/>
        <v>100</v>
      </c>
      <c r="T36" s="705" t="s">
        <v>18</v>
      </c>
      <c r="U36" s="706">
        <f t="shared" si="13"/>
        <v>100</v>
      </c>
      <c r="V36" s="705" t="s">
        <v>18</v>
      </c>
      <c r="W36" s="706">
        <f t="shared" si="14"/>
        <v>100</v>
      </c>
      <c r="X36" s="1352"/>
      <c r="Y36" s="3893"/>
      <c r="Z36" s="1353" t="str">
        <f t="shared" si="18"/>
        <v>公共部分装修</v>
      </c>
      <c r="AA36" s="1350">
        <f t="shared" si="15"/>
        <v>1</v>
      </c>
      <c r="AB36" s="1350">
        <f t="shared" si="16"/>
        <v>1</v>
      </c>
      <c r="AC36" s="1350">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91"/>
      <c r="Q37" s="1340" t="str">
        <f t="shared" si="11"/>
        <v>成新度</v>
      </c>
      <c r="R37" s="701" t="s">
        <v>18</v>
      </c>
      <c r="S37" s="702" t="e">
        <f t="shared" si="12"/>
        <v>#N/A</v>
      </c>
      <c r="T37" s="701" t="s">
        <v>18</v>
      </c>
      <c r="U37" s="702" t="e">
        <f t="shared" si="13"/>
        <v>#N/A</v>
      </c>
      <c r="V37" s="701" t="s">
        <v>18</v>
      </c>
      <c r="W37" s="702" t="e">
        <f t="shared" si="14"/>
        <v>#N/A</v>
      </c>
      <c r="X37" s="703"/>
      <c r="Y37" s="3893"/>
      <c r="Z37" s="52" t="str">
        <f t="shared" si="18"/>
        <v>成新度</v>
      </c>
      <c r="AA37" s="704" t="e">
        <f t="shared" si="15"/>
        <v>#N/A</v>
      </c>
      <c r="AB37" s="704" t="e">
        <f t="shared" si="16"/>
        <v>#N/A</v>
      </c>
      <c r="AC37" s="704" t="e">
        <f t="shared" si="17"/>
        <v>#N/A</v>
      </c>
    </row>
    <row r="38" spans="1:29" ht="15">
      <c r="A38" s="423"/>
      <c r="B38" s="375" t="s">
        <v>1697</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891" t="s">
        <v>1691</v>
      </c>
      <c r="Q38" s="1349" t="str">
        <f t="shared" si="11"/>
        <v>物业管理</v>
      </c>
      <c r="R38" s="705" t="s">
        <v>18</v>
      </c>
      <c r="S38" s="706">
        <f t="shared" si="12"/>
        <v>100</v>
      </c>
      <c r="T38" s="705" t="s">
        <v>18</v>
      </c>
      <c r="U38" s="706">
        <f t="shared" si="13"/>
        <v>100</v>
      </c>
      <c r="V38" s="705" t="s">
        <v>18</v>
      </c>
      <c r="W38" s="706">
        <f t="shared" si="14"/>
        <v>100</v>
      </c>
      <c r="X38" s="1352"/>
      <c r="Y38" s="3893" t="s">
        <v>1691</v>
      </c>
      <c r="Z38" s="1353" t="str">
        <f t="shared" si="18"/>
        <v>物业管理</v>
      </c>
      <c r="AA38" s="1350">
        <f t="shared" si="15"/>
        <v>1</v>
      </c>
      <c r="AB38" s="1350">
        <f t="shared" si="16"/>
        <v>1</v>
      </c>
      <c r="AC38" s="1350">
        <f t="shared" si="17"/>
        <v>1</v>
      </c>
    </row>
    <row r="39" spans="1:29" ht="15">
      <c r="A39" s="423"/>
      <c r="B39" s="375" t="s">
        <v>1698</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891"/>
      <c r="Q39" s="1349" t="str">
        <f t="shared" si="11"/>
        <v>市政基础设施</v>
      </c>
      <c r="R39" s="705" t="s">
        <v>18</v>
      </c>
      <c r="S39" s="706">
        <f t="shared" si="12"/>
        <v>100</v>
      </c>
      <c r="T39" s="705" t="s">
        <v>18</v>
      </c>
      <c r="U39" s="706">
        <f t="shared" si="13"/>
        <v>100</v>
      </c>
      <c r="V39" s="705" t="s">
        <v>18</v>
      </c>
      <c r="W39" s="706">
        <f t="shared" si="14"/>
        <v>100</v>
      </c>
      <c r="X39" s="1352"/>
      <c r="Y39" s="3893"/>
      <c r="Z39" s="1353" t="str">
        <f t="shared" si="18"/>
        <v>市政基础设施</v>
      </c>
      <c r="AA39" s="1350">
        <f t="shared" si="15"/>
        <v>1</v>
      </c>
      <c r="AB39" s="1350">
        <f t="shared" si="16"/>
        <v>1</v>
      </c>
      <c r="AC39" s="1350">
        <f t="shared" si="17"/>
        <v>1</v>
      </c>
    </row>
    <row r="40" spans="1:29" ht="15">
      <c r="A40" s="423"/>
      <c r="B40" s="375" t="s">
        <v>1699</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891"/>
      <c r="Q40" s="1349" t="str">
        <f t="shared" si="11"/>
        <v>房型</v>
      </c>
      <c r="R40" s="705" t="s">
        <v>18</v>
      </c>
      <c r="S40" s="706">
        <f t="shared" si="12"/>
        <v>100</v>
      </c>
      <c r="T40" s="705" t="s">
        <v>18</v>
      </c>
      <c r="U40" s="706">
        <f t="shared" si="13"/>
        <v>100</v>
      </c>
      <c r="V40" s="705" t="s">
        <v>18</v>
      </c>
      <c r="W40" s="706">
        <f t="shared" si="14"/>
        <v>100</v>
      </c>
      <c r="X40" s="1352"/>
      <c r="Y40" s="3893"/>
      <c r="Z40" s="1353" t="str">
        <f t="shared" si="18"/>
        <v>房型</v>
      </c>
      <c r="AA40" s="1350">
        <f t="shared" si="15"/>
        <v>1</v>
      </c>
      <c r="AB40" s="1350">
        <f t="shared" si="16"/>
        <v>1</v>
      </c>
      <c r="AC40" s="1350">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891"/>
      <c r="Q41" s="707" t="str">
        <f t="shared" si="11"/>
        <v>单套/主力户型建筑面积</v>
      </c>
      <c r="R41" s="708" t="s">
        <v>18</v>
      </c>
      <c r="S41" s="709">
        <f t="shared" si="12"/>
        <v>100</v>
      </c>
      <c r="T41" s="708" t="s">
        <v>18</v>
      </c>
      <c r="U41" s="709">
        <f t="shared" si="13"/>
        <v>100</v>
      </c>
      <c r="V41" s="708" t="s">
        <v>18</v>
      </c>
      <c r="W41" s="709">
        <f t="shared" si="14"/>
        <v>100</v>
      </c>
      <c r="X41" s="710"/>
      <c r="Y41" s="3893"/>
      <c r="Z41" s="711" t="str">
        <f t="shared" si="18"/>
        <v>单套/主力户型建筑面积</v>
      </c>
      <c r="AA41" s="1350">
        <f t="shared" si="15"/>
        <v>1</v>
      </c>
      <c r="AB41" s="1350">
        <f t="shared" si="16"/>
        <v>1</v>
      </c>
      <c r="AC41" s="1350">
        <f t="shared" si="17"/>
        <v>1</v>
      </c>
    </row>
    <row r="42" spans="1:29" ht="15">
      <c r="A42" s="423"/>
      <c r="B42" s="375" t="s">
        <v>1701</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891"/>
      <c r="Q42" s="1349" t="str">
        <f t="shared" si="11"/>
        <v>内部装修</v>
      </c>
      <c r="R42" s="705" t="s">
        <v>18</v>
      </c>
      <c r="S42" s="706">
        <f t="shared" si="12"/>
        <v>100</v>
      </c>
      <c r="T42" s="705" t="s">
        <v>18</v>
      </c>
      <c r="U42" s="706">
        <f t="shared" si="13"/>
        <v>100</v>
      </c>
      <c r="V42" s="705" t="s">
        <v>18</v>
      </c>
      <c r="W42" s="706">
        <f t="shared" si="14"/>
        <v>100</v>
      </c>
      <c r="X42" s="1352"/>
      <c r="Y42" s="3893"/>
      <c r="Z42" s="1353" t="str">
        <f t="shared" si="18"/>
        <v>内部装修</v>
      </c>
      <c r="AA42" s="1350">
        <f t="shared" si="15"/>
        <v>1</v>
      </c>
      <c r="AB42" s="1350">
        <f t="shared" si="16"/>
        <v>1</v>
      </c>
      <c r="AC42" s="1350">
        <f t="shared" si="17"/>
        <v>1</v>
      </c>
    </row>
    <row r="43" spans="1:29" ht="15">
      <c r="A43" s="423"/>
      <c r="B43" s="375" t="s">
        <v>1702</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891"/>
      <c r="Q43" s="1349" t="str">
        <f t="shared" si="11"/>
        <v>内部装修维护情况</v>
      </c>
      <c r="R43" s="705" t="s">
        <v>18</v>
      </c>
      <c r="S43" s="706">
        <f t="shared" si="12"/>
        <v>100</v>
      </c>
      <c r="T43" s="705" t="s">
        <v>18</v>
      </c>
      <c r="U43" s="706">
        <f t="shared" si="13"/>
        <v>100</v>
      </c>
      <c r="V43" s="705" t="s">
        <v>18</v>
      </c>
      <c r="W43" s="706">
        <f t="shared" si="14"/>
        <v>100</v>
      </c>
      <c r="X43" s="1352"/>
      <c r="Y43" s="389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891"/>
      <c r="Q44" s="1340">
        <f t="shared" si="11"/>
        <v>111</v>
      </c>
      <c r="R44" s="701" t="s">
        <v>18</v>
      </c>
      <c r="S44" s="702">
        <f t="shared" si="12"/>
        <v>100</v>
      </c>
      <c r="T44" s="701" t="s">
        <v>18</v>
      </c>
      <c r="U44" s="702">
        <f t="shared" si="13"/>
        <v>100</v>
      </c>
      <c r="V44" s="701" t="s">
        <v>18</v>
      </c>
      <c r="W44" s="702">
        <f t="shared" si="14"/>
        <v>100</v>
      </c>
      <c r="X44" s="703"/>
      <c r="Y44" s="3893"/>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891"/>
      <c r="Q45" s="1349">
        <f t="shared" si="11"/>
        <v>111</v>
      </c>
      <c r="R45" s="705" t="s">
        <v>18</v>
      </c>
      <c r="S45" s="706">
        <f t="shared" si="12"/>
        <v>100</v>
      </c>
      <c r="T45" s="705" t="s">
        <v>18</v>
      </c>
      <c r="U45" s="706">
        <f t="shared" si="13"/>
        <v>100</v>
      </c>
      <c r="V45" s="705" t="s">
        <v>18</v>
      </c>
      <c r="W45" s="706">
        <f t="shared" si="14"/>
        <v>100</v>
      </c>
      <c r="X45" s="1352"/>
      <c r="Y45" s="389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892"/>
      <c r="Q46" s="1349">
        <f t="shared" si="11"/>
        <v>111</v>
      </c>
      <c r="R46" s="705" t="s">
        <v>17</v>
      </c>
      <c r="S46" s="706">
        <f t="shared" si="12"/>
        <v>100</v>
      </c>
      <c r="T46" s="705" t="s">
        <v>17</v>
      </c>
      <c r="U46" s="706">
        <f t="shared" si="13"/>
        <v>100</v>
      </c>
      <c r="V46" s="705" t="s">
        <v>17</v>
      </c>
      <c r="W46" s="706">
        <f t="shared" si="14"/>
        <v>100</v>
      </c>
      <c r="X46" s="1352"/>
      <c r="Y46" s="3894"/>
      <c r="Z46" s="1353">
        <f t="shared" si="18"/>
        <v>111</v>
      </c>
      <c r="AA46" s="1350">
        <f t="shared" si="15"/>
        <v>1</v>
      </c>
      <c r="AB46" s="1350">
        <f t="shared" si="16"/>
        <v>1</v>
      </c>
      <c r="AC46" s="1350">
        <f t="shared" si="17"/>
        <v>1</v>
      </c>
    </row>
    <row r="47" spans="1:29" ht="15">
      <c r="A47" s="430" t="s">
        <v>1703</v>
      </c>
      <c r="B47" s="431"/>
      <c r="C47" s="1151" t="s">
        <v>16</v>
      </c>
      <c r="D47" s="1152"/>
      <c r="E47" s="1153"/>
      <c r="F47" s="1154"/>
      <c r="G47" s="1155"/>
      <c r="H47" s="1156"/>
      <c r="I47" s="1153"/>
      <c r="J47" s="1156"/>
      <c r="K47" s="1911"/>
      <c r="L47" s="2719"/>
      <c r="M47" s="2720"/>
      <c r="N47" s="2711"/>
      <c r="O47" s="2720"/>
      <c r="P47" s="3886" t="str">
        <f>A47</f>
        <v>成交单价（元/平方米）</v>
      </c>
      <c r="Q47" s="3886"/>
      <c r="R47" s="3887">
        <f>E47</f>
        <v>0</v>
      </c>
      <c r="S47" s="3887"/>
      <c r="T47" s="3887">
        <f>G47</f>
        <v>0</v>
      </c>
      <c r="U47" s="3887"/>
      <c r="V47" s="3887">
        <f>I47</f>
        <v>0</v>
      </c>
      <c r="W47" s="3887"/>
      <c r="X47" s="690"/>
      <c r="Y47" s="712"/>
      <c r="Z47" s="690"/>
      <c r="AA47" s="690"/>
      <c r="AB47" s="690"/>
      <c r="AC47" s="690"/>
    </row>
    <row r="48" spans="1:29" ht="15.75" thickBot="1">
      <c r="A48" s="437" t="s">
        <v>1704</v>
      </c>
      <c r="B48" s="438"/>
      <c r="C48" s="1157" t="e">
        <f>R49</f>
        <v>#DIV/0!</v>
      </c>
      <c r="D48" s="2314" t="s">
        <v>2133</v>
      </c>
      <c r="E48" s="1158" t="e">
        <f>R48</f>
        <v>#DIV/0!</v>
      </c>
      <c r="F48" s="2315"/>
      <c r="G48" s="1157" t="e">
        <f>T48</f>
        <v>#DIV/0!</v>
      </c>
      <c r="H48" s="2315"/>
      <c r="I48" s="1158" t="e">
        <f>V48</f>
        <v>#DIV/0!</v>
      </c>
      <c r="J48" s="2315"/>
      <c r="K48" s="2316">
        <f>F48+H48+J48</f>
        <v>0</v>
      </c>
      <c r="L48" s="2719"/>
      <c r="M48" s="2720"/>
      <c r="N48" s="2720"/>
      <c r="O48" s="2720"/>
      <c r="P48" s="3886" t="str">
        <f>A48</f>
        <v>比较价值（元/平方米）</v>
      </c>
      <c r="Q48" s="3886"/>
      <c r="R48" s="3887" t="e">
        <f>IF(F1="售价",ROUND(PRODUCT(R47,AA7:AA46),0),ROUND(PRODUCT(R47,AA7:AA46),1))</f>
        <v>#DIV/0!</v>
      </c>
      <c r="S48" s="3887"/>
      <c r="T48" s="3887" t="e">
        <f>IF(F1="售价",ROUND(PRODUCT(T47,AB7:AB46),0),ROUND(PRODUCT(T47,AB7:AB46),1))</f>
        <v>#DIV/0!</v>
      </c>
      <c r="U48" s="3887"/>
      <c r="V48" s="3887" t="e">
        <f>IF(F1="售价",ROUND(PRODUCT(V47,AC7:AC46),0),ROUND(PRODUCT(V47,AC7:AC46),1))</f>
        <v>#DIV/0!</v>
      </c>
      <c r="W48" s="3887"/>
      <c r="X48" s="690"/>
      <c r="Y48" s="690"/>
      <c r="Z48" s="690"/>
      <c r="AA48" s="690"/>
      <c r="AB48" s="690"/>
      <c r="AC48" s="690"/>
    </row>
    <row r="49" spans="1:29" ht="15.75" thickBot="1">
      <c r="A49" s="441" t="s">
        <v>1705</v>
      </c>
      <c r="B49" s="442"/>
      <c r="C49" s="1159" t="e">
        <f>R49</f>
        <v>#DIV/0!</v>
      </c>
      <c r="D49" s="1160"/>
      <c r="E49" s="1160"/>
      <c r="F49" s="1160"/>
      <c r="G49" s="1160"/>
      <c r="H49" s="1160"/>
      <c r="I49" s="1160"/>
      <c r="J49" s="1160"/>
      <c r="K49" s="1912"/>
      <c r="L49" s="2719"/>
      <c r="M49" s="2720"/>
      <c r="N49" s="2720"/>
      <c r="O49" s="2720"/>
      <c r="P49" s="3883" t="str">
        <f>A49</f>
        <v>估价对象XX用房的比较价值（楼面单价，元/平方米）</v>
      </c>
      <c r="Q49" s="3884"/>
      <c r="R49" s="3885" t="e">
        <f>IF(F1="售价",ROUND(IF(D48="简单平均",AVERAGE(R48:V48),R48*F48+T48*H48+V48*J48),0),ROUND(IF(D48="简单平均",AVERAGE(R48:V48),R48*F48+T48*H48+V48*J48),1))</f>
        <v>#DIV/0!</v>
      </c>
      <c r="S49" s="3885"/>
      <c r="T49" s="3885"/>
      <c r="U49" s="3885"/>
      <c r="V49" s="3885"/>
      <c r="W49" s="388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8"/>
      <c r="L57" s="939"/>
      <c r="M57" s="937"/>
      <c r="N57" s="937"/>
      <c r="O57" s="937"/>
      <c r="P57" s="1915"/>
      <c r="Q57" s="453"/>
    </row>
    <row r="58" spans="1:29" s="457" customFormat="1" ht="15">
      <c r="A58" s="454" t="s">
        <v>1710</v>
      </c>
      <c r="B58" s="455"/>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1714</v>
      </c>
      <c r="B63" s="477" t="s">
        <v>1680</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1683</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1723</v>
      </c>
      <c r="D82" s="488" t="s">
        <v>1724</v>
      </c>
      <c r="E82" s="488" t="s">
        <v>1725</v>
      </c>
      <c r="F82" s="488" t="s">
        <v>1726</v>
      </c>
      <c r="G82" s="488" t="s">
        <v>1727</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1729</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1730</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1689</v>
      </c>
      <c r="B100" s="477" t="s">
        <v>1731</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1733</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1734</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1735</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1736</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1737</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1738</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1700</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1739</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4">
        <v>6</v>
      </c>
      <c r="C139" s="865">
        <v>96</v>
      </c>
      <c r="D139" s="1937" t="s">
        <v>1750</v>
      </c>
      <c r="E139" s="866">
        <v>100</v>
      </c>
      <c r="F139" s="867">
        <v>102.5</v>
      </c>
      <c r="G139" s="1937" t="s">
        <v>1750</v>
      </c>
      <c r="H139" s="868">
        <v>105</v>
      </c>
      <c r="I139" s="1938" t="s">
        <v>1751</v>
      </c>
      <c r="J139" s="865">
        <v>20</v>
      </c>
      <c r="K139" s="869">
        <f>C145/(J139-2)</f>
        <v>4.0555555555555553E-3</v>
      </c>
    </row>
    <row r="140" spans="1:17" ht="15">
      <c r="B140" s="870">
        <v>5</v>
      </c>
      <c r="C140" s="871">
        <v>100</v>
      </c>
      <c r="D140" s="871"/>
      <c r="E140" s="872"/>
      <c r="F140" s="873">
        <v>102</v>
      </c>
      <c r="G140" s="871"/>
      <c r="H140" s="874"/>
      <c r="I140" s="1939" t="s">
        <v>1752</v>
      </c>
      <c r="J140" s="271">
        <f>ROUNDUP((J139-1)/2,0)</f>
        <v>10</v>
      </c>
      <c r="K140" s="875">
        <v>100</v>
      </c>
    </row>
    <row r="141" spans="1:17" ht="15">
      <c r="B141" s="870">
        <v>4</v>
      </c>
      <c r="C141" s="871">
        <v>102</v>
      </c>
      <c r="D141" s="871"/>
      <c r="E141" s="872"/>
      <c r="F141" s="873">
        <v>101.5</v>
      </c>
      <c r="G141" s="871"/>
      <c r="H141" s="874"/>
      <c r="I141" s="1939" t="s">
        <v>1753</v>
      </c>
      <c r="J141" s="271">
        <v>1</v>
      </c>
      <c r="K141" s="876">
        <f>ROUND(100+(J141-J140)*K139*100,1)</f>
        <v>96.4</v>
      </c>
    </row>
    <row r="142" spans="1:17" ht="15">
      <c r="B142" s="870">
        <v>3</v>
      </c>
      <c r="C142" s="871">
        <v>103</v>
      </c>
      <c r="D142" s="871"/>
      <c r="E142" s="872"/>
      <c r="F142" s="873">
        <v>101</v>
      </c>
      <c r="G142" s="871"/>
      <c r="H142" s="874"/>
      <c r="I142" s="1939" t="s">
        <v>1754</v>
      </c>
      <c r="J142" s="271">
        <f>J139</f>
        <v>20</v>
      </c>
      <c r="K142" s="877">
        <v>95</v>
      </c>
    </row>
    <row r="143" spans="1:17" ht="15">
      <c r="B143" s="870">
        <v>2</v>
      </c>
      <c r="C143" s="871">
        <v>100</v>
      </c>
      <c r="D143" s="871"/>
      <c r="E143" s="872"/>
      <c r="F143" s="873">
        <v>100.5</v>
      </c>
      <c r="G143" s="871"/>
      <c r="H143" s="874"/>
      <c r="I143" s="1939" t="s">
        <v>1755</v>
      </c>
      <c r="J143" s="871">
        <v>15</v>
      </c>
      <c r="K143" s="876">
        <f>ROUND(100+(J143-J140)*K139*100,1)</f>
        <v>102</v>
      </c>
    </row>
    <row r="144" spans="1:17" ht="15">
      <c r="B144" s="870">
        <v>1</v>
      </c>
      <c r="C144" s="871">
        <v>98</v>
      </c>
      <c r="D144" s="1940" t="s">
        <v>1756</v>
      </c>
      <c r="E144" s="872">
        <v>102</v>
      </c>
      <c r="F144" s="878">
        <v>100</v>
      </c>
      <c r="G144" s="1940" t="s">
        <v>1756</v>
      </c>
      <c r="H144" s="874">
        <v>105</v>
      </c>
      <c r="I144" s="1939" t="s">
        <v>1755</v>
      </c>
      <c r="J144" s="871">
        <v>18</v>
      </c>
      <c r="K144" s="876">
        <f>ROUND(100+(J144-J140)*K139*100,1)</f>
        <v>103.2</v>
      </c>
    </row>
    <row r="145" spans="2:11" ht="15.75" thickBot="1">
      <c r="B145" s="1941" t="s">
        <v>1757</v>
      </c>
      <c r="C145" s="879">
        <f>ROUND(MAX(C139:C144)/MIN(C139:C144)-1,3)</f>
        <v>7.2999999999999995E-2</v>
      </c>
      <c r="D145" s="880"/>
      <c r="E145" s="880"/>
      <c r="F145" s="1942" t="s">
        <v>1758</v>
      </c>
      <c r="G145" s="1943"/>
      <c r="H145" s="1944"/>
      <c r="I145" s="1945" t="s">
        <v>1755</v>
      </c>
      <c r="J145" s="881">
        <v>8</v>
      </c>
      <c r="K145" s="882">
        <f>ROUND(100+(J145-J140)*K139*100,1)</f>
        <v>99.2</v>
      </c>
    </row>
    <row r="147" spans="2:11">
      <c r="B147" s="1926" t="s">
        <v>1759</v>
      </c>
    </row>
    <row r="148" spans="2:11">
      <c r="B148" s="1926"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875" t="s">
        <v>1761</v>
      </c>
      <c r="C1" s="1235" t="s">
        <v>1657</v>
      </c>
      <c r="D1" s="1222"/>
      <c r="E1" s="3421"/>
      <c r="F1" s="1876"/>
      <c r="G1" s="1232" t="s">
        <v>1762</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1457</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1459</v>
      </c>
      <c r="B3" s="558">
        <f>IF(C2="——",C49,ROUND(B2*10000/D3,0))</f>
        <v>0</v>
      </c>
      <c r="C3" s="354" t="s">
        <v>1763</v>
      </c>
      <c r="D3" s="353">
        <f>IF(D1="",'数据-汇总表'!E3,SUMIF('数据-汇总表'!$C19:$C33,D1,'数据-汇总表'!$E19:$E33))</f>
        <v>5979.5300000000007</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1764</v>
      </c>
      <c r="B4" s="356"/>
      <c r="C4" s="3901" t="s">
        <v>1765</v>
      </c>
      <c r="D4" s="3902"/>
      <c r="E4" s="3903" t="s">
        <v>1766</v>
      </c>
      <c r="F4" s="3904"/>
      <c r="G4" s="3901" t="s">
        <v>1767</v>
      </c>
      <c r="H4" s="3902"/>
      <c r="I4" s="3901" t="s">
        <v>1768</v>
      </c>
      <c r="J4" s="3902"/>
      <c r="K4" s="559" t="s">
        <v>1769</v>
      </c>
      <c r="L4" s="2710"/>
      <c r="M4" s="2711"/>
      <c r="N4" s="2711"/>
      <c r="O4" s="2711"/>
      <c r="P4" s="3905" t="s">
        <v>1770</v>
      </c>
      <c r="Q4" s="3906"/>
      <c r="R4" s="3911" t="s">
        <v>1766</v>
      </c>
      <c r="S4" s="3912"/>
      <c r="T4" s="3911" t="s">
        <v>1767</v>
      </c>
      <c r="U4" s="3912"/>
      <c r="V4" s="3917" t="s">
        <v>1768</v>
      </c>
      <c r="W4" s="3917"/>
      <c r="X4" s="1352"/>
      <c r="Y4" s="3911" t="s">
        <v>1770</v>
      </c>
      <c r="Z4" s="3912"/>
      <c r="AA4" s="3898" t="s">
        <v>1766</v>
      </c>
      <c r="AB4" s="3917" t="s">
        <v>1767</v>
      </c>
      <c r="AC4" s="3898" t="s">
        <v>1768</v>
      </c>
    </row>
    <row r="5" spans="1:29" ht="15">
      <c r="A5" s="358"/>
      <c r="B5" s="359"/>
      <c r="C5" s="3920" t="s">
        <v>1668</v>
      </c>
      <c r="D5" s="3921"/>
      <c r="E5" s="3927" t="s">
        <v>1669</v>
      </c>
      <c r="F5" s="3928"/>
      <c r="G5" s="3920" t="s">
        <v>1670</v>
      </c>
      <c r="H5" s="3921"/>
      <c r="I5" s="3920" t="s">
        <v>1671</v>
      </c>
      <c r="J5" s="3921"/>
      <c r="K5" s="559"/>
      <c r="L5" s="2710"/>
      <c r="M5" s="2711"/>
      <c r="N5" s="2711"/>
      <c r="O5" s="2711"/>
      <c r="P5" s="3907"/>
      <c r="Q5" s="3908"/>
      <c r="R5" s="3913"/>
      <c r="S5" s="3914"/>
      <c r="T5" s="3913"/>
      <c r="U5" s="3914"/>
      <c r="V5" s="3917"/>
      <c r="W5" s="3917"/>
      <c r="X5" s="1352"/>
      <c r="Y5" s="3913"/>
      <c r="Z5" s="3914"/>
      <c r="AA5" s="3899"/>
      <c r="AB5" s="3917"/>
      <c r="AC5" s="3899"/>
    </row>
    <row r="6" spans="1:29" ht="15.75" thickBot="1">
      <c r="A6" s="360"/>
      <c r="B6" s="361"/>
      <c r="C6" s="3918" t="s">
        <v>1672</v>
      </c>
      <c r="D6" s="3919"/>
      <c r="E6" s="3925" t="s">
        <v>1672</v>
      </c>
      <c r="F6" s="3926"/>
      <c r="G6" s="3918" t="s">
        <v>1672</v>
      </c>
      <c r="H6" s="3919"/>
      <c r="I6" s="3918" t="s">
        <v>1672</v>
      </c>
      <c r="J6" s="3919"/>
      <c r="K6" s="559" t="s">
        <v>1673</v>
      </c>
      <c r="L6" s="2710"/>
      <c r="M6" s="2711"/>
      <c r="N6" s="2711"/>
      <c r="O6" s="2711"/>
      <c r="P6" s="3909"/>
      <c r="Q6" s="3910"/>
      <c r="R6" s="3913"/>
      <c r="S6" s="3914"/>
      <c r="T6" s="3915"/>
      <c r="U6" s="3916"/>
      <c r="V6" s="3917"/>
      <c r="W6" s="3917"/>
      <c r="X6" s="1352"/>
      <c r="Y6" s="3915"/>
      <c r="Z6" s="3916"/>
      <c r="AA6" s="3900"/>
      <c r="AB6" s="3917"/>
      <c r="AC6" s="3900"/>
    </row>
    <row r="7" spans="1:29" s="108" customFormat="1" ht="15.75" thickBot="1">
      <c r="A7" s="362" t="s">
        <v>1674</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2"/>
      <c r="M7" s="2713"/>
      <c r="N7" s="2713"/>
      <c r="O7" s="2713"/>
      <c r="P7" s="3922" t="s">
        <v>1675</v>
      </c>
      <c r="Q7" s="3924"/>
      <c r="R7" s="701" t="s">
        <v>14</v>
      </c>
      <c r="S7" s="702">
        <f t="shared" ref="S7:S15" si="0">F7</f>
        <v>0</v>
      </c>
      <c r="T7" s="701" t="s">
        <v>14</v>
      </c>
      <c r="U7" s="702">
        <f t="shared" ref="U7:U15" si="1">H7</f>
        <v>0</v>
      </c>
      <c r="V7" s="701" t="s">
        <v>14</v>
      </c>
      <c r="W7" s="702">
        <f t="shared" ref="W7:W15" si="2">J7</f>
        <v>0</v>
      </c>
      <c r="X7" s="703"/>
      <c r="Y7" s="3922" t="s">
        <v>1675</v>
      </c>
      <c r="Z7" s="3923"/>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922" t="s">
        <v>1678</v>
      </c>
      <c r="Q8" s="3923"/>
      <c r="R8" s="701" t="s">
        <v>14</v>
      </c>
      <c r="S8" s="702">
        <f t="shared" si="0"/>
        <v>100</v>
      </c>
      <c r="T8" s="701" t="s">
        <v>14</v>
      </c>
      <c r="U8" s="702">
        <f t="shared" si="1"/>
        <v>100</v>
      </c>
      <c r="V8" s="701" t="s">
        <v>14</v>
      </c>
      <c r="W8" s="702">
        <f t="shared" si="2"/>
        <v>100</v>
      </c>
      <c r="X8" s="703"/>
      <c r="Y8" s="3922" t="s">
        <v>1678</v>
      </c>
      <c r="Z8" s="3923"/>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897"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897"/>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897"/>
      <c r="Q11" s="1340" t="str">
        <f t="shared" si="6"/>
        <v>容积率</v>
      </c>
      <c r="R11" s="701" t="s">
        <v>14</v>
      </c>
      <c r="S11" s="702" t="e">
        <f t="shared" si="0"/>
        <v>#N/A</v>
      </c>
      <c r="T11" s="701" t="s">
        <v>14</v>
      </c>
      <c r="U11" s="702" t="e">
        <f t="shared" si="1"/>
        <v>#N/A</v>
      </c>
      <c r="V11" s="701" t="s">
        <v>14</v>
      </c>
      <c r="W11" s="702" t="e">
        <f t="shared" si="2"/>
        <v>#N/A</v>
      </c>
      <c r="X11" s="703"/>
      <c r="Y11" s="3742"/>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897"/>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897"/>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897"/>
      <c r="Q14" s="1340">
        <f t="shared" si="6"/>
        <v>111</v>
      </c>
      <c r="R14" s="701" t="s">
        <v>14</v>
      </c>
      <c r="S14" s="702">
        <f t="shared" si="0"/>
        <v>100</v>
      </c>
      <c r="T14" s="701" t="s">
        <v>14</v>
      </c>
      <c r="U14" s="702">
        <f t="shared" si="1"/>
        <v>100</v>
      </c>
      <c r="V14" s="701" t="s">
        <v>14</v>
      </c>
      <c r="W14" s="702">
        <f t="shared" si="2"/>
        <v>100</v>
      </c>
      <c r="X14" s="703"/>
      <c r="Y14" s="3742"/>
      <c r="Z14" s="52">
        <f t="shared" si="7"/>
        <v>111</v>
      </c>
      <c r="AA14" s="704">
        <f t="shared" si="3"/>
        <v>1</v>
      </c>
      <c r="AB14" s="704">
        <f t="shared" si="4"/>
        <v>1</v>
      </c>
      <c r="AC14" s="704">
        <f t="shared" si="5"/>
        <v>1</v>
      </c>
    </row>
    <row r="15" spans="1:29" ht="71.25">
      <c r="A15" s="391" t="s">
        <v>1685</v>
      </c>
      <c r="B15" s="61" t="s">
        <v>1772</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95" t="s">
        <v>1686</v>
      </c>
      <c r="Q15" s="1349" t="str">
        <f t="shared" si="6"/>
        <v>商业繁华度</v>
      </c>
      <c r="R15" s="705" t="s">
        <v>14</v>
      </c>
      <c r="S15" s="706">
        <f t="shared" si="0"/>
        <v>100</v>
      </c>
      <c r="T15" s="705" t="s">
        <v>14</v>
      </c>
      <c r="U15" s="706">
        <f t="shared" si="1"/>
        <v>100</v>
      </c>
      <c r="V15" s="705" t="s">
        <v>14</v>
      </c>
      <c r="W15" s="706">
        <f t="shared" si="2"/>
        <v>100</v>
      </c>
      <c r="X15" s="1352"/>
      <c r="Y15" s="3888" t="s">
        <v>1686</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896"/>
      <c r="Q16" s="1349"/>
      <c r="R16" s="705"/>
      <c r="S16" s="706"/>
      <c r="T16" s="705"/>
      <c r="U16" s="706"/>
      <c r="V16" s="705"/>
      <c r="W16" s="706"/>
      <c r="X16" s="1352"/>
      <c r="Y16" s="3889"/>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96"/>
      <c r="Q17" s="1349" t="str">
        <f>B17</f>
        <v>交通便捷度</v>
      </c>
      <c r="R17" s="705" t="s">
        <v>14</v>
      </c>
      <c r="S17" s="706">
        <f>F17</f>
        <v>100</v>
      </c>
      <c r="T17" s="705" t="s">
        <v>14</v>
      </c>
      <c r="U17" s="706">
        <f>H17</f>
        <v>100</v>
      </c>
      <c r="V17" s="705" t="s">
        <v>14</v>
      </c>
      <c r="W17" s="706">
        <f>J17</f>
        <v>100</v>
      </c>
      <c r="X17" s="1352"/>
      <c r="Y17" s="388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7"/>
      <c r="M18" s="2711"/>
      <c r="N18" s="2711"/>
      <c r="O18" s="2711"/>
      <c r="P18" s="3896"/>
      <c r="Q18" s="1349"/>
      <c r="R18" s="705"/>
      <c r="S18" s="706"/>
      <c r="T18" s="705"/>
      <c r="U18" s="706"/>
      <c r="V18" s="705"/>
      <c r="W18" s="706"/>
      <c r="X18" s="1352"/>
      <c r="Y18" s="3889"/>
      <c r="Z18" s="1353"/>
      <c r="AA18" s="1350">
        <v>1</v>
      </c>
      <c r="AB18" s="1350">
        <v>1</v>
      </c>
      <c r="AC18" s="1350">
        <v>1</v>
      </c>
    </row>
    <row r="19" spans="1:29" ht="42.75">
      <c r="A19" s="379"/>
      <c r="B19" s="402" t="s">
        <v>1773</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96"/>
      <c r="Q19" s="1349" t="str">
        <f>B19</f>
        <v>公共配套设施</v>
      </c>
      <c r="R19" s="705" t="s">
        <v>14</v>
      </c>
      <c r="S19" s="706">
        <f>F19</f>
        <v>100</v>
      </c>
      <c r="T19" s="705" t="s">
        <v>14</v>
      </c>
      <c r="U19" s="706">
        <f>H19</f>
        <v>100</v>
      </c>
      <c r="V19" s="705" t="s">
        <v>14</v>
      </c>
      <c r="W19" s="706">
        <f>J19</f>
        <v>100</v>
      </c>
      <c r="X19" s="1352"/>
      <c r="Y19" s="388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7"/>
      <c r="M20" s="2711"/>
      <c r="N20" s="2711"/>
      <c r="O20" s="2711"/>
      <c r="P20" s="3896"/>
      <c r="Q20" s="1349"/>
      <c r="R20" s="705"/>
      <c r="S20" s="706"/>
      <c r="T20" s="705"/>
      <c r="U20" s="706"/>
      <c r="V20" s="705"/>
      <c r="W20" s="706"/>
      <c r="X20" s="1352"/>
      <c r="Y20" s="3889"/>
      <c r="Z20" s="1353"/>
      <c r="AA20" s="1350">
        <v>1</v>
      </c>
      <c r="AB20" s="1350">
        <v>1</v>
      </c>
      <c r="AC20" s="1350">
        <v>1</v>
      </c>
    </row>
    <row r="21" spans="1:29" ht="28.5">
      <c r="A21" s="379"/>
      <c r="B21" s="1128" t="s">
        <v>1774</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96"/>
      <c r="Q21" s="1349" t="str">
        <f>B21</f>
        <v>基础设施水平</v>
      </c>
      <c r="R21" s="705" t="s">
        <v>14</v>
      </c>
      <c r="S21" s="706">
        <f>F21</f>
        <v>100</v>
      </c>
      <c r="T21" s="705" t="s">
        <v>14</v>
      </c>
      <c r="U21" s="706">
        <f>H21</f>
        <v>100</v>
      </c>
      <c r="V21" s="705" t="s">
        <v>14</v>
      </c>
      <c r="W21" s="706">
        <f>J21</f>
        <v>100</v>
      </c>
      <c r="X21" s="1352"/>
      <c r="Y21" s="388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7"/>
      <c r="M22" s="2711"/>
      <c r="N22" s="2711"/>
      <c r="O22" s="2711"/>
      <c r="P22" s="3896"/>
      <c r="Q22" s="1349"/>
      <c r="R22" s="705"/>
      <c r="S22" s="706"/>
      <c r="T22" s="705"/>
      <c r="U22" s="706"/>
      <c r="V22" s="705"/>
      <c r="W22" s="706"/>
      <c r="X22" s="1352"/>
      <c r="Y22" s="3889"/>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96"/>
      <c r="Q23" s="1349" t="str">
        <f>B23</f>
        <v>自然及人文环境</v>
      </c>
      <c r="R23" s="705" t="s">
        <v>14</v>
      </c>
      <c r="S23" s="706">
        <f>F23</f>
        <v>100</v>
      </c>
      <c r="T23" s="705" t="s">
        <v>14</v>
      </c>
      <c r="U23" s="706">
        <f>H23</f>
        <v>100</v>
      </c>
      <c r="V23" s="705" t="s">
        <v>14</v>
      </c>
      <c r="W23" s="706">
        <f>J23</f>
        <v>100</v>
      </c>
      <c r="X23" s="1352"/>
      <c r="Y23" s="388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7"/>
      <c r="M24" s="2711"/>
      <c r="N24" s="2711"/>
      <c r="O24" s="2711"/>
      <c r="P24" s="3896"/>
      <c r="Q24" s="1349"/>
      <c r="R24" s="705"/>
      <c r="S24" s="706"/>
      <c r="T24" s="705"/>
      <c r="U24" s="706"/>
      <c r="V24" s="705"/>
      <c r="W24" s="706"/>
      <c r="X24" s="1352"/>
      <c r="Y24" s="3889"/>
      <c r="Z24" s="1353"/>
      <c r="AA24" s="1350">
        <v>1</v>
      </c>
      <c r="AB24" s="1350">
        <v>1</v>
      </c>
      <c r="AC24" s="1350">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96"/>
      <c r="Q25" s="1349" t="str">
        <f t="shared" ref="Q25:Q46" si="11">B25</f>
        <v>临街状况</v>
      </c>
      <c r="R25" s="705" t="s">
        <v>14</v>
      </c>
      <c r="S25" s="706">
        <f>F25</f>
        <v>100</v>
      </c>
      <c r="T25" s="705" t="s">
        <v>14</v>
      </c>
      <c r="U25" s="706">
        <f>H25</f>
        <v>100</v>
      </c>
      <c r="V25" s="705" t="s">
        <v>14</v>
      </c>
      <c r="W25" s="706">
        <f>J25</f>
        <v>100</v>
      </c>
      <c r="X25" s="1352"/>
      <c r="Y25" s="3889"/>
      <c r="Z25" s="1353" t="str">
        <f>Q25</f>
        <v>临街状况</v>
      </c>
      <c r="AA25" s="1350">
        <f t="shared" si="3"/>
        <v>1</v>
      </c>
      <c r="AB25" s="1350">
        <f t="shared" si="4"/>
        <v>1</v>
      </c>
      <c r="AC25" s="1350">
        <f t="shared" si="5"/>
        <v>1</v>
      </c>
    </row>
    <row r="26" spans="1:29" ht="15">
      <c r="A26" s="379"/>
      <c r="B26" s="1130" t="s">
        <v>1776</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96"/>
      <c r="Q26" s="1349" t="str">
        <f t="shared" si="11"/>
        <v>平面位置/可视性</v>
      </c>
      <c r="R26" s="705" t="s">
        <v>14</v>
      </c>
      <c r="S26" s="706">
        <f>F26</f>
        <v>100</v>
      </c>
      <c r="T26" s="705" t="s">
        <v>14</v>
      </c>
      <c r="U26" s="706">
        <f>H26</f>
        <v>100</v>
      </c>
      <c r="V26" s="705" t="s">
        <v>14</v>
      </c>
      <c r="W26" s="706">
        <f>J26</f>
        <v>100</v>
      </c>
      <c r="X26" s="1352"/>
      <c r="Y26" s="3889"/>
      <c r="Z26" s="1353" t="str">
        <f>Q26</f>
        <v>平面位置/可视性</v>
      </c>
      <c r="AA26" s="1350">
        <f t="shared" si="3"/>
        <v>1</v>
      </c>
      <c r="AB26" s="1350">
        <f t="shared" si="4"/>
        <v>1</v>
      </c>
      <c r="AC26" s="1350">
        <f t="shared" si="5"/>
        <v>1</v>
      </c>
    </row>
    <row r="27" spans="1:29" s="108" customFormat="1" ht="15">
      <c r="A27" s="382"/>
      <c r="B27" s="402" t="s">
        <v>1777</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896"/>
      <c r="Q27" s="1340" t="str">
        <f t="shared" si="11"/>
        <v>人流量</v>
      </c>
      <c r="R27" s="701" t="s">
        <v>14</v>
      </c>
      <c r="S27" s="702">
        <f>F27</f>
        <v>100</v>
      </c>
      <c r="T27" s="701" t="s">
        <v>14</v>
      </c>
      <c r="U27" s="702">
        <f>H27</f>
        <v>100</v>
      </c>
      <c r="V27" s="701" t="s">
        <v>14</v>
      </c>
      <c r="W27" s="702">
        <f>J27</f>
        <v>100</v>
      </c>
      <c r="X27" s="703"/>
      <c r="Y27" s="3889"/>
      <c r="Z27" s="52" t="str">
        <f>Q27</f>
        <v>人流量</v>
      </c>
      <c r="AA27" s="1350">
        <f>D27/F27</f>
        <v>1</v>
      </c>
      <c r="AB27" s="1350">
        <f>D27/H27</f>
        <v>1</v>
      </c>
      <c r="AC27" s="1350">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96"/>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889"/>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96"/>
      <c r="Q29" s="1349">
        <f t="shared" si="11"/>
        <v>111</v>
      </c>
      <c r="R29" s="705" t="s">
        <v>14</v>
      </c>
      <c r="S29" s="706">
        <f t="shared" si="12"/>
        <v>100</v>
      </c>
      <c r="T29" s="705" t="s">
        <v>14</v>
      </c>
      <c r="U29" s="706">
        <f t="shared" si="13"/>
        <v>100</v>
      </c>
      <c r="V29" s="705" t="s">
        <v>14</v>
      </c>
      <c r="W29" s="706">
        <f t="shared" si="14"/>
        <v>100</v>
      </c>
      <c r="X29" s="1352"/>
      <c r="Y29" s="3889"/>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96"/>
      <c r="Q30" s="1349">
        <f t="shared" si="11"/>
        <v>111</v>
      </c>
      <c r="R30" s="705" t="s">
        <v>14</v>
      </c>
      <c r="S30" s="706">
        <f t="shared" si="12"/>
        <v>100</v>
      </c>
      <c r="T30" s="705" t="s">
        <v>14</v>
      </c>
      <c r="U30" s="706">
        <f t="shared" si="13"/>
        <v>100</v>
      </c>
      <c r="V30" s="705" t="s">
        <v>14</v>
      </c>
      <c r="W30" s="706">
        <f t="shared" si="14"/>
        <v>100</v>
      </c>
      <c r="X30" s="1352"/>
      <c r="Y30" s="3889"/>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96"/>
      <c r="Q31" s="1349">
        <f t="shared" si="11"/>
        <v>111</v>
      </c>
      <c r="R31" s="705" t="s">
        <v>14</v>
      </c>
      <c r="S31" s="706">
        <f t="shared" si="12"/>
        <v>100</v>
      </c>
      <c r="T31" s="705" t="s">
        <v>14</v>
      </c>
      <c r="U31" s="706">
        <f t="shared" si="13"/>
        <v>100</v>
      </c>
      <c r="V31" s="705" t="s">
        <v>14</v>
      </c>
      <c r="W31" s="706">
        <f t="shared" si="14"/>
        <v>100</v>
      </c>
      <c r="X31" s="1352"/>
      <c r="Y31" s="3889"/>
      <c r="Z31" s="1353">
        <f t="shared" si="15"/>
        <v>111</v>
      </c>
      <c r="AA31" s="1350">
        <f t="shared" si="3"/>
        <v>1</v>
      </c>
      <c r="AB31" s="1350">
        <f t="shared" si="4"/>
        <v>1</v>
      </c>
      <c r="AC31" s="1350">
        <f t="shared" si="5"/>
        <v>1</v>
      </c>
    </row>
    <row r="32" spans="1:29" ht="15">
      <c r="A32" s="391" t="s">
        <v>1689</v>
      </c>
      <c r="B32" s="63" t="s">
        <v>1779</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890" t="s">
        <v>1691</v>
      </c>
      <c r="Q32" s="1349" t="str">
        <f t="shared" si="11"/>
        <v>商业类型</v>
      </c>
      <c r="R32" s="705" t="s">
        <v>14</v>
      </c>
      <c r="S32" s="706">
        <f t="shared" si="12"/>
        <v>100</v>
      </c>
      <c r="T32" s="705" t="s">
        <v>14</v>
      </c>
      <c r="U32" s="706">
        <f t="shared" si="13"/>
        <v>100</v>
      </c>
      <c r="V32" s="705" t="s">
        <v>14</v>
      </c>
      <c r="W32" s="706">
        <f t="shared" si="14"/>
        <v>100</v>
      </c>
      <c r="X32" s="1352"/>
      <c r="Y32" s="3893" t="s">
        <v>1691</v>
      </c>
      <c r="Z32" s="1353" t="str">
        <f t="shared" si="15"/>
        <v>商业类型</v>
      </c>
      <c r="AA32" s="1350">
        <f t="shared" si="3"/>
        <v>1</v>
      </c>
      <c r="AB32" s="1350">
        <f t="shared" si="4"/>
        <v>1</v>
      </c>
      <c r="AC32" s="1350">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91"/>
      <c r="Q33" s="707" t="str">
        <f t="shared" si="11"/>
        <v>项目建筑规模</v>
      </c>
      <c r="R33" s="708" t="s">
        <v>14</v>
      </c>
      <c r="S33" s="709" t="e">
        <f t="shared" si="12"/>
        <v>#N/A</v>
      </c>
      <c r="T33" s="708" t="s">
        <v>14</v>
      </c>
      <c r="U33" s="709" t="e">
        <f t="shared" si="13"/>
        <v>#N/A</v>
      </c>
      <c r="V33" s="708" t="s">
        <v>14</v>
      </c>
      <c r="W33" s="709" t="e">
        <f t="shared" si="14"/>
        <v>#N/A</v>
      </c>
      <c r="X33" s="710"/>
      <c r="Y33" s="3893"/>
      <c r="Z33" s="711" t="str">
        <f t="shared" si="15"/>
        <v>项目建筑规模</v>
      </c>
      <c r="AA33" s="1350" t="e">
        <f t="shared" si="3"/>
        <v>#N/A</v>
      </c>
      <c r="AB33" s="1350" t="e">
        <f t="shared" si="4"/>
        <v>#N/A</v>
      </c>
      <c r="AC33" s="1350" t="e">
        <f t="shared" si="5"/>
        <v>#N/A</v>
      </c>
    </row>
    <row r="34" spans="1:29" ht="15">
      <c r="A34" s="423"/>
      <c r="B34" s="375" t="s">
        <v>1693</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891"/>
      <c r="Q34" s="1349" t="str">
        <f t="shared" si="11"/>
        <v>建筑结构</v>
      </c>
      <c r="R34" s="705" t="s">
        <v>14</v>
      </c>
      <c r="S34" s="706">
        <f t="shared" si="12"/>
        <v>100</v>
      </c>
      <c r="T34" s="705" t="s">
        <v>14</v>
      </c>
      <c r="U34" s="706">
        <f t="shared" si="13"/>
        <v>100</v>
      </c>
      <c r="V34" s="705" t="s">
        <v>14</v>
      </c>
      <c r="W34" s="706">
        <f t="shared" si="14"/>
        <v>100</v>
      </c>
      <c r="X34" s="1352"/>
      <c r="Y34" s="3893"/>
      <c r="Z34" s="1353" t="str">
        <f t="shared" si="15"/>
        <v>建筑结构</v>
      </c>
      <c r="AA34" s="1350">
        <f t="shared" si="3"/>
        <v>1</v>
      </c>
      <c r="AB34" s="1350">
        <f t="shared" si="4"/>
        <v>1</v>
      </c>
      <c r="AC34" s="1350">
        <f t="shared" si="5"/>
        <v>1</v>
      </c>
    </row>
    <row r="35" spans="1:29" ht="15">
      <c r="A35" s="423"/>
      <c r="B35" s="375" t="s">
        <v>1780</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891"/>
      <c r="Q35" s="1349" t="str">
        <f t="shared" si="11"/>
        <v>公共部分装修</v>
      </c>
      <c r="R35" s="705" t="s">
        <v>14</v>
      </c>
      <c r="S35" s="706">
        <f t="shared" si="12"/>
        <v>100</v>
      </c>
      <c r="T35" s="705" t="s">
        <v>14</v>
      </c>
      <c r="U35" s="706">
        <f t="shared" si="13"/>
        <v>100</v>
      </c>
      <c r="V35" s="705" t="s">
        <v>14</v>
      </c>
      <c r="W35" s="706">
        <f t="shared" si="14"/>
        <v>100</v>
      </c>
      <c r="X35" s="1352"/>
      <c r="Y35" s="3893"/>
      <c r="Z35" s="1353" t="str">
        <f t="shared" si="15"/>
        <v>公共部分装修</v>
      </c>
      <c r="AA35" s="1350">
        <f t="shared" si="3"/>
        <v>1</v>
      </c>
      <c r="AB35" s="1350">
        <f t="shared" si="4"/>
        <v>1</v>
      </c>
      <c r="AC35" s="1350">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91"/>
      <c r="Q36" s="1349" t="str">
        <f t="shared" si="11"/>
        <v>成新度</v>
      </c>
      <c r="R36" s="705" t="s">
        <v>14</v>
      </c>
      <c r="S36" s="706" t="e">
        <f t="shared" si="12"/>
        <v>#N/A</v>
      </c>
      <c r="T36" s="705" t="s">
        <v>14</v>
      </c>
      <c r="U36" s="706" t="e">
        <f t="shared" si="13"/>
        <v>#N/A</v>
      </c>
      <c r="V36" s="705" t="s">
        <v>14</v>
      </c>
      <c r="W36" s="706" t="e">
        <f t="shared" si="14"/>
        <v>#N/A</v>
      </c>
      <c r="X36" s="1352"/>
      <c r="Y36" s="3893"/>
      <c r="Z36" s="1353" t="str">
        <f t="shared" si="15"/>
        <v>成新度</v>
      </c>
      <c r="AA36" s="1350" t="e">
        <f t="shared" si="3"/>
        <v>#N/A</v>
      </c>
      <c r="AB36" s="1350" t="e">
        <f t="shared" si="4"/>
        <v>#N/A</v>
      </c>
      <c r="AC36" s="1350" t="e">
        <f t="shared" si="5"/>
        <v>#N/A</v>
      </c>
    </row>
    <row r="37" spans="1:29" s="108" customFormat="1" ht="15">
      <c r="A37" s="424"/>
      <c r="B37" s="375" t="s">
        <v>1782</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891"/>
      <c r="Q37" s="1340" t="str">
        <f t="shared" si="11"/>
        <v>市政基础设施</v>
      </c>
      <c r="R37" s="701" t="s">
        <v>14</v>
      </c>
      <c r="S37" s="702">
        <f t="shared" si="12"/>
        <v>100</v>
      </c>
      <c r="T37" s="701" t="s">
        <v>14</v>
      </c>
      <c r="U37" s="702">
        <f t="shared" si="13"/>
        <v>100</v>
      </c>
      <c r="V37" s="701" t="s">
        <v>14</v>
      </c>
      <c r="W37" s="702">
        <f t="shared" si="14"/>
        <v>100</v>
      </c>
      <c r="X37" s="703"/>
      <c r="Y37" s="3893"/>
      <c r="Z37" s="52" t="str">
        <f t="shared" si="15"/>
        <v>市政基础设施</v>
      </c>
      <c r="AA37" s="704">
        <f t="shared" si="3"/>
        <v>1</v>
      </c>
      <c r="AB37" s="704">
        <f t="shared" si="4"/>
        <v>1</v>
      </c>
      <c r="AC37" s="704">
        <f t="shared" si="5"/>
        <v>1</v>
      </c>
    </row>
    <row r="38" spans="1:29" ht="15">
      <c r="A38" s="423"/>
      <c r="B38" s="375" t="s">
        <v>1783</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891" t="s">
        <v>1691</v>
      </c>
      <c r="Q38" s="1349" t="str">
        <f t="shared" si="11"/>
        <v>业态</v>
      </c>
      <c r="R38" s="705" t="s">
        <v>14</v>
      </c>
      <c r="S38" s="706">
        <f t="shared" si="12"/>
        <v>100</v>
      </c>
      <c r="T38" s="705" t="s">
        <v>14</v>
      </c>
      <c r="U38" s="706">
        <f t="shared" si="13"/>
        <v>100</v>
      </c>
      <c r="V38" s="705" t="s">
        <v>14</v>
      </c>
      <c r="W38" s="706">
        <f t="shared" si="14"/>
        <v>100</v>
      </c>
      <c r="X38" s="1352"/>
      <c r="Y38" s="3893" t="s">
        <v>1691</v>
      </c>
      <c r="Z38" s="1353" t="str">
        <f t="shared" si="15"/>
        <v>业态</v>
      </c>
      <c r="AA38" s="1350">
        <f t="shared" si="3"/>
        <v>1</v>
      </c>
      <c r="AB38" s="1350">
        <f t="shared" si="4"/>
        <v>1</v>
      </c>
      <c r="AC38" s="1350">
        <f t="shared" si="5"/>
        <v>1</v>
      </c>
    </row>
    <row r="39" spans="1:29" ht="15">
      <c r="A39" s="423"/>
      <c r="B39" s="375" t="s">
        <v>1784</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891"/>
      <c r="Q39" s="1349" t="str">
        <f t="shared" si="11"/>
        <v>层高</v>
      </c>
      <c r="R39" s="705" t="s">
        <v>14</v>
      </c>
      <c r="S39" s="706">
        <f t="shared" si="12"/>
        <v>100</v>
      </c>
      <c r="T39" s="705" t="s">
        <v>14</v>
      </c>
      <c r="U39" s="706">
        <f t="shared" si="13"/>
        <v>100</v>
      </c>
      <c r="V39" s="705" t="s">
        <v>14</v>
      </c>
      <c r="W39" s="706">
        <f t="shared" si="14"/>
        <v>100</v>
      </c>
      <c r="X39" s="1352"/>
      <c r="Y39" s="3893"/>
      <c r="Z39" s="1353" t="str">
        <f t="shared" si="15"/>
        <v>层高</v>
      </c>
      <c r="AA39" s="1350">
        <f t="shared" si="3"/>
        <v>1</v>
      </c>
      <c r="AB39" s="1350">
        <f t="shared" si="4"/>
        <v>1</v>
      </c>
      <c r="AC39" s="1350">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91"/>
      <c r="Q40" s="1349" t="str">
        <f t="shared" si="11"/>
        <v>单套建筑面积</v>
      </c>
      <c r="R40" s="705" t="s">
        <v>14</v>
      </c>
      <c r="S40" s="706">
        <f t="shared" si="12"/>
        <v>100</v>
      </c>
      <c r="T40" s="705" t="s">
        <v>14</v>
      </c>
      <c r="U40" s="706">
        <f t="shared" si="13"/>
        <v>100</v>
      </c>
      <c r="V40" s="705" t="s">
        <v>14</v>
      </c>
      <c r="W40" s="706">
        <f t="shared" si="14"/>
        <v>100</v>
      </c>
      <c r="X40" s="1352"/>
      <c r="Y40" s="3893"/>
      <c r="Z40" s="1353" t="str">
        <f t="shared" si="15"/>
        <v>单套建筑面积</v>
      </c>
      <c r="AA40" s="1350">
        <f t="shared" si="3"/>
        <v>1</v>
      </c>
      <c r="AB40" s="1350">
        <f t="shared" si="4"/>
        <v>1</v>
      </c>
      <c r="AC40" s="1350">
        <f t="shared" si="5"/>
        <v>1</v>
      </c>
    </row>
    <row r="41" spans="1:29" s="422" customFormat="1" ht="15">
      <c r="A41" s="419"/>
      <c r="B41" s="135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91"/>
      <c r="Q41" s="707" t="str">
        <f t="shared" si="11"/>
        <v>进深比</v>
      </c>
      <c r="R41" s="708" t="s">
        <v>14</v>
      </c>
      <c r="S41" s="709">
        <f t="shared" si="12"/>
        <v>100</v>
      </c>
      <c r="T41" s="708" t="s">
        <v>14</v>
      </c>
      <c r="U41" s="709">
        <f t="shared" si="13"/>
        <v>100</v>
      </c>
      <c r="V41" s="708" t="s">
        <v>14</v>
      </c>
      <c r="W41" s="709">
        <f t="shared" si="14"/>
        <v>100</v>
      </c>
      <c r="X41" s="710"/>
      <c r="Y41" s="3893"/>
      <c r="Z41" s="711" t="str">
        <f t="shared" si="15"/>
        <v>进深比</v>
      </c>
      <c r="AA41" s="1350">
        <f t="shared" si="3"/>
        <v>1</v>
      </c>
      <c r="AB41" s="1350">
        <f t="shared" si="4"/>
        <v>1</v>
      </c>
      <c r="AC41" s="1350">
        <f t="shared" si="5"/>
        <v>1</v>
      </c>
    </row>
    <row r="42" spans="1:29" ht="15">
      <c r="A42" s="423"/>
      <c r="B42" s="375" t="s">
        <v>1787</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891"/>
      <c r="Q42" s="1349" t="str">
        <f t="shared" si="11"/>
        <v>内部装修</v>
      </c>
      <c r="R42" s="705" t="s">
        <v>14</v>
      </c>
      <c r="S42" s="706">
        <f t="shared" si="12"/>
        <v>100</v>
      </c>
      <c r="T42" s="705" t="s">
        <v>14</v>
      </c>
      <c r="U42" s="706">
        <f t="shared" si="13"/>
        <v>100</v>
      </c>
      <c r="V42" s="705" t="s">
        <v>14</v>
      </c>
      <c r="W42" s="706">
        <f t="shared" si="14"/>
        <v>100</v>
      </c>
      <c r="X42" s="1352"/>
      <c r="Y42" s="3893"/>
      <c r="Z42" s="1353" t="str">
        <f t="shared" si="15"/>
        <v>内部装修</v>
      </c>
      <c r="AA42" s="1350">
        <f t="shared" si="3"/>
        <v>1</v>
      </c>
      <c r="AB42" s="1350">
        <f t="shared" si="4"/>
        <v>1</v>
      </c>
      <c r="AC42" s="1350">
        <f t="shared" si="5"/>
        <v>1</v>
      </c>
    </row>
    <row r="43" spans="1:29" ht="15">
      <c r="A43" s="423"/>
      <c r="B43" s="375" t="s">
        <v>1702</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891"/>
      <c r="Q43" s="1349" t="str">
        <f t="shared" si="11"/>
        <v>内部装修维护情况</v>
      </c>
      <c r="R43" s="705" t="s">
        <v>14</v>
      </c>
      <c r="S43" s="706">
        <f t="shared" si="12"/>
        <v>100</v>
      </c>
      <c r="T43" s="705" t="s">
        <v>14</v>
      </c>
      <c r="U43" s="706">
        <f t="shared" si="13"/>
        <v>100</v>
      </c>
      <c r="V43" s="705" t="s">
        <v>14</v>
      </c>
      <c r="W43" s="706">
        <f t="shared" si="14"/>
        <v>100</v>
      </c>
      <c r="X43" s="1352"/>
      <c r="Y43" s="3893"/>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91"/>
      <c r="Q44" s="1340">
        <f t="shared" si="11"/>
        <v>111</v>
      </c>
      <c r="R44" s="701" t="s">
        <v>14</v>
      </c>
      <c r="S44" s="702">
        <f t="shared" si="12"/>
        <v>100</v>
      </c>
      <c r="T44" s="701" t="s">
        <v>14</v>
      </c>
      <c r="U44" s="702">
        <f t="shared" si="13"/>
        <v>100</v>
      </c>
      <c r="V44" s="701" t="s">
        <v>14</v>
      </c>
      <c r="W44" s="702">
        <f t="shared" si="14"/>
        <v>100</v>
      </c>
      <c r="X44" s="703"/>
      <c r="Y44" s="3893"/>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91"/>
      <c r="Q45" s="1349">
        <f t="shared" si="11"/>
        <v>111</v>
      </c>
      <c r="R45" s="705" t="s">
        <v>14</v>
      </c>
      <c r="S45" s="706">
        <f t="shared" si="12"/>
        <v>100</v>
      </c>
      <c r="T45" s="705" t="s">
        <v>14</v>
      </c>
      <c r="U45" s="706">
        <f t="shared" si="13"/>
        <v>100</v>
      </c>
      <c r="V45" s="705" t="s">
        <v>14</v>
      </c>
      <c r="W45" s="706">
        <f t="shared" si="14"/>
        <v>100</v>
      </c>
      <c r="X45" s="1352"/>
      <c r="Y45" s="389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92"/>
      <c r="Q46" s="1349">
        <f t="shared" si="11"/>
        <v>111</v>
      </c>
      <c r="R46" s="705" t="s">
        <v>14</v>
      </c>
      <c r="S46" s="706">
        <f t="shared" si="12"/>
        <v>100</v>
      </c>
      <c r="T46" s="705" t="s">
        <v>14</v>
      </c>
      <c r="U46" s="706">
        <f t="shared" si="13"/>
        <v>100</v>
      </c>
      <c r="V46" s="705" t="s">
        <v>14</v>
      </c>
      <c r="W46" s="706">
        <f t="shared" si="14"/>
        <v>100</v>
      </c>
      <c r="X46" s="1352"/>
      <c r="Y46" s="3894"/>
      <c r="Z46" s="1353">
        <f t="shared" si="15"/>
        <v>111</v>
      </c>
      <c r="AA46" s="1350">
        <f t="shared" si="3"/>
        <v>1</v>
      </c>
      <c r="AB46" s="1350">
        <f t="shared" si="4"/>
        <v>1</v>
      </c>
      <c r="AC46" s="1350">
        <f t="shared" si="5"/>
        <v>1</v>
      </c>
    </row>
    <row r="47" spans="1:29" ht="15">
      <c r="A47" s="430" t="s">
        <v>1703</v>
      </c>
      <c r="B47" s="431"/>
      <c r="C47" s="1151" t="s">
        <v>0</v>
      </c>
      <c r="D47" s="1152"/>
      <c r="E47" s="1153"/>
      <c r="F47" s="1154"/>
      <c r="G47" s="1155"/>
      <c r="H47" s="1156"/>
      <c r="I47" s="1153"/>
      <c r="J47" s="1156"/>
      <c r="K47" s="714"/>
      <c r="L47" s="2719"/>
      <c r="M47" s="2720"/>
      <c r="N47" s="2711"/>
      <c r="O47" s="2720"/>
      <c r="P47" s="3886" t="str">
        <f>A47</f>
        <v>成交单价（元/平方米）</v>
      </c>
      <c r="Q47" s="3886"/>
      <c r="R47" s="3917">
        <f>E47</f>
        <v>0</v>
      </c>
      <c r="S47" s="3917"/>
      <c r="T47" s="3917">
        <f>G47</f>
        <v>0</v>
      </c>
      <c r="U47" s="3917"/>
      <c r="V47" s="3917">
        <f>I47</f>
        <v>0</v>
      </c>
      <c r="W47" s="3917"/>
      <c r="X47" s="690"/>
      <c r="Y47" s="712"/>
      <c r="Z47" s="690"/>
      <c r="AA47" s="690"/>
      <c r="AB47" s="690"/>
      <c r="AC47" s="690"/>
    </row>
    <row r="48" spans="1:29" ht="15.75" thickBot="1">
      <c r="A48" s="437" t="s">
        <v>1788</v>
      </c>
      <c r="B48" s="438"/>
      <c r="C48" s="1157" t="e">
        <f>R49</f>
        <v>#DIV/0!</v>
      </c>
      <c r="D48" s="2314" t="s">
        <v>2133</v>
      </c>
      <c r="E48" s="1158" t="e">
        <f>R48</f>
        <v>#DIV/0!</v>
      </c>
      <c r="F48" s="2315"/>
      <c r="G48" s="1157" t="e">
        <f>T48</f>
        <v>#DIV/0!</v>
      </c>
      <c r="H48" s="2315"/>
      <c r="I48" s="1158" t="e">
        <f>V48</f>
        <v>#DIV/0!</v>
      </c>
      <c r="J48" s="2315"/>
      <c r="K48" s="2317">
        <f>F48+H48+J48</f>
        <v>0</v>
      </c>
      <c r="L48" s="2719"/>
      <c r="M48" s="2720"/>
      <c r="N48" s="2711"/>
      <c r="O48" s="2720"/>
      <c r="P48" s="3886" t="str">
        <f>A48</f>
        <v>比较价值（元/平方米）</v>
      </c>
      <c r="Q48" s="3886"/>
      <c r="R48" s="3887" t="e">
        <f>IF(F1="售价",ROUND(PRODUCT(R47,AA7:AA46),0),ROUND(PRODUCT(R47,AA7:AA46),1))</f>
        <v>#DIV/0!</v>
      </c>
      <c r="S48" s="3887"/>
      <c r="T48" s="3887" t="e">
        <f>IF(F1="售价",ROUND(PRODUCT(T47,AB7:AB46),0),ROUND(PRODUCT(T47,AB7:AB46),1))</f>
        <v>#DIV/0!</v>
      </c>
      <c r="U48" s="3887"/>
      <c r="V48" s="3887" t="e">
        <f>IF(F1="售价",ROUND(PRODUCT(V47,AC7:AC46),0),ROUND(PRODUCT(V47,AC7:AC46),1))</f>
        <v>#DIV/0!</v>
      </c>
      <c r="W48" s="3887"/>
      <c r="X48" s="690"/>
      <c r="Y48" s="690"/>
      <c r="Z48" s="690"/>
      <c r="AA48" s="690"/>
      <c r="AB48" s="690"/>
      <c r="AC48" s="690"/>
    </row>
    <row r="49" spans="1:29" ht="15.75" thickBot="1">
      <c r="A49" s="441" t="s">
        <v>1789</v>
      </c>
      <c r="B49" s="442"/>
      <c r="C49" s="1160" t="e">
        <f>R49</f>
        <v>#DIV/0!</v>
      </c>
      <c r="D49" s="1160"/>
      <c r="E49" s="1160"/>
      <c r="F49" s="1160"/>
      <c r="G49" s="1160"/>
      <c r="H49" s="1160"/>
      <c r="I49" s="1160"/>
      <c r="J49" s="1160"/>
      <c r="K49" s="715"/>
      <c r="L49" s="2719"/>
      <c r="M49" s="2720"/>
      <c r="N49" s="2711"/>
      <c r="O49" s="2720"/>
      <c r="P49" s="3883" t="str">
        <f>A49</f>
        <v>估价对象XX用房的比较价值（楼面单价，元/平方米）</v>
      </c>
      <c r="Q49" s="3884"/>
      <c r="R49" s="3885" t="e">
        <f>IF(F1="售价",ROUND(IF(D48="简单平均",AVERAGE(R48:V48),R48*F48+T48*H48+V48*J48),0),ROUND(IF(D48="简单平均",AVERAGE(R48:V48),R48*F48+T48*H48+V48*J48),1))</f>
        <v>#DIV/0!</v>
      </c>
      <c r="S49" s="3885"/>
      <c r="T49" s="3885"/>
      <c r="U49" s="3885"/>
      <c r="V49" s="3885"/>
      <c r="W49" s="3885"/>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1674</v>
      </c>
      <c r="B58" s="455"/>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1805</v>
      </c>
      <c r="C1" s="1221" t="s">
        <v>1657</v>
      </c>
      <c r="D1" s="1222"/>
      <c r="E1" s="3428"/>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1458</v>
      </c>
      <c r="F2" s="1880"/>
      <c r="G2" s="905"/>
      <c r="H2" s="905"/>
      <c r="I2" s="905"/>
      <c r="J2" s="905"/>
      <c r="K2" s="905"/>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5979.5300000000007</v>
      </c>
      <c r="E3" s="1951"/>
      <c r="F3" s="906"/>
      <c r="G3" s="905"/>
      <c r="H3" s="905"/>
      <c r="I3" s="905"/>
      <c r="J3" s="905"/>
      <c r="K3" s="907"/>
      <c r="L3" s="2729"/>
      <c r="M3" s="2730"/>
      <c r="N3" s="2730"/>
      <c r="O3" s="2730"/>
      <c r="P3" s="699"/>
      <c r="Q3" s="699"/>
      <c r="R3" s="699"/>
      <c r="S3" s="699"/>
      <c r="T3" s="699"/>
      <c r="U3" s="699"/>
      <c r="V3" s="699"/>
      <c r="W3" s="699"/>
      <c r="X3" s="699"/>
      <c r="Y3" s="699"/>
      <c r="Z3" s="699"/>
      <c r="AA3" s="699"/>
      <c r="AB3" s="699"/>
      <c r="AC3" s="700"/>
    </row>
    <row r="4" spans="1:29" ht="15">
      <c r="A4" s="355" t="s">
        <v>1764</v>
      </c>
      <c r="B4" s="356"/>
      <c r="C4" s="3901" t="s">
        <v>1765</v>
      </c>
      <c r="D4" s="3902"/>
      <c r="E4" s="3903" t="s">
        <v>1766</v>
      </c>
      <c r="F4" s="3904"/>
      <c r="G4" s="3901" t="s">
        <v>1767</v>
      </c>
      <c r="H4" s="3902"/>
      <c r="I4" s="3901" t="s">
        <v>1768</v>
      </c>
      <c r="J4" s="3902"/>
      <c r="K4" s="559" t="s">
        <v>1769</v>
      </c>
      <c r="L4" s="2710"/>
      <c r="M4" s="2711"/>
      <c r="N4" s="2711"/>
      <c r="O4" s="2711"/>
      <c r="P4" s="3935" t="s">
        <v>1770</v>
      </c>
      <c r="Q4" s="3936"/>
      <c r="R4" s="3939" t="s">
        <v>1766</v>
      </c>
      <c r="S4" s="3940"/>
      <c r="T4" s="3939" t="s">
        <v>1767</v>
      </c>
      <c r="U4" s="3940"/>
      <c r="V4" s="3941" t="s">
        <v>1768</v>
      </c>
      <c r="W4" s="3941"/>
      <c r="X4" s="1955"/>
      <c r="Y4" s="3939" t="s">
        <v>1770</v>
      </c>
      <c r="Z4" s="3940"/>
      <c r="AA4" s="3943" t="s">
        <v>1766</v>
      </c>
      <c r="AB4" s="3943" t="s">
        <v>1767</v>
      </c>
      <c r="AC4" s="3932" t="s">
        <v>1768</v>
      </c>
    </row>
    <row r="5" spans="1:29" ht="15">
      <c r="A5" s="358"/>
      <c r="B5" s="359"/>
      <c r="C5" s="3920" t="s">
        <v>1668</v>
      </c>
      <c r="D5" s="3921"/>
      <c r="E5" s="3927" t="s">
        <v>1669</v>
      </c>
      <c r="F5" s="3928"/>
      <c r="G5" s="3920" t="s">
        <v>1670</v>
      </c>
      <c r="H5" s="3921"/>
      <c r="I5" s="3920" t="s">
        <v>1671</v>
      </c>
      <c r="J5" s="3921"/>
      <c r="K5" s="559"/>
      <c r="L5" s="2710"/>
      <c r="M5" s="2711"/>
      <c r="N5" s="2711"/>
      <c r="O5" s="2711"/>
      <c r="P5" s="3937"/>
      <c r="Q5" s="3908"/>
      <c r="R5" s="3913"/>
      <c r="S5" s="3914"/>
      <c r="T5" s="3913"/>
      <c r="U5" s="3914"/>
      <c r="V5" s="3917"/>
      <c r="W5" s="3917"/>
      <c r="X5" s="1352"/>
      <c r="Y5" s="3913"/>
      <c r="Z5" s="3914"/>
      <c r="AA5" s="3899"/>
      <c r="AB5" s="3899"/>
      <c r="AC5" s="3933"/>
    </row>
    <row r="6" spans="1:29" ht="15.75" thickBot="1">
      <c r="A6" s="360"/>
      <c r="B6" s="361"/>
      <c r="C6" s="3918" t="s">
        <v>1672</v>
      </c>
      <c r="D6" s="3919"/>
      <c r="E6" s="3925" t="s">
        <v>1672</v>
      </c>
      <c r="F6" s="3926"/>
      <c r="G6" s="3918" t="s">
        <v>1672</v>
      </c>
      <c r="H6" s="3919"/>
      <c r="I6" s="3918" t="s">
        <v>1672</v>
      </c>
      <c r="J6" s="3919"/>
      <c r="K6" s="559" t="s">
        <v>1673</v>
      </c>
      <c r="L6" s="2710"/>
      <c r="M6" s="2711"/>
      <c r="N6" s="2711"/>
      <c r="O6" s="2711"/>
      <c r="P6" s="3938"/>
      <c r="Q6" s="3910"/>
      <c r="R6" s="3913"/>
      <c r="S6" s="3914"/>
      <c r="T6" s="3915"/>
      <c r="U6" s="3916"/>
      <c r="V6" s="3917"/>
      <c r="W6" s="3917"/>
      <c r="X6" s="1352"/>
      <c r="Y6" s="3915"/>
      <c r="Z6" s="3916"/>
      <c r="AA6" s="3900"/>
      <c r="AB6" s="3900"/>
      <c r="AC6" s="3934"/>
    </row>
    <row r="7" spans="1:29" s="108" customFormat="1" ht="15.75" thickBot="1">
      <c r="A7" s="362" t="s">
        <v>1674</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2"/>
      <c r="M7" s="2713"/>
      <c r="N7" s="2713"/>
      <c r="O7" s="2713"/>
      <c r="P7" s="3942" t="s">
        <v>1675</v>
      </c>
      <c r="Q7" s="3924"/>
      <c r="R7" s="701" t="s">
        <v>14</v>
      </c>
      <c r="S7" s="702">
        <f t="shared" ref="S7:S15" si="0">F7</f>
        <v>0</v>
      </c>
      <c r="T7" s="701" t="s">
        <v>14</v>
      </c>
      <c r="U7" s="702">
        <f t="shared" ref="U7:U15" si="1">H7</f>
        <v>0</v>
      </c>
      <c r="V7" s="701" t="s">
        <v>14</v>
      </c>
      <c r="W7" s="702">
        <f t="shared" ref="W7:W15" si="2">J7</f>
        <v>0</v>
      </c>
      <c r="X7" s="703"/>
      <c r="Y7" s="3922" t="s">
        <v>1675</v>
      </c>
      <c r="Z7" s="3923"/>
      <c r="AA7" s="704" t="e">
        <f>D7/F7</f>
        <v>#DIV/0!</v>
      </c>
      <c r="AB7" s="704" t="e">
        <f>D7/H7</f>
        <v>#DIV/0!</v>
      </c>
      <c r="AC7" s="1956"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942" t="s">
        <v>1678</v>
      </c>
      <c r="Q8" s="3923"/>
      <c r="R8" s="701" t="s">
        <v>14</v>
      </c>
      <c r="S8" s="702">
        <f t="shared" si="0"/>
        <v>100</v>
      </c>
      <c r="T8" s="701" t="s">
        <v>14</v>
      </c>
      <c r="U8" s="702">
        <f t="shared" si="1"/>
        <v>100</v>
      </c>
      <c r="V8" s="701" t="s">
        <v>14</v>
      </c>
      <c r="W8" s="702">
        <f t="shared" si="2"/>
        <v>100</v>
      </c>
      <c r="X8" s="703"/>
      <c r="Y8" s="3922" t="s">
        <v>1678</v>
      </c>
      <c r="Z8" s="3923"/>
      <c r="AA8" s="704">
        <f t="shared" ref="AA8:AA47" si="3">D8/F8</f>
        <v>1</v>
      </c>
      <c r="AB8" s="704">
        <f t="shared" ref="AB8:AB47" si="4">D8/H8</f>
        <v>1</v>
      </c>
      <c r="AC8" s="1956">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897"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1956">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897"/>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1956">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897"/>
      <c r="Q11" s="1340" t="str">
        <f t="shared" si="6"/>
        <v>容积率</v>
      </c>
      <c r="R11" s="701" t="s">
        <v>14</v>
      </c>
      <c r="S11" s="702">
        <f t="shared" si="0"/>
        <v>100</v>
      </c>
      <c r="T11" s="701" t="s">
        <v>14</v>
      </c>
      <c r="U11" s="702">
        <f t="shared" si="1"/>
        <v>100</v>
      </c>
      <c r="V11" s="701" t="s">
        <v>14</v>
      </c>
      <c r="W11" s="702">
        <f t="shared" si="2"/>
        <v>100</v>
      </c>
      <c r="X11" s="703"/>
      <c r="Y11" s="3742"/>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897"/>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897"/>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897"/>
      <c r="Q14" s="1340">
        <f t="shared" si="6"/>
        <v>111</v>
      </c>
      <c r="R14" s="701" t="s">
        <v>14</v>
      </c>
      <c r="S14" s="702">
        <f t="shared" si="0"/>
        <v>100</v>
      </c>
      <c r="T14" s="701" t="s">
        <v>14</v>
      </c>
      <c r="U14" s="702">
        <f t="shared" si="1"/>
        <v>100</v>
      </c>
      <c r="V14" s="701" t="s">
        <v>14</v>
      </c>
      <c r="W14" s="702">
        <f t="shared" si="2"/>
        <v>100</v>
      </c>
      <c r="X14" s="703"/>
      <c r="Y14" s="3742"/>
      <c r="Z14" s="52">
        <f t="shared" si="7"/>
        <v>111</v>
      </c>
      <c r="AA14" s="704">
        <f t="shared" si="3"/>
        <v>1</v>
      </c>
      <c r="AB14" s="704">
        <f t="shared" si="4"/>
        <v>1</v>
      </c>
      <c r="AC14" s="1956">
        <f t="shared" si="5"/>
        <v>1</v>
      </c>
    </row>
    <row r="15" spans="1:29" ht="71.25">
      <c r="A15" s="391" t="s">
        <v>1685</v>
      </c>
      <c r="B15" s="577" t="s">
        <v>1806</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895" t="s">
        <v>1686</v>
      </c>
      <c r="Q15" s="1349" t="str">
        <f t="shared" si="6"/>
        <v>办公集聚程度</v>
      </c>
      <c r="R15" s="705" t="s">
        <v>14</v>
      </c>
      <c r="S15" s="706">
        <f t="shared" si="0"/>
        <v>100</v>
      </c>
      <c r="T15" s="705" t="s">
        <v>14</v>
      </c>
      <c r="U15" s="706">
        <f t="shared" si="1"/>
        <v>100</v>
      </c>
      <c r="V15" s="705" t="s">
        <v>14</v>
      </c>
      <c r="W15" s="706">
        <f t="shared" si="2"/>
        <v>100</v>
      </c>
      <c r="X15" s="1352"/>
      <c r="Y15" s="3888" t="s">
        <v>1686</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7"/>
      <c r="M16" s="2711"/>
      <c r="N16" s="2711"/>
      <c r="O16" s="2711"/>
      <c r="P16" s="3896"/>
      <c r="Q16" s="1349"/>
      <c r="R16" s="705"/>
      <c r="S16" s="706"/>
      <c r="T16" s="705"/>
      <c r="U16" s="706"/>
      <c r="V16" s="705"/>
      <c r="W16" s="706"/>
      <c r="X16" s="1352"/>
      <c r="Y16" s="3889"/>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896"/>
      <c r="Q17" s="1349" t="str">
        <f>B17</f>
        <v>交通便捷度</v>
      </c>
      <c r="R17" s="705" t="s">
        <v>14</v>
      </c>
      <c r="S17" s="706">
        <f>F17</f>
        <v>100</v>
      </c>
      <c r="T17" s="705" t="s">
        <v>14</v>
      </c>
      <c r="U17" s="706">
        <f>H17</f>
        <v>100</v>
      </c>
      <c r="V17" s="705" t="s">
        <v>14</v>
      </c>
      <c r="W17" s="706">
        <f>J17</f>
        <v>100</v>
      </c>
      <c r="X17" s="1352"/>
      <c r="Y17" s="3889"/>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7"/>
      <c r="M18" s="2711"/>
      <c r="N18" s="2711"/>
      <c r="O18" s="2711"/>
      <c r="P18" s="3896"/>
      <c r="Q18" s="1349"/>
      <c r="R18" s="705"/>
      <c r="S18" s="706"/>
      <c r="T18" s="705"/>
      <c r="U18" s="706"/>
      <c r="V18" s="705"/>
      <c r="W18" s="706"/>
      <c r="X18" s="1352"/>
      <c r="Y18" s="3889"/>
      <c r="Z18" s="1353"/>
      <c r="AA18" s="1350">
        <v>1</v>
      </c>
      <c r="AB18" s="1350">
        <v>1</v>
      </c>
      <c r="AC18" s="1959">
        <v>1</v>
      </c>
    </row>
    <row r="19" spans="1:29" ht="42.75">
      <c r="A19" s="379"/>
      <c r="B19" s="579" t="s">
        <v>1807</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896"/>
      <c r="Q19" s="1349" t="str">
        <f>B19</f>
        <v>公共配套设施</v>
      </c>
      <c r="R19" s="705" t="s">
        <v>14</v>
      </c>
      <c r="S19" s="706">
        <f>F19</f>
        <v>100</v>
      </c>
      <c r="T19" s="705" t="s">
        <v>14</v>
      </c>
      <c r="U19" s="706">
        <f>H19</f>
        <v>100</v>
      </c>
      <c r="V19" s="705" t="s">
        <v>14</v>
      </c>
      <c r="W19" s="706">
        <f>J19</f>
        <v>100</v>
      </c>
      <c r="X19" s="1352"/>
      <c r="Y19" s="3889"/>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7"/>
      <c r="M20" s="2711"/>
      <c r="N20" s="2711"/>
      <c r="O20" s="2711"/>
      <c r="P20" s="3896"/>
      <c r="Q20" s="1349"/>
      <c r="R20" s="705"/>
      <c r="S20" s="706"/>
      <c r="T20" s="705"/>
      <c r="U20" s="706"/>
      <c r="V20" s="705"/>
      <c r="W20" s="706"/>
      <c r="X20" s="1352"/>
      <c r="Y20" s="3889"/>
      <c r="Z20" s="1353"/>
      <c r="AA20" s="1350">
        <v>1</v>
      </c>
      <c r="AB20" s="1350">
        <v>1</v>
      </c>
      <c r="AC20" s="1959">
        <v>1</v>
      </c>
    </row>
    <row r="21" spans="1:29" ht="28.5">
      <c r="A21" s="379"/>
      <c r="B21" s="581" t="s">
        <v>1808</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896"/>
      <c r="Q21" s="1349" t="str">
        <f>B21</f>
        <v>基础设施水平</v>
      </c>
      <c r="R21" s="705" t="s">
        <v>14</v>
      </c>
      <c r="S21" s="706">
        <f>F21</f>
        <v>100</v>
      </c>
      <c r="T21" s="705" t="s">
        <v>14</v>
      </c>
      <c r="U21" s="706">
        <f>H21</f>
        <v>100</v>
      </c>
      <c r="V21" s="705" t="s">
        <v>14</v>
      </c>
      <c r="W21" s="706">
        <f>J21</f>
        <v>100</v>
      </c>
      <c r="X21" s="1352"/>
      <c r="Y21" s="388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7"/>
      <c r="M22" s="2711"/>
      <c r="N22" s="2711"/>
      <c r="O22" s="2711"/>
      <c r="P22" s="3896"/>
      <c r="Q22" s="1349"/>
      <c r="R22" s="705"/>
      <c r="S22" s="706"/>
      <c r="T22" s="705"/>
      <c r="U22" s="706"/>
      <c r="V22" s="705"/>
      <c r="W22" s="706"/>
      <c r="X22" s="1352"/>
      <c r="Y22" s="3889"/>
      <c r="Z22" s="1353"/>
      <c r="AA22" s="1350">
        <v>1</v>
      </c>
      <c r="AB22" s="1350">
        <v>1</v>
      </c>
      <c r="AC22" s="1959">
        <v>1</v>
      </c>
    </row>
    <row r="23" spans="1:29" ht="42.75">
      <c r="A23" s="379"/>
      <c r="B23" s="579" t="s">
        <v>1809</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896"/>
      <c r="Q23" s="1349" t="str">
        <f>B23</f>
        <v>环境质量</v>
      </c>
      <c r="R23" s="705" t="s">
        <v>14</v>
      </c>
      <c r="S23" s="706">
        <f>F23</f>
        <v>100</v>
      </c>
      <c r="T23" s="705" t="s">
        <v>14</v>
      </c>
      <c r="U23" s="706">
        <f>H23</f>
        <v>100</v>
      </c>
      <c r="V23" s="705" t="s">
        <v>14</v>
      </c>
      <c r="W23" s="706">
        <f>J23</f>
        <v>100</v>
      </c>
      <c r="X23" s="1352"/>
      <c r="Y23" s="3889"/>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7"/>
      <c r="M24" s="2711"/>
      <c r="N24" s="2711"/>
      <c r="O24" s="2711"/>
      <c r="P24" s="3896"/>
      <c r="Q24" s="1349"/>
      <c r="R24" s="705"/>
      <c r="S24" s="706"/>
      <c r="T24" s="705"/>
      <c r="U24" s="706"/>
      <c r="V24" s="705"/>
      <c r="W24" s="706"/>
      <c r="X24" s="1352"/>
      <c r="Y24" s="3889"/>
      <c r="Z24" s="1353"/>
      <c r="AA24" s="1350">
        <v>1</v>
      </c>
      <c r="AB24" s="1350">
        <v>1</v>
      </c>
      <c r="AC24" s="1959">
        <v>1</v>
      </c>
    </row>
    <row r="25" spans="1:29" ht="27">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896"/>
      <c r="Q25" s="1349" t="str">
        <f>B25</f>
        <v>毗邻道路的类型与等级</v>
      </c>
      <c r="R25" s="705" t="s">
        <v>14</v>
      </c>
      <c r="S25" s="706">
        <f>F25</f>
        <v>100</v>
      </c>
      <c r="T25" s="705" t="s">
        <v>14</v>
      </c>
      <c r="U25" s="706">
        <f>H25</f>
        <v>100</v>
      </c>
      <c r="V25" s="705" t="s">
        <v>14</v>
      </c>
      <c r="W25" s="706">
        <f>J25</f>
        <v>100</v>
      </c>
      <c r="X25" s="1352"/>
      <c r="Y25" s="388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7"/>
      <c r="M26" s="2711"/>
      <c r="N26" s="2711"/>
      <c r="O26" s="2711"/>
      <c r="P26" s="3896"/>
      <c r="Q26" s="1349"/>
      <c r="R26" s="705"/>
      <c r="S26" s="706"/>
      <c r="T26" s="705"/>
      <c r="U26" s="706"/>
      <c r="V26" s="705"/>
      <c r="W26" s="706"/>
      <c r="X26" s="1352"/>
      <c r="Y26" s="3889"/>
      <c r="Z26" s="1353"/>
      <c r="AA26" s="1350">
        <v>1</v>
      </c>
      <c r="AB26" s="1350">
        <v>1</v>
      </c>
      <c r="AC26" s="1959">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96"/>
      <c r="Q27" s="1349" t="str">
        <f t="shared" ref="Q27:Q47" si="11">B27</f>
        <v>楼层</v>
      </c>
      <c r="R27" s="705" t="s">
        <v>14</v>
      </c>
      <c r="S27" s="706">
        <f>F27</f>
        <v>100</v>
      </c>
      <c r="T27" s="705" t="s">
        <v>14</v>
      </c>
      <c r="U27" s="706">
        <f>H27</f>
        <v>100</v>
      </c>
      <c r="V27" s="705" t="s">
        <v>14</v>
      </c>
      <c r="W27" s="706">
        <f>J27</f>
        <v>100</v>
      </c>
      <c r="X27" s="1352"/>
      <c r="Y27" s="3889"/>
      <c r="Z27" s="1353" t="str">
        <f>Q27</f>
        <v>楼层</v>
      </c>
      <c r="AA27" s="1350">
        <f t="shared" si="3"/>
        <v>1</v>
      </c>
      <c r="AB27" s="1350">
        <f t="shared" si="4"/>
        <v>1</v>
      </c>
      <c r="AC27" s="1959">
        <f t="shared" si="5"/>
        <v>1</v>
      </c>
    </row>
    <row r="28" spans="1:29" s="108" customFormat="1" ht="15">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896"/>
      <c r="Q28" s="1340" t="str">
        <f t="shared" si="11"/>
        <v>朝向</v>
      </c>
      <c r="R28" s="701" t="s">
        <v>14</v>
      </c>
      <c r="S28" s="702">
        <f>F28</f>
        <v>100</v>
      </c>
      <c r="T28" s="701" t="s">
        <v>14</v>
      </c>
      <c r="U28" s="702">
        <f>H28</f>
        <v>100</v>
      </c>
      <c r="V28" s="701" t="s">
        <v>14</v>
      </c>
      <c r="W28" s="702">
        <f>J28</f>
        <v>100</v>
      </c>
      <c r="X28" s="703"/>
      <c r="Y28" s="388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896"/>
      <c r="Q29" s="1349">
        <f t="shared" si="11"/>
        <v>111</v>
      </c>
      <c r="R29" s="705" t="s">
        <v>14</v>
      </c>
      <c r="S29" s="706">
        <f t="shared" ref="S29:S47" si="12">F29</f>
        <v>100</v>
      </c>
      <c r="T29" s="705" t="s">
        <v>14</v>
      </c>
      <c r="U29" s="706">
        <f t="shared" ref="U29:U47" si="13">H29</f>
        <v>100</v>
      </c>
      <c r="V29" s="705" t="s">
        <v>14</v>
      </c>
      <c r="W29" s="706">
        <f t="shared" ref="W29:W47" si="14">J29</f>
        <v>100</v>
      </c>
      <c r="X29" s="1352"/>
      <c r="Y29" s="388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896"/>
      <c r="Q30" s="1349">
        <f t="shared" si="11"/>
        <v>111</v>
      </c>
      <c r="R30" s="705" t="s">
        <v>14</v>
      </c>
      <c r="S30" s="706">
        <f t="shared" si="12"/>
        <v>100</v>
      </c>
      <c r="T30" s="705" t="s">
        <v>14</v>
      </c>
      <c r="U30" s="706">
        <f t="shared" si="13"/>
        <v>100</v>
      </c>
      <c r="V30" s="705" t="s">
        <v>14</v>
      </c>
      <c r="W30" s="706">
        <f t="shared" si="14"/>
        <v>100</v>
      </c>
      <c r="X30" s="1352"/>
      <c r="Y30" s="388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896"/>
      <c r="Q31" s="1349">
        <f t="shared" si="11"/>
        <v>111</v>
      </c>
      <c r="R31" s="705" t="s">
        <v>14</v>
      </c>
      <c r="S31" s="706">
        <f t="shared" si="12"/>
        <v>100</v>
      </c>
      <c r="T31" s="705" t="s">
        <v>14</v>
      </c>
      <c r="U31" s="706">
        <f t="shared" si="13"/>
        <v>100</v>
      </c>
      <c r="V31" s="705" t="s">
        <v>14</v>
      </c>
      <c r="W31" s="706">
        <f t="shared" si="14"/>
        <v>100</v>
      </c>
      <c r="X31" s="1352"/>
      <c r="Y31" s="388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896"/>
      <c r="Q32" s="1349">
        <f t="shared" si="11"/>
        <v>111</v>
      </c>
      <c r="R32" s="705" t="s">
        <v>14</v>
      </c>
      <c r="S32" s="706">
        <f t="shared" si="12"/>
        <v>100</v>
      </c>
      <c r="T32" s="705" t="s">
        <v>14</v>
      </c>
      <c r="U32" s="706">
        <f t="shared" si="13"/>
        <v>100</v>
      </c>
      <c r="V32" s="705" t="s">
        <v>14</v>
      </c>
      <c r="W32" s="706">
        <f t="shared" si="14"/>
        <v>100</v>
      </c>
      <c r="X32" s="1352"/>
      <c r="Y32" s="3889"/>
      <c r="Z32" s="1353">
        <f t="shared" si="15"/>
        <v>111</v>
      </c>
      <c r="AA32" s="1350">
        <f t="shared" si="3"/>
        <v>1</v>
      </c>
      <c r="AB32" s="1350">
        <f t="shared" si="4"/>
        <v>1</v>
      </c>
      <c r="AC32" s="1959">
        <f t="shared" si="5"/>
        <v>1</v>
      </c>
    </row>
    <row r="33" spans="1:29" ht="15">
      <c r="A33" s="391" t="s">
        <v>1689</v>
      </c>
      <c r="B33" s="63" t="s">
        <v>1812</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890" t="s">
        <v>1691</v>
      </c>
      <c r="Q33" s="1349" t="str">
        <f t="shared" si="11"/>
        <v>建筑类型</v>
      </c>
      <c r="R33" s="705" t="s">
        <v>14</v>
      </c>
      <c r="S33" s="706">
        <f t="shared" si="12"/>
        <v>100</v>
      </c>
      <c r="T33" s="705" t="s">
        <v>14</v>
      </c>
      <c r="U33" s="706">
        <f t="shared" si="13"/>
        <v>100</v>
      </c>
      <c r="V33" s="705" t="s">
        <v>14</v>
      </c>
      <c r="W33" s="706">
        <f t="shared" si="14"/>
        <v>100</v>
      </c>
      <c r="X33" s="1352"/>
      <c r="Y33" s="3893" t="s">
        <v>1691</v>
      </c>
      <c r="Z33" s="1353" t="str">
        <f t="shared" si="15"/>
        <v>建筑类型</v>
      </c>
      <c r="AA33" s="1350">
        <f t="shared" si="3"/>
        <v>1</v>
      </c>
      <c r="AB33" s="1350">
        <f t="shared" si="4"/>
        <v>1</v>
      </c>
      <c r="AC33" s="1959">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891"/>
      <c r="Q34" s="707" t="str">
        <f t="shared" si="11"/>
        <v>项目建筑规模</v>
      </c>
      <c r="R34" s="708" t="s">
        <v>14</v>
      </c>
      <c r="S34" s="709" t="e">
        <f t="shared" si="12"/>
        <v>#N/A</v>
      </c>
      <c r="T34" s="708" t="s">
        <v>14</v>
      </c>
      <c r="U34" s="709" t="e">
        <f t="shared" si="13"/>
        <v>#N/A</v>
      </c>
      <c r="V34" s="708" t="s">
        <v>14</v>
      </c>
      <c r="W34" s="709" t="e">
        <f t="shared" si="14"/>
        <v>#N/A</v>
      </c>
      <c r="X34" s="710"/>
      <c r="Y34" s="3893"/>
      <c r="Z34" s="711" t="str">
        <f t="shared" si="15"/>
        <v>项目建筑规模</v>
      </c>
      <c r="AA34" s="1350" t="e">
        <f t="shared" si="3"/>
        <v>#N/A</v>
      </c>
      <c r="AB34" s="1350" t="e">
        <f t="shared" si="4"/>
        <v>#N/A</v>
      </c>
      <c r="AC34" s="1959"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891"/>
      <c r="Q35" s="1349" t="str">
        <f t="shared" si="11"/>
        <v>建筑结构</v>
      </c>
      <c r="R35" s="705" t="s">
        <v>14</v>
      </c>
      <c r="S35" s="706">
        <f t="shared" si="12"/>
        <v>100</v>
      </c>
      <c r="T35" s="705" t="s">
        <v>14</v>
      </c>
      <c r="U35" s="706">
        <f t="shared" si="13"/>
        <v>100</v>
      </c>
      <c r="V35" s="705" t="s">
        <v>14</v>
      </c>
      <c r="W35" s="706">
        <f t="shared" si="14"/>
        <v>100</v>
      </c>
      <c r="X35" s="1352"/>
      <c r="Y35" s="3893"/>
      <c r="Z35" s="1353" t="str">
        <f t="shared" si="15"/>
        <v>建筑结构</v>
      </c>
      <c r="AA35" s="1350">
        <f t="shared" si="3"/>
        <v>1</v>
      </c>
      <c r="AB35" s="1350">
        <f t="shared" si="4"/>
        <v>1</v>
      </c>
      <c r="AC35" s="1959">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891"/>
      <c r="Q36" s="1349" t="str">
        <f t="shared" si="11"/>
        <v>公共部分装修</v>
      </c>
      <c r="R36" s="705" t="s">
        <v>14</v>
      </c>
      <c r="S36" s="706">
        <f t="shared" si="12"/>
        <v>100</v>
      </c>
      <c r="T36" s="705" t="s">
        <v>14</v>
      </c>
      <c r="U36" s="706">
        <f t="shared" si="13"/>
        <v>100</v>
      </c>
      <c r="V36" s="705" t="s">
        <v>14</v>
      </c>
      <c r="W36" s="706">
        <f t="shared" si="14"/>
        <v>100</v>
      </c>
      <c r="X36" s="1352"/>
      <c r="Y36" s="3893"/>
      <c r="Z36" s="1353" t="str">
        <f t="shared" si="15"/>
        <v>公共部分装修</v>
      </c>
      <c r="AA36" s="1350">
        <f t="shared" si="3"/>
        <v>1</v>
      </c>
      <c r="AB36" s="1350">
        <f t="shared" si="4"/>
        <v>1</v>
      </c>
      <c r="AC36" s="1959">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891"/>
      <c r="Q37" s="1349" t="str">
        <f t="shared" si="11"/>
        <v>成新度</v>
      </c>
      <c r="R37" s="705" t="s">
        <v>14</v>
      </c>
      <c r="S37" s="706" t="e">
        <f t="shared" si="12"/>
        <v>#N/A</v>
      </c>
      <c r="T37" s="705" t="s">
        <v>14</v>
      </c>
      <c r="U37" s="706" t="e">
        <f t="shared" si="13"/>
        <v>#N/A</v>
      </c>
      <c r="V37" s="705" t="s">
        <v>14</v>
      </c>
      <c r="W37" s="706" t="e">
        <f t="shared" si="14"/>
        <v>#N/A</v>
      </c>
      <c r="X37" s="1352"/>
      <c r="Y37" s="3893"/>
      <c r="Z37" s="1353" t="str">
        <f t="shared" si="15"/>
        <v>成新度</v>
      </c>
      <c r="AA37" s="1350" t="e">
        <f t="shared" si="3"/>
        <v>#N/A</v>
      </c>
      <c r="AB37" s="1350" t="e">
        <f t="shared" si="4"/>
        <v>#N/A</v>
      </c>
      <c r="AC37" s="1959"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91"/>
      <c r="Q38" s="1340" t="str">
        <f t="shared" si="11"/>
        <v>写字楼等级</v>
      </c>
      <c r="R38" s="701" t="s">
        <v>14</v>
      </c>
      <c r="S38" s="702">
        <f t="shared" si="12"/>
        <v>100</v>
      </c>
      <c r="T38" s="701" t="s">
        <v>14</v>
      </c>
      <c r="U38" s="702">
        <f t="shared" si="13"/>
        <v>100</v>
      </c>
      <c r="V38" s="701" t="s">
        <v>14</v>
      </c>
      <c r="W38" s="702">
        <f t="shared" si="14"/>
        <v>100</v>
      </c>
      <c r="X38" s="703"/>
      <c r="Y38" s="3893"/>
      <c r="Z38" s="52" t="str">
        <f t="shared" si="15"/>
        <v>写字楼等级</v>
      </c>
      <c r="AA38" s="704">
        <f t="shared" si="3"/>
        <v>1</v>
      </c>
      <c r="AB38" s="704">
        <f t="shared" si="4"/>
        <v>1</v>
      </c>
      <c r="AC38" s="1956">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891" t="s">
        <v>1691</v>
      </c>
      <c r="Q39" s="1349" t="str">
        <f t="shared" si="11"/>
        <v>物业管理</v>
      </c>
      <c r="R39" s="705" t="s">
        <v>14</v>
      </c>
      <c r="S39" s="706">
        <f t="shared" si="12"/>
        <v>100</v>
      </c>
      <c r="T39" s="705" t="s">
        <v>14</v>
      </c>
      <c r="U39" s="706">
        <f t="shared" si="13"/>
        <v>100</v>
      </c>
      <c r="V39" s="705" t="s">
        <v>14</v>
      </c>
      <c r="W39" s="706">
        <f t="shared" si="14"/>
        <v>100</v>
      </c>
      <c r="X39" s="1352"/>
      <c r="Y39" s="3893" t="s">
        <v>1691</v>
      </c>
      <c r="Z39" s="1353" t="str">
        <f t="shared" si="15"/>
        <v>物业管理</v>
      </c>
      <c r="AA39" s="1350">
        <f t="shared" si="3"/>
        <v>1</v>
      </c>
      <c r="AB39" s="1350">
        <f t="shared" si="4"/>
        <v>1</v>
      </c>
      <c r="AC39" s="1959">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891"/>
      <c r="Q40" s="1349" t="str">
        <f t="shared" si="11"/>
        <v>市政基础设施</v>
      </c>
      <c r="R40" s="705" t="s">
        <v>14</v>
      </c>
      <c r="S40" s="706">
        <f t="shared" si="12"/>
        <v>100</v>
      </c>
      <c r="T40" s="705" t="s">
        <v>14</v>
      </c>
      <c r="U40" s="706">
        <f t="shared" si="13"/>
        <v>100</v>
      </c>
      <c r="V40" s="705" t="s">
        <v>14</v>
      </c>
      <c r="W40" s="706">
        <f t="shared" si="14"/>
        <v>100</v>
      </c>
      <c r="X40" s="1352"/>
      <c r="Y40" s="3893"/>
      <c r="Z40" s="1353" t="str">
        <f t="shared" si="15"/>
        <v>市政基础设施</v>
      </c>
      <c r="AA40" s="1350">
        <f t="shared" si="3"/>
        <v>1</v>
      </c>
      <c r="AB40" s="1350">
        <f t="shared" si="4"/>
        <v>1</v>
      </c>
      <c r="AC40" s="1959">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91"/>
      <c r="Q41" s="1349" t="str">
        <f t="shared" si="11"/>
        <v>层高</v>
      </c>
      <c r="R41" s="705" t="s">
        <v>14</v>
      </c>
      <c r="S41" s="706">
        <f t="shared" si="12"/>
        <v>100</v>
      </c>
      <c r="T41" s="705" t="s">
        <v>14</v>
      </c>
      <c r="U41" s="706">
        <f t="shared" si="13"/>
        <v>100</v>
      </c>
      <c r="V41" s="705" t="s">
        <v>14</v>
      </c>
      <c r="W41" s="706">
        <f t="shared" si="14"/>
        <v>100</v>
      </c>
      <c r="X41" s="1352"/>
      <c r="Y41" s="3893"/>
      <c r="Z41" s="1353" t="str">
        <f t="shared" si="15"/>
        <v>层高</v>
      </c>
      <c r="AA41" s="1350">
        <f t="shared" si="3"/>
        <v>1</v>
      </c>
      <c r="AB41" s="1350">
        <f t="shared" si="4"/>
        <v>1</v>
      </c>
      <c r="AC41" s="1959">
        <f t="shared" si="5"/>
        <v>1</v>
      </c>
    </row>
    <row r="42" spans="1:29" s="422" customFormat="1" ht="15">
      <c r="A42" s="419"/>
      <c r="B42" s="135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91"/>
      <c r="Q42" s="707" t="str">
        <f t="shared" si="11"/>
        <v>单套建筑面积</v>
      </c>
      <c r="R42" s="708" t="s">
        <v>14</v>
      </c>
      <c r="S42" s="709">
        <f t="shared" si="12"/>
        <v>100</v>
      </c>
      <c r="T42" s="708" t="s">
        <v>14</v>
      </c>
      <c r="U42" s="709">
        <f t="shared" si="13"/>
        <v>100</v>
      </c>
      <c r="V42" s="708" t="s">
        <v>14</v>
      </c>
      <c r="W42" s="709">
        <f t="shared" si="14"/>
        <v>100</v>
      </c>
      <c r="X42" s="710"/>
      <c r="Y42" s="3893"/>
      <c r="Z42" s="711" t="str">
        <f t="shared" si="15"/>
        <v>单套建筑面积</v>
      </c>
      <c r="AA42" s="1350">
        <f t="shared" si="3"/>
        <v>1</v>
      </c>
      <c r="AB42" s="1350">
        <f t="shared" si="4"/>
        <v>1</v>
      </c>
      <c r="AC42" s="1959">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891"/>
      <c r="Q43" s="1349" t="str">
        <f t="shared" si="11"/>
        <v>内部装修</v>
      </c>
      <c r="R43" s="705" t="s">
        <v>14</v>
      </c>
      <c r="S43" s="706">
        <f t="shared" si="12"/>
        <v>100</v>
      </c>
      <c r="T43" s="705" t="s">
        <v>14</v>
      </c>
      <c r="U43" s="706">
        <f t="shared" si="13"/>
        <v>100</v>
      </c>
      <c r="V43" s="705" t="s">
        <v>14</v>
      </c>
      <c r="W43" s="706">
        <f t="shared" si="14"/>
        <v>100</v>
      </c>
      <c r="X43" s="1352"/>
      <c r="Y43" s="3893"/>
      <c r="Z43" s="1353" t="str">
        <f t="shared" si="15"/>
        <v>内部装修</v>
      </c>
      <c r="AA43" s="1350">
        <f t="shared" si="3"/>
        <v>1</v>
      </c>
      <c r="AB43" s="1350">
        <f t="shared" si="4"/>
        <v>1</v>
      </c>
      <c r="AC43" s="1959">
        <f t="shared" si="5"/>
        <v>1</v>
      </c>
    </row>
    <row r="44" spans="1:29" ht="15">
      <c r="A44" s="423"/>
      <c r="B44" s="375" t="s">
        <v>1702</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891"/>
      <c r="Q44" s="1349" t="str">
        <f t="shared" si="11"/>
        <v>内部装修维护情况</v>
      </c>
      <c r="R44" s="705" t="s">
        <v>14</v>
      </c>
      <c r="S44" s="706">
        <f t="shared" si="12"/>
        <v>100</v>
      </c>
      <c r="T44" s="705" t="s">
        <v>14</v>
      </c>
      <c r="U44" s="706">
        <f t="shared" si="13"/>
        <v>100</v>
      </c>
      <c r="V44" s="705" t="s">
        <v>14</v>
      </c>
      <c r="W44" s="706">
        <f t="shared" si="14"/>
        <v>100</v>
      </c>
      <c r="X44" s="1352"/>
      <c r="Y44" s="3893"/>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91"/>
      <c r="Q45" s="1340">
        <f t="shared" si="11"/>
        <v>111</v>
      </c>
      <c r="R45" s="701" t="s">
        <v>14</v>
      </c>
      <c r="S45" s="702">
        <f t="shared" si="12"/>
        <v>100</v>
      </c>
      <c r="T45" s="701" t="s">
        <v>14</v>
      </c>
      <c r="U45" s="702">
        <f t="shared" si="13"/>
        <v>100</v>
      </c>
      <c r="V45" s="701" t="s">
        <v>14</v>
      </c>
      <c r="W45" s="702">
        <f t="shared" si="14"/>
        <v>100</v>
      </c>
      <c r="X45" s="703"/>
      <c r="Y45" s="3893"/>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91"/>
      <c r="Q46" s="1349">
        <f t="shared" si="11"/>
        <v>111</v>
      </c>
      <c r="R46" s="705" t="s">
        <v>14</v>
      </c>
      <c r="S46" s="706">
        <f t="shared" si="12"/>
        <v>100</v>
      </c>
      <c r="T46" s="705" t="s">
        <v>14</v>
      </c>
      <c r="U46" s="706">
        <f t="shared" si="13"/>
        <v>100</v>
      </c>
      <c r="V46" s="705" t="s">
        <v>14</v>
      </c>
      <c r="W46" s="706">
        <f t="shared" si="14"/>
        <v>100</v>
      </c>
      <c r="X46" s="1352"/>
      <c r="Y46" s="389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92"/>
      <c r="Q47" s="1349">
        <f t="shared" si="11"/>
        <v>111</v>
      </c>
      <c r="R47" s="705" t="s">
        <v>14</v>
      </c>
      <c r="S47" s="706">
        <f t="shared" si="12"/>
        <v>100</v>
      </c>
      <c r="T47" s="705" t="s">
        <v>14</v>
      </c>
      <c r="U47" s="706">
        <f t="shared" si="13"/>
        <v>100</v>
      </c>
      <c r="V47" s="705" t="s">
        <v>14</v>
      </c>
      <c r="W47" s="706">
        <f t="shared" si="14"/>
        <v>100</v>
      </c>
      <c r="X47" s="1352"/>
      <c r="Y47" s="3894"/>
      <c r="Z47" s="1353">
        <f t="shared" si="15"/>
        <v>111</v>
      </c>
      <c r="AA47" s="1350">
        <f t="shared" si="3"/>
        <v>1</v>
      </c>
      <c r="AB47" s="1350">
        <f t="shared" si="4"/>
        <v>1</v>
      </c>
      <c r="AC47" s="1959">
        <f t="shared" si="5"/>
        <v>1</v>
      </c>
    </row>
    <row r="48" spans="1:29" ht="15">
      <c r="A48" s="430" t="s">
        <v>1703</v>
      </c>
      <c r="B48" s="431"/>
      <c r="C48" s="1151" t="s">
        <v>0</v>
      </c>
      <c r="D48" s="1152"/>
      <c r="E48" s="1153"/>
      <c r="F48" s="1154"/>
      <c r="G48" s="1155"/>
      <c r="H48" s="1156"/>
      <c r="I48" s="1153"/>
      <c r="J48" s="436"/>
      <c r="K48" s="714"/>
      <c r="L48" s="2719"/>
      <c r="M48" s="2711"/>
      <c r="N48" s="2711"/>
      <c r="O48" s="2711"/>
      <c r="P48" s="3897" t="str">
        <f>A48</f>
        <v>成交单价（元/平方米）</v>
      </c>
      <c r="Q48" s="3886"/>
      <c r="R48" s="3887">
        <f>E48</f>
        <v>0</v>
      </c>
      <c r="S48" s="3887"/>
      <c r="T48" s="3887">
        <f>G48</f>
        <v>0</v>
      </c>
      <c r="U48" s="3887"/>
      <c r="V48" s="3887">
        <f>I48</f>
        <v>0</v>
      </c>
      <c r="W48" s="3887"/>
      <c r="X48" s="397"/>
      <c r="Y48" s="712"/>
      <c r="Z48" s="397"/>
      <c r="AA48" s="397"/>
      <c r="AB48" s="397"/>
      <c r="AC48" s="578"/>
    </row>
    <row r="49" spans="1:29" ht="15.75" thickBot="1">
      <c r="A49" s="437" t="s">
        <v>1788</v>
      </c>
      <c r="B49" s="438"/>
      <c r="C49" s="1157" t="e">
        <f>R50</f>
        <v>#DIV/0!</v>
      </c>
      <c r="D49" s="2314" t="s">
        <v>2133</v>
      </c>
      <c r="E49" s="1158" t="e">
        <f>R49</f>
        <v>#DIV/0!</v>
      </c>
      <c r="F49" s="2315"/>
      <c r="G49" s="1157" t="e">
        <f>T49</f>
        <v>#DIV/0!</v>
      </c>
      <c r="H49" s="2315"/>
      <c r="I49" s="1158" t="e">
        <f>V49</f>
        <v>#DIV/0!</v>
      </c>
      <c r="J49" s="2315"/>
      <c r="K49" s="2317">
        <f>F49+H49+J49</f>
        <v>0</v>
      </c>
      <c r="L49" s="2719"/>
      <c r="M49" s="2711"/>
      <c r="N49" s="2711"/>
      <c r="O49" s="2711"/>
      <c r="P49" s="3897" t="str">
        <f>A49</f>
        <v>比较价值（元/平方米）</v>
      </c>
      <c r="Q49" s="3886"/>
      <c r="R49" s="3887" t="e">
        <f>IF(F1="售价",ROUND(PRODUCT(R48,AA7:AA47),0),ROUND(PRODUCT(R48,AA7:AA47),1))</f>
        <v>#DIV/0!</v>
      </c>
      <c r="S49" s="3887"/>
      <c r="T49" s="3887" t="e">
        <f>IF(F1="售价",ROUND(PRODUCT(T48,AB7:AB47),0),ROUND(PRODUCT(T48,AB7:AB47),1))</f>
        <v>#DIV/0!</v>
      </c>
      <c r="U49" s="3887"/>
      <c r="V49" s="3887" t="e">
        <f>IF(F1="售价",ROUND(PRODUCT(V48,AC7:AC47),0),ROUND(PRODUCT(V48,AC7:AC47),1))</f>
        <v>#DIV/0!</v>
      </c>
      <c r="W49" s="3887"/>
      <c r="X49" s="397"/>
      <c r="Y49" s="397"/>
      <c r="Z49" s="397"/>
      <c r="AA49" s="397"/>
      <c r="AB49" s="397"/>
      <c r="AC49" s="578"/>
    </row>
    <row r="50" spans="1:29" ht="15.75" thickBot="1">
      <c r="A50" s="441" t="s">
        <v>1789</v>
      </c>
      <c r="B50" s="442"/>
      <c r="C50" s="1160" t="e">
        <f>R50</f>
        <v>#DIV/0!</v>
      </c>
      <c r="D50" s="1160"/>
      <c r="E50" s="1160"/>
      <c r="F50" s="1160"/>
      <c r="G50" s="1160"/>
      <c r="H50" s="1160"/>
      <c r="I50" s="1160"/>
      <c r="J50" s="443"/>
      <c r="K50" s="715"/>
      <c r="L50" s="2719"/>
      <c r="M50" s="2711"/>
      <c r="N50" s="2711"/>
      <c r="O50" s="2711"/>
      <c r="P50" s="3929" t="str">
        <f>A50</f>
        <v>估价对象XX用房的比较价值（楼面单价，元/平方米）</v>
      </c>
      <c r="Q50" s="3930"/>
      <c r="R50" s="3931" t="e">
        <f>IF(F1="售价",ROUND(IF(D49="简单平均",AVERAGE(R49:V49),R49*F49+T49*H49+V49*J49),0),ROUND(IF(D49="简单平均",AVERAGE(R49:V49),R49*F49+T49*H49+V49*J49),1))</f>
        <v>#DIV/0!</v>
      </c>
      <c r="S50" s="3931"/>
      <c r="T50" s="3931"/>
      <c r="U50" s="3931"/>
      <c r="V50" s="3931"/>
      <c r="W50" s="3931"/>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1655</v>
      </c>
      <c r="B1" s="1954" t="s">
        <v>1821</v>
      </c>
      <c r="C1" s="1221" t="s">
        <v>1657</v>
      </c>
      <c r="D1" s="1222"/>
      <c r="E1" s="3428"/>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5979.5300000000007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1764</v>
      </c>
      <c r="B4" s="356"/>
      <c r="C4" s="3901" t="s">
        <v>1765</v>
      </c>
      <c r="D4" s="3902"/>
      <c r="E4" s="3903" t="s">
        <v>1766</v>
      </c>
      <c r="F4" s="3904"/>
      <c r="G4" s="3901" t="s">
        <v>1767</v>
      </c>
      <c r="H4" s="3902"/>
      <c r="I4" s="3901" t="s">
        <v>1768</v>
      </c>
      <c r="J4" s="3902"/>
      <c r="K4" s="559" t="s">
        <v>1769</v>
      </c>
      <c r="L4" s="910"/>
      <c r="M4" s="911"/>
      <c r="N4" s="911"/>
      <c r="O4" s="911"/>
      <c r="P4" s="3905" t="s">
        <v>1770</v>
      </c>
      <c r="Q4" s="3906"/>
      <c r="R4" s="3911" t="s">
        <v>1766</v>
      </c>
      <c r="S4" s="3912"/>
      <c r="T4" s="3911" t="s">
        <v>1767</v>
      </c>
      <c r="U4" s="3912"/>
      <c r="V4" s="3917" t="s">
        <v>1768</v>
      </c>
      <c r="W4" s="3917"/>
      <c r="X4" s="1352"/>
      <c r="Y4" s="3911" t="s">
        <v>1770</v>
      </c>
      <c r="Z4" s="3912"/>
      <c r="AA4" s="3898" t="s">
        <v>1766</v>
      </c>
      <c r="AB4" s="3899" t="s">
        <v>1767</v>
      </c>
      <c r="AC4" s="3898" t="s">
        <v>1768</v>
      </c>
    </row>
    <row r="5" spans="1:29" ht="15">
      <c r="A5" s="358"/>
      <c r="B5" s="359"/>
      <c r="C5" s="3920" t="s">
        <v>1668</v>
      </c>
      <c r="D5" s="3921"/>
      <c r="E5" s="3927" t="s">
        <v>1669</v>
      </c>
      <c r="F5" s="3928"/>
      <c r="G5" s="3920" t="s">
        <v>1670</v>
      </c>
      <c r="H5" s="3921"/>
      <c r="I5" s="3920" t="s">
        <v>1671</v>
      </c>
      <c r="J5" s="3921"/>
      <c r="K5" s="559"/>
      <c r="L5" s="910"/>
      <c r="M5" s="911"/>
      <c r="N5" s="911"/>
      <c r="O5" s="911"/>
      <c r="P5" s="3907"/>
      <c r="Q5" s="3908"/>
      <c r="R5" s="3913"/>
      <c r="S5" s="3914"/>
      <c r="T5" s="3913"/>
      <c r="U5" s="3914"/>
      <c r="V5" s="3917"/>
      <c r="W5" s="3917"/>
      <c r="X5" s="1352"/>
      <c r="Y5" s="3913"/>
      <c r="Z5" s="3914"/>
      <c r="AA5" s="3899"/>
      <c r="AB5" s="3899"/>
      <c r="AC5" s="3899"/>
    </row>
    <row r="6" spans="1:29" ht="15.75" thickBot="1">
      <c r="A6" s="360"/>
      <c r="B6" s="361"/>
      <c r="C6" s="3918" t="s">
        <v>1672</v>
      </c>
      <c r="D6" s="3919"/>
      <c r="E6" s="3925" t="s">
        <v>1672</v>
      </c>
      <c r="F6" s="3926"/>
      <c r="G6" s="3918" t="s">
        <v>1672</v>
      </c>
      <c r="H6" s="3919"/>
      <c r="I6" s="3918" t="s">
        <v>1672</v>
      </c>
      <c r="J6" s="3919"/>
      <c r="K6" s="559" t="s">
        <v>1673</v>
      </c>
      <c r="L6" s="910"/>
      <c r="M6" s="911"/>
      <c r="N6" s="911"/>
      <c r="O6" s="911"/>
      <c r="P6" s="3909"/>
      <c r="Q6" s="3910"/>
      <c r="R6" s="3913"/>
      <c r="S6" s="3914"/>
      <c r="T6" s="3915"/>
      <c r="U6" s="3916"/>
      <c r="V6" s="3917"/>
      <c r="W6" s="3917"/>
      <c r="X6" s="1352"/>
      <c r="Y6" s="3915"/>
      <c r="Z6" s="3916"/>
      <c r="AA6" s="3900"/>
      <c r="AB6" s="3900"/>
      <c r="AC6" s="3900"/>
    </row>
    <row r="7" spans="1:29" s="108" customFormat="1" ht="15.75" thickBot="1">
      <c r="A7" s="362" t="s">
        <v>1674</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2"/>
      <c r="M7" s="913"/>
      <c r="N7" s="913"/>
      <c r="O7" s="913"/>
      <c r="P7" s="3922" t="s">
        <v>1675</v>
      </c>
      <c r="Q7" s="3924"/>
      <c r="R7" s="701" t="s">
        <v>14</v>
      </c>
      <c r="S7" s="702">
        <f t="shared" ref="S7:S15" si="0">F7</f>
        <v>0</v>
      </c>
      <c r="T7" s="701" t="s">
        <v>14</v>
      </c>
      <c r="U7" s="702">
        <f t="shared" ref="U7:U15" si="1">H7</f>
        <v>0</v>
      </c>
      <c r="V7" s="701" t="s">
        <v>14</v>
      </c>
      <c r="W7" s="702">
        <f t="shared" ref="W7:W15" si="2">J7</f>
        <v>0</v>
      </c>
      <c r="X7" s="703"/>
      <c r="Y7" s="3922" t="s">
        <v>1675</v>
      </c>
      <c r="Z7" s="3923"/>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922" t="s">
        <v>1678</v>
      </c>
      <c r="Q8" s="3923"/>
      <c r="R8" s="701" t="s">
        <v>14</v>
      </c>
      <c r="S8" s="702">
        <f t="shared" si="0"/>
        <v>100</v>
      </c>
      <c r="T8" s="701" t="s">
        <v>14</v>
      </c>
      <c r="U8" s="702">
        <f t="shared" si="1"/>
        <v>100</v>
      </c>
      <c r="V8" s="701" t="s">
        <v>14</v>
      </c>
      <c r="W8" s="702">
        <f t="shared" si="2"/>
        <v>100</v>
      </c>
      <c r="X8" s="703"/>
      <c r="Y8" s="3922" t="s">
        <v>1678</v>
      </c>
      <c r="Z8" s="3923"/>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886"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886"/>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886"/>
      <c r="Q11" s="1340" t="str">
        <f t="shared" si="6"/>
        <v>容积率</v>
      </c>
      <c r="R11" s="701" t="s">
        <v>14</v>
      </c>
      <c r="S11" s="702">
        <f t="shared" si="0"/>
        <v>100</v>
      </c>
      <c r="T11" s="701" t="s">
        <v>14</v>
      </c>
      <c r="U11" s="702">
        <f t="shared" si="1"/>
        <v>100</v>
      </c>
      <c r="V11" s="701" t="s">
        <v>14</v>
      </c>
      <c r="W11" s="702">
        <f t="shared" si="2"/>
        <v>100</v>
      </c>
      <c r="X11" s="703"/>
      <c r="Y11" s="3742"/>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886"/>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886"/>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886"/>
      <c r="Q14" s="1340">
        <f t="shared" si="6"/>
        <v>111</v>
      </c>
      <c r="R14" s="701" t="s">
        <v>14</v>
      </c>
      <c r="S14" s="702">
        <f t="shared" si="0"/>
        <v>100</v>
      </c>
      <c r="T14" s="701" t="s">
        <v>14</v>
      </c>
      <c r="U14" s="702">
        <f t="shared" si="1"/>
        <v>100</v>
      </c>
      <c r="V14" s="701" t="s">
        <v>14</v>
      </c>
      <c r="W14" s="702">
        <f t="shared" si="2"/>
        <v>100</v>
      </c>
      <c r="X14" s="703"/>
      <c r="Y14" s="3742"/>
      <c r="Z14" s="52">
        <f t="shared" si="7"/>
        <v>111</v>
      </c>
      <c r="AA14" s="704">
        <f t="shared" si="3"/>
        <v>1</v>
      </c>
      <c r="AB14" s="704">
        <f t="shared" si="4"/>
        <v>1</v>
      </c>
      <c r="AC14" s="704">
        <f t="shared" si="5"/>
        <v>1</v>
      </c>
    </row>
    <row r="15" spans="1:29" ht="57">
      <c r="A15" s="391" t="s">
        <v>1685</v>
      </c>
      <c r="B15" s="61" t="s">
        <v>1822</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888" t="s">
        <v>1686</v>
      </c>
      <c r="Q15" s="1349" t="str">
        <f t="shared" si="6"/>
        <v>产业集聚程度</v>
      </c>
      <c r="R15" s="705" t="s">
        <v>14</v>
      </c>
      <c r="S15" s="706">
        <f t="shared" si="0"/>
        <v>100</v>
      </c>
      <c r="T15" s="705" t="s">
        <v>14</v>
      </c>
      <c r="U15" s="706">
        <f t="shared" si="1"/>
        <v>100</v>
      </c>
      <c r="V15" s="705" t="s">
        <v>14</v>
      </c>
      <c r="W15" s="706">
        <f t="shared" si="2"/>
        <v>100</v>
      </c>
      <c r="X15" s="1352"/>
      <c r="Y15" s="3888" t="s">
        <v>1686</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889"/>
      <c r="Q16" s="1349"/>
      <c r="R16" s="705"/>
      <c r="S16" s="706"/>
      <c r="T16" s="705"/>
      <c r="U16" s="706"/>
      <c r="V16" s="705"/>
      <c r="W16" s="706"/>
      <c r="X16" s="1352"/>
      <c r="Y16" s="3889"/>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889"/>
      <c r="Q17" s="1349" t="str">
        <f>B17</f>
        <v>交通便捷度</v>
      </c>
      <c r="R17" s="705" t="s">
        <v>14</v>
      </c>
      <c r="S17" s="706">
        <f>F17</f>
        <v>100</v>
      </c>
      <c r="T17" s="705" t="s">
        <v>14</v>
      </c>
      <c r="U17" s="706">
        <f>H17</f>
        <v>100</v>
      </c>
      <c r="V17" s="705" t="s">
        <v>14</v>
      </c>
      <c r="W17" s="706">
        <f>J17</f>
        <v>100</v>
      </c>
      <c r="X17" s="1352"/>
      <c r="Y17" s="388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889"/>
      <c r="Q18" s="1349"/>
      <c r="R18" s="705"/>
      <c r="S18" s="706"/>
      <c r="T18" s="705"/>
      <c r="U18" s="706"/>
      <c r="V18" s="705"/>
      <c r="W18" s="706"/>
      <c r="X18" s="1352"/>
      <c r="Y18" s="3889"/>
      <c r="Z18" s="1353"/>
      <c r="AA18" s="1350">
        <v>1</v>
      </c>
      <c r="AB18" s="1350">
        <v>1</v>
      </c>
      <c r="AC18" s="1350">
        <v>1</v>
      </c>
    </row>
    <row r="19" spans="1:29" ht="42.75">
      <c r="A19" s="379"/>
      <c r="B19" s="402" t="s">
        <v>1807</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889"/>
      <c r="Q19" s="1349" t="str">
        <f>B19</f>
        <v>公共配套设施</v>
      </c>
      <c r="R19" s="705" t="s">
        <v>14</v>
      </c>
      <c r="S19" s="706">
        <f>F19</f>
        <v>100</v>
      </c>
      <c r="T19" s="705" t="s">
        <v>14</v>
      </c>
      <c r="U19" s="706">
        <f>H19</f>
        <v>100</v>
      </c>
      <c r="V19" s="705" t="s">
        <v>14</v>
      </c>
      <c r="W19" s="706">
        <f>J19</f>
        <v>100</v>
      </c>
      <c r="X19" s="1352"/>
      <c r="Y19" s="388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889"/>
      <c r="Q20" s="1349"/>
      <c r="R20" s="705"/>
      <c r="S20" s="706"/>
      <c r="T20" s="705"/>
      <c r="U20" s="706"/>
      <c r="V20" s="705"/>
      <c r="W20" s="706"/>
      <c r="X20" s="1352"/>
      <c r="Y20" s="3889"/>
      <c r="Z20" s="1353"/>
      <c r="AA20" s="1350">
        <v>1</v>
      </c>
      <c r="AB20" s="1350">
        <v>1</v>
      </c>
      <c r="AC20" s="1350">
        <v>1</v>
      </c>
    </row>
    <row r="21" spans="1:29" ht="28.5">
      <c r="A21" s="379"/>
      <c r="B21" s="1128" t="s">
        <v>1808</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889"/>
      <c r="Q21" s="1349" t="str">
        <f>B21</f>
        <v>基础设施水平</v>
      </c>
      <c r="R21" s="705" t="s">
        <v>14</v>
      </c>
      <c r="S21" s="706">
        <f>F21</f>
        <v>100</v>
      </c>
      <c r="T21" s="705" t="s">
        <v>14</v>
      </c>
      <c r="U21" s="706">
        <f>H21</f>
        <v>100</v>
      </c>
      <c r="V21" s="705" t="s">
        <v>14</v>
      </c>
      <c r="W21" s="706">
        <f>J21</f>
        <v>100</v>
      </c>
      <c r="X21" s="1352"/>
      <c r="Y21" s="388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889"/>
      <c r="Q22" s="1349"/>
      <c r="R22" s="705"/>
      <c r="S22" s="706"/>
      <c r="T22" s="705"/>
      <c r="U22" s="706"/>
      <c r="V22" s="705"/>
      <c r="W22" s="706"/>
      <c r="X22" s="1352"/>
      <c r="Y22" s="3889"/>
      <c r="Z22" s="1353"/>
      <c r="AA22" s="1350">
        <v>1</v>
      </c>
      <c r="AB22" s="1350">
        <v>1</v>
      </c>
      <c r="AC22" s="1350">
        <v>1</v>
      </c>
    </row>
    <row r="23" spans="1:29" ht="71.25">
      <c r="A23" s="379"/>
      <c r="B23" s="402" t="s">
        <v>1809</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889"/>
      <c r="Q23" s="1349" t="str">
        <f>B23</f>
        <v>环境质量</v>
      </c>
      <c r="R23" s="705" t="s">
        <v>14</v>
      </c>
      <c r="S23" s="706">
        <f>F23</f>
        <v>100</v>
      </c>
      <c r="T23" s="705" t="s">
        <v>14</v>
      </c>
      <c r="U23" s="706">
        <f>H23</f>
        <v>100</v>
      </c>
      <c r="V23" s="705" t="s">
        <v>14</v>
      </c>
      <c r="W23" s="706">
        <f>J23</f>
        <v>100</v>
      </c>
      <c r="X23" s="1352"/>
      <c r="Y23" s="3889"/>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889"/>
      <c r="Q24" s="1349"/>
      <c r="R24" s="705"/>
      <c r="S24" s="706"/>
      <c r="T24" s="705"/>
      <c r="U24" s="706"/>
      <c r="V24" s="705"/>
      <c r="W24" s="706"/>
      <c r="X24" s="1352"/>
      <c r="Y24" s="3889"/>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889"/>
      <c r="Q25" s="1349">
        <f>B25</f>
        <v>111</v>
      </c>
      <c r="R25" s="705" t="s">
        <v>14</v>
      </c>
      <c r="S25" s="706">
        <f>F25</f>
        <v>100</v>
      </c>
      <c r="T25" s="705" t="s">
        <v>14</v>
      </c>
      <c r="U25" s="706">
        <f>H25</f>
        <v>100</v>
      </c>
      <c r="V25" s="705" t="s">
        <v>14</v>
      </c>
      <c r="W25" s="706">
        <f>J25</f>
        <v>100</v>
      </c>
      <c r="X25" s="1352"/>
      <c r="Y25" s="3889"/>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889"/>
      <c r="Q26" s="1349">
        <f t="shared" ref="Q26:Q40" si="11">B26</f>
        <v>111</v>
      </c>
      <c r="R26" s="705" t="s">
        <v>14</v>
      </c>
      <c r="S26" s="706">
        <f>F26</f>
        <v>100</v>
      </c>
      <c r="T26" s="705" t="s">
        <v>14</v>
      </c>
      <c r="U26" s="706">
        <f>H26</f>
        <v>100</v>
      </c>
      <c r="V26" s="705" t="s">
        <v>14</v>
      </c>
      <c r="W26" s="706">
        <f>J26</f>
        <v>100</v>
      </c>
      <c r="X26" s="1352"/>
      <c r="Y26" s="3889"/>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889"/>
      <c r="Q27" s="1340">
        <f t="shared" si="11"/>
        <v>111</v>
      </c>
      <c r="R27" s="701" t="s">
        <v>14</v>
      </c>
      <c r="S27" s="702">
        <f>F27</f>
        <v>100</v>
      </c>
      <c r="T27" s="701" t="s">
        <v>14</v>
      </c>
      <c r="U27" s="702">
        <f>H27</f>
        <v>100</v>
      </c>
      <c r="V27" s="701" t="s">
        <v>14</v>
      </c>
      <c r="W27" s="702">
        <f>J27</f>
        <v>100</v>
      </c>
      <c r="X27" s="703"/>
      <c r="Y27" s="3889"/>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889"/>
      <c r="Q28" s="1349">
        <f t="shared" si="11"/>
        <v>111</v>
      </c>
      <c r="R28" s="705" t="s">
        <v>14</v>
      </c>
      <c r="S28" s="706">
        <f t="shared" ref="S28:S40" si="12">F28</f>
        <v>100</v>
      </c>
      <c r="T28" s="705" t="s">
        <v>14</v>
      </c>
      <c r="U28" s="706">
        <f t="shared" ref="U28:U40" si="13">H28</f>
        <v>100</v>
      </c>
      <c r="V28" s="705" t="s">
        <v>14</v>
      </c>
      <c r="W28" s="706">
        <f t="shared" ref="W28:W40" si="14">J28</f>
        <v>100</v>
      </c>
      <c r="X28" s="1352"/>
      <c r="Y28" s="3889"/>
      <c r="Z28" s="1353">
        <f t="shared" ref="Z28:Z40" si="15">Q28</f>
        <v>111</v>
      </c>
      <c r="AA28" s="1350">
        <f t="shared" si="3"/>
        <v>1</v>
      </c>
      <c r="AB28" s="1350">
        <f t="shared" si="4"/>
        <v>1</v>
      </c>
      <c r="AC28" s="1350">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944" t="s">
        <v>1691</v>
      </c>
      <c r="Q29" s="1349" t="str">
        <f t="shared" si="11"/>
        <v>建筑类型</v>
      </c>
      <c r="R29" s="705" t="s">
        <v>14</v>
      </c>
      <c r="S29" s="706">
        <f t="shared" si="12"/>
        <v>100</v>
      </c>
      <c r="T29" s="705" t="s">
        <v>14</v>
      </c>
      <c r="U29" s="706">
        <f t="shared" si="13"/>
        <v>100</v>
      </c>
      <c r="V29" s="705" t="s">
        <v>14</v>
      </c>
      <c r="W29" s="706">
        <f t="shared" si="14"/>
        <v>100</v>
      </c>
      <c r="X29" s="1352"/>
      <c r="Y29" s="3893" t="s">
        <v>1691</v>
      </c>
      <c r="Z29" s="1353" t="str">
        <f t="shared" si="15"/>
        <v>建筑类型</v>
      </c>
      <c r="AA29" s="1350">
        <f t="shared" si="3"/>
        <v>1</v>
      </c>
      <c r="AB29" s="1350">
        <f t="shared" si="4"/>
        <v>1</v>
      </c>
      <c r="AC29" s="1350">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893"/>
      <c r="Q30" s="707" t="str">
        <f t="shared" si="11"/>
        <v>项目建筑规模</v>
      </c>
      <c r="R30" s="708" t="s">
        <v>14</v>
      </c>
      <c r="S30" s="709" t="e">
        <f t="shared" si="12"/>
        <v>#N/A</v>
      </c>
      <c r="T30" s="708" t="s">
        <v>14</v>
      </c>
      <c r="U30" s="709" t="e">
        <f t="shared" si="13"/>
        <v>#N/A</v>
      </c>
      <c r="V30" s="708" t="s">
        <v>14</v>
      </c>
      <c r="W30" s="709" t="e">
        <f t="shared" si="14"/>
        <v>#N/A</v>
      </c>
      <c r="X30" s="710"/>
      <c r="Y30" s="3893"/>
      <c r="Z30" s="711" t="str">
        <f t="shared" si="15"/>
        <v>项目建筑规模</v>
      </c>
      <c r="AA30" s="1350" t="e">
        <f t="shared" si="3"/>
        <v>#N/A</v>
      </c>
      <c r="AB30" s="1350" t="e">
        <f t="shared" si="4"/>
        <v>#N/A</v>
      </c>
      <c r="AC30" s="1350"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893"/>
      <c r="Q31" s="1349" t="str">
        <f t="shared" si="11"/>
        <v>建筑结构</v>
      </c>
      <c r="R31" s="705" t="s">
        <v>14</v>
      </c>
      <c r="S31" s="706">
        <f t="shared" si="12"/>
        <v>100</v>
      </c>
      <c r="T31" s="705" t="s">
        <v>14</v>
      </c>
      <c r="U31" s="706">
        <f t="shared" si="13"/>
        <v>100</v>
      </c>
      <c r="V31" s="705" t="s">
        <v>14</v>
      </c>
      <c r="W31" s="706">
        <f t="shared" si="14"/>
        <v>100</v>
      </c>
      <c r="X31" s="1352"/>
      <c r="Y31" s="3893"/>
      <c r="Z31" s="1353" t="str">
        <f t="shared" si="15"/>
        <v>建筑结构</v>
      </c>
      <c r="AA31" s="1350">
        <f t="shared" si="3"/>
        <v>1</v>
      </c>
      <c r="AB31" s="1350">
        <f t="shared" si="4"/>
        <v>1</v>
      </c>
      <c r="AC31" s="1350">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893"/>
      <c r="Q32" s="1349" t="str">
        <f t="shared" si="11"/>
        <v>公共部分装修</v>
      </c>
      <c r="R32" s="705" t="s">
        <v>14</v>
      </c>
      <c r="S32" s="706">
        <f t="shared" si="12"/>
        <v>100</v>
      </c>
      <c r="T32" s="705" t="s">
        <v>14</v>
      </c>
      <c r="U32" s="706">
        <f t="shared" si="13"/>
        <v>100</v>
      </c>
      <c r="V32" s="705" t="s">
        <v>14</v>
      </c>
      <c r="W32" s="706">
        <f t="shared" si="14"/>
        <v>100</v>
      </c>
      <c r="X32" s="1352"/>
      <c r="Y32" s="3893"/>
      <c r="Z32" s="1353" t="str">
        <f t="shared" si="15"/>
        <v>公共部分装修</v>
      </c>
      <c r="AA32" s="1350">
        <f t="shared" si="3"/>
        <v>1</v>
      </c>
      <c r="AB32" s="1350">
        <f t="shared" si="4"/>
        <v>1</v>
      </c>
      <c r="AC32" s="1350">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893"/>
      <c r="Q33" s="1349" t="str">
        <f t="shared" si="11"/>
        <v>成新度</v>
      </c>
      <c r="R33" s="705" t="s">
        <v>14</v>
      </c>
      <c r="S33" s="706" t="e">
        <f t="shared" si="12"/>
        <v>#N/A</v>
      </c>
      <c r="T33" s="705" t="s">
        <v>14</v>
      </c>
      <c r="U33" s="706" t="e">
        <f t="shared" si="13"/>
        <v>#N/A</v>
      </c>
      <c r="V33" s="705" t="s">
        <v>14</v>
      </c>
      <c r="W33" s="706" t="e">
        <f t="shared" si="14"/>
        <v>#N/A</v>
      </c>
      <c r="X33" s="1352"/>
      <c r="Y33" s="3893"/>
      <c r="Z33" s="1353" t="str">
        <f t="shared" si="15"/>
        <v>成新度</v>
      </c>
      <c r="AA33" s="1350" t="e">
        <f t="shared" si="3"/>
        <v>#N/A</v>
      </c>
      <c r="AB33" s="1350" t="e">
        <f t="shared" si="4"/>
        <v>#N/A</v>
      </c>
      <c r="AC33" s="1350"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893"/>
      <c r="Q34" s="1340" t="str">
        <f t="shared" si="11"/>
        <v>物业管理</v>
      </c>
      <c r="R34" s="701" t="s">
        <v>14</v>
      </c>
      <c r="S34" s="702">
        <f t="shared" si="12"/>
        <v>100</v>
      </c>
      <c r="T34" s="701" t="s">
        <v>14</v>
      </c>
      <c r="U34" s="702">
        <f t="shared" si="13"/>
        <v>100</v>
      </c>
      <c r="V34" s="701" t="s">
        <v>14</v>
      </c>
      <c r="W34" s="702">
        <f t="shared" si="14"/>
        <v>100</v>
      </c>
      <c r="X34" s="703"/>
      <c r="Y34" s="3893"/>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893" t="s">
        <v>1691</v>
      </c>
      <c r="Q35" s="1349" t="str">
        <f t="shared" si="11"/>
        <v>市政基础设施</v>
      </c>
      <c r="R35" s="705" t="s">
        <v>14</v>
      </c>
      <c r="S35" s="706">
        <f t="shared" si="12"/>
        <v>100</v>
      </c>
      <c r="T35" s="705" t="s">
        <v>14</v>
      </c>
      <c r="U35" s="706">
        <f t="shared" si="13"/>
        <v>100</v>
      </c>
      <c r="V35" s="705" t="s">
        <v>14</v>
      </c>
      <c r="W35" s="706">
        <f t="shared" si="14"/>
        <v>100</v>
      </c>
      <c r="X35" s="1352"/>
      <c r="Y35" s="3893" t="s">
        <v>1691</v>
      </c>
      <c r="Z35" s="1353" t="str">
        <f t="shared" si="15"/>
        <v>市政基础设施</v>
      </c>
      <c r="AA35" s="1350">
        <f t="shared" si="3"/>
        <v>1</v>
      </c>
      <c r="AB35" s="1350">
        <f t="shared" si="4"/>
        <v>1</v>
      </c>
      <c r="AC35" s="1350">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893"/>
      <c r="Q36" s="1349" t="str">
        <f t="shared" si="11"/>
        <v>内部装修</v>
      </c>
      <c r="R36" s="705" t="s">
        <v>14</v>
      </c>
      <c r="S36" s="706">
        <f t="shared" si="12"/>
        <v>100</v>
      </c>
      <c r="T36" s="705" t="s">
        <v>14</v>
      </c>
      <c r="U36" s="706">
        <f t="shared" si="13"/>
        <v>100</v>
      </c>
      <c r="V36" s="705" t="s">
        <v>14</v>
      </c>
      <c r="W36" s="706">
        <f t="shared" si="14"/>
        <v>100</v>
      </c>
      <c r="X36" s="1352"/>
      <c r="Y36" s="3893"/>
      <c r="Z36" s="1353" t="str">
        <f t="shared" si="15"/>
        <v>内部装修</v>
      </c>
      <c r="AA36" s="1350">
        <f t="shared" si="3"/>
        <v>1</v>
      </c>
      <c r="AB36" s="1350">
        <f t="shared" si="4"/>
        <v>1</v>
      </c>
      <c r="AC36" s="1350">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893"/>
      <c r="Q37" s="1349" t="str">
        <f t="shared" si="11"/>
        <v>内部装修状况</v>
      </c>
      <c r="R37" s="705" t="s">
        <v>14</v>
      </c>
      <c r="S37" s="706">
        <f t="shared" si="12"/>
        <v>100</v>
      </c>
      <c r="T37" s="705" t="s">
        <v>14</v>
      </c>
      <c r="U37" s="706">
        <f t="shared" si="13"/>
        <v>100</v>
      </c>
      <c r="V37" s="705" t="s">
        <v>14</v>
      </c>
      <c r="W37" s="706">
        <f t="shared" si="14"/>
        <v>100</v>
      </c>
      <c r="X37" s="1352"/>
      <c r="Y37" s="3893"/>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893"/>
      <c r="Q38" s="707">
        <f t="shared" si="11"/>
        <v>111</v>
      </c>
      <c r="R38" s="708" t="s">
        <v>14</v>
      </c>
      <c r="S38" s="709">
        <f t="shared" si="12"/>
        <v>100</v>
      </c>
      <c r="T38" s="708" t="s">
        <v>14</v>
      </c>
      <c r="U38" s="709">
        <f t="shared" si="13"/>
        <v>100</v>
      </c>
      <c r="V38" s="708" t="s">
        <v>14</v>
      </c>
      <c r="W38" s="709">
        <f t="shared" si="14"/>
        <v>100</v>
      </c>
      <c r="X38" s="710"/>
      <c r="Y38" s="3893"/>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893"/>
      <c r="Q39" s="1349">
        <f t="shared" si="11"/>
        <v>111</v>
      </c>
      <c r="R39" s="705" t="s">
        <v>14</v>
      </c>
      <c r="S39" s="706">
        <f t="shared" si="12"/>
        <v>100</v>
      </c>
      <c r="T39" s="705" t="s">
        <v>14</v>
      </c>
      <c r="U39" s="706">
        <f t="shared" si="13"/>
        <v>100</v>
      </c>
      <c r="V39" s="705" t="s">
        <v>14</v>
      </c>
      <c r="W39" s="706">
        <f t="shared" si="14"/>
        <v>100</v>
      </c>
      <c r="X39" s="1352"/>
      <c r="Y39" s="389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894"/>
      <c r="Q40" s="1349">
        <f t="shared" si="11"/>
        <v>111</v>
      </c>
      <c r="R40" s="705" t="s">
        <v>14</v>
      </c>
      <c r="S40" s="706">
        <f t="shared" si="12"/>
        <v>100</v>
      </c>
      <c r="T40" s="705" t="s">
        <v>14</v>
      </c>
      <c r="U40" s="706">
        <f t="shared" si="13"/>
        <v>100</v>
      </c>
      <c r="V40" s="705" t="s">
        <v>14</v>
      </c>
      <c r="W40" s="706">
        <f t="shared" si="14"/>
        <v>100</v>
      </c>
      <c r="X40" s="1352"/>
      <c r="Y40" s="3894"/>
      <c r="Z40" s="1353">
        <f t="shared" si="15"/>
        <v>111</v>
      </c>
      <c r="AA40" s="1350">
        <f t="shared" si="3"/>
        <v>1</v>
      </c>
      <c r="AB40" s="1350">
        <f t="shared" si="4"/>
        <v>1</v>
      </c>
      <c r="AC40" s="1350">
        <f t="shared" si="5"/>
        <v>1</v>
      </c>
    </row>
    <row r="41" spans="1:29" ht="15">
      <c r="A41" s="430" t="s">
        <v>1703</v>
      </c>
      <c r="B41" s="431"/>
      <c r="C41" s="1151" t="s">
        <v>0</v>
      </c>
      <c r="D41" s="1152"/>
      <c r="E41" s="1153"/>
      <c r="F41" s="1154"/>
      <c r="G41" s="1155"/>
      <c r="H41" s="1156"/>
      <c r="I41" s="1153"/>
      <c r="J41" s="1156"/>
      <c r="K41" s="714"/>
      <c r="L41" s="923"/>
      <c r="M41" s="924"/>
      <c r="N41" s="911"/>
      <c r="O41" s="924"/>
      <c r="P41" s="3886" t="str">
        <f>A41</f>
        <v>成交单价（元/平方米）</v>
      </c>
      <c r="Q41" s="3886"/>
      <c r="R41" s="3887">
        <f>E41</f>
        <v>0</v>
      </c>
      <c r="S41" s="3887"/>
      <c r="T41" s="3887">
        <f>G41</f>
        <v>0</v>
      </c>
      <c r="U41" s="3887"/>
      <c r="V41" s="3887">
        <f>I41</f>
        <v>0</v>
      </c>
      <c r="W41" s="3887"/>
      <c r="X41" s="690"/>
      <c r="Y41" s="712"/>
      <c r="Z41" s="690"/>
      <c r="AA41" s="690"/>
      <c r="AB41" s="690"/>
      <c r="AC41" s="690"/>
    </row>
    <row r="42" spans="1:29" ht="15.75" thickBot="1">
      <c r="A42" s="437" t="s">
        <v>1788</v>
      </c>
      <c r="B42" s="438"/>
      <c r="C42" s="1157" t="e">
        <f>R43</f>
        <v>#DIV/0!</v>
      </c>
      <c r="D42" s="2314" t="s">
        <v>2133</v>
      </c>
      <c r="E42" s="1158" t="e">
        <f>R42</f>
        <v>#DIV/0!</v>
      </c>
      <c r="F42" s="2315"/>
      <c r="G42" s="1157" t="e">
        <f>T42</f>
        <v>#DIV/0!</v>
      </c>
      <c r="H42" s="2315"/>
      <c r="I42" s="1158" t="e">
        <f>V42</f>
        <v>#DIV/0!</v>
      </c>
      <c r="J42" s="2315"/>
      <c r="K42" s="2317">
        <f>F42+H42+J42</f>
        <v>0</v>
      </c>
      <c r="L42" s="923"/>
      <c r="M42" s="924"/>
      <c r="N42" s="911"/>
      <c r="O42" s="924"/>
      <c r="P42" s="3886" t="str">
        <f>A42</f>
        <v>比较价值（元/平方米）</v>
      </c>
      <c r="Q42" s="3886"/>
      <c r="R42" s="3887" t="e">
        <f>IF(F1="售价",ROUND(PRODUCT(R41,AA7:AA40),0),ROUND(PRODUCT(R41,AA7:AA40),1))</f>
        <v>#DIV/0!</v>
      </c>
      <c r="S42" s="3887"/>
      <c r="T42" s="3887" t="e">
        <f>IF(F1="售价",ROUND(PRODUCT(T41,AB7:AB40),0),ROUND(PRODUCT(T41,AB7:AB40),1))</f>
        <v>#DIV/0!</v>
      </c>
      <c r="U42" s="3887"/>
      <c r="V42" s="3887" t="e">
        <f>IF(F1="售价",ROUND(PRODUCT(V41,AC7:AC40),0),ROUND(PRODUCT(V41,AC7:AC40),1))</f>
        <v>#DIV/0!</v>
      </c>
      <c r="W42" s="3887"/>
      <c r="X42" s="690"/>
      <c r="Y42" s="690"/>
      <c r="Z42" s="690"/>
      <c r="AA42" s="690"/>
      <c r="AB42" s="690"/>
      <c r="AC42" s="690"/>
    </row>
    <row r="43" spans="1:29" ht="15.75" thickBot="1">
      <c r="A43" s="441" t="s">
        <v>1789</v>
      </c>
      <c r="B43" s="442"/>
      <c r="C43" s="1160" t="e">
        <f>R43</f>
        <v>#DIV/0!</v>
      </c>
      <c r="D43" s="1160"/>
      <c r="E43" s="1160"/>
      <c r="F43" s="1160"/>
      <c r="G43" s="1160"/>
      <c r="H43" s="1160"/>
      <c r="I43" s="1160"/>
      <c r="J43" s="1160"/>
      <c r="K43" s="715"/>
      <c r="L43" s="923"/>
      <c r="M43" s="924"/>
      <c r="N43" s="924"/>
      <c r="O43" s="924"/>
      <c r="P43" s="3883" t="str">
        <f>A43</f>
        <v>估价对象XX用房的比较价值（楼面单价，元/平方米）</v>
      </c>
      <c r="Q43" s="3884"/>
      <c r="R43" s="3885" t="e">
        <f>IF(F1="售价",ROUND(IF(D42="简单平均",AVERAGE(R42:V42),R42*F42+T42*H42+V42*J42),0),ROUND(IF(D42="简单平均",AVERAGE(R42:V42),R42*F42+T42*H42+V42*J42),1))</f>
        <v>#DIV/0!</v>
      </c>
      <c r="S43" s="3885"/>
      <c r="T43" s="3885"/>
      <c r="U43" s="3885"/>
      <c r="V43" s="3885"/>
      <c r="W43" s="3885"/>
      <c r="X43" s="690"/>
      <c r="Y43" s="690"/>
      <c r="Z43" s="690"/>
      <c r="AA43" s="690"/>
      <c r="AB43" s="690"/>
      <c r="AC43" s="690"/>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4" t="s">
        <v>1793</v>
      </c>
      <c r="B51" s="690"/>
      <c r="C51" s="695"/>
      <c r="D51" s="695"/>
      <c r="E51" s="695"/>
      <c r="F51" s="696"/>
      <c r="G51" s="696"/>
      <c r="H51" s="695"/>
      <c r="I51" s="695"/>
      <c r="J51" s="695"/>
      <c r="K51" s="938"/>
      <c r="L51" s="939"/>
      <c r="M51" s="937"/>
      <c r="N51" s="937"/>
      <c r="O51" s="937"/>
      <c r="P51" s="452"/>
      <c r="Q51" s="453"/>
    </row>
    <row r="52" spans="1:17" s="457" customFormat="1" ht="15">
      <c r="A52" s="454" t="s">
        <v>1674</v>
      </c>
      <c r="B52" s="455"/>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1714</v>
      </c>
      <c r="B57" s="477" t="s">
        <v>1680</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1683</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1689</v>
      </c>
      <c r="B88" s="477" t="s">
        <v>1731</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1733</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1735</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1736</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1737</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1739</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t="s">
        <v>3662</v>
      </c>
      <c r="C1" s="198"/>
      <c r="D1" s="198"/>
      <c r="E1" s="198"/>
      <c r="F1" s="198"/>
      <c r="G1" s="1123" t="e">
        <f>MATCH(B1,'数据-取费表'!A6:A16,0)+5</f>
        <v>#N/A</v>
      </c>
    </row>
    <row r="2" spans="1:9" s="200" customFormat="1" ht="18" customHeight="1">
      <c r="A2" s="201" t="s">
        <v>1457</v>
      </c>
      <c r="B2" s="202" t="e">
        <f ca="1">IF(D2="——",C52,C52-E2)</f>
        <v>#N/A</v>
      </c>
      <c r="C2" s="199" t="s">
        <v>1458</v>
      </c>
      <c r="D2" s="1850" t="s">
        <v>43</v>
      </c>
      <c r="E2" s="1166" t="e">
        <f ca="1">SUMIF(INDIRECT("'"&amp;G2&amp;"'"&amp;"!A:A"),"承租人权益价值",INDIRECT("'"&amp;G2&amp;"'"&amp;"!c:c"))</f>
        <v>#REF!</v>
      </c>
      <c r="F2" s="1851" t="s">
        <v>1458</v>
      </c>
      <c r="G2" s="1852"/>
    </row>
    <row r="3" spans="1:9" s="200" customFormat="1" ht="18" customHeight="1" thickBot="1">
      <c r="A3" s="203" t="s">
        <v>684</v>
      </c>
      <c r="B3" s="204" t="e">
        <f ca="1">ROUND(B2*10000/(IF(B1="",'数据-汇总表'!E3,INDIRECT("'数据-取费表'!k"&amp;$G$1))),0)</f>
        <v>#N/A</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t="e">
        <f ca="1">C6+C7+C8</f>
        <v>#N/A</v>
      </c>
      <c r="D5" s="211" t="s">
        <v>1464</v>
      </c>
      <c r="E5" s="212" t="s">
        <v>1465</v>
      </c>
      <c r="F5" s="212" t="s">
        <v>1466</v>
      </c>
      <c r="G5" s="213"/>
    </row>
    <row r="6" spans="1:9" s="214" customFormat="1" ht="13.5" customHeight="1">
      <c r="A6" s="775" t="s">
        <v>1467</v>
      </c>
      <c r="B6" s="215" t="s">
        <v>1468</v>
      </c>
      <c r="C6" s="216">
        <f>'基准地价修-车位'!E42</f>
        <v>706</v>
      </c>
      <c r="D6" s="217"/>
      <c r="E6" s="218"/>
      <c r="F6" s="218"/>
      <c r="G6" s="219"/>
    </row>
    <row r="7" spans="1:9" s="214" customFormat="1" ht="13.5" customHeight="1">
      <c r="A7" s="775" t="s">
        <v>1469</v>
      </c>
      <c r="B7" s="215" t="s">
        <v>1470</v>
      </c>
      <c r="C7" s="220">
        <f>ROUND(C6*F7,0)</f>
        <v>22</v>
      </c>
      <c r="D7" s="220"/>
      <c r="E7" s="218"/>
      <c r="F7" s="221">
        <f>IF(项目基本情况!B8="出让",0,'数据-取费表'!B48+'数据-取费表'!B49)</f>
        <v>3.0499999999999999E-2</v>
      </c>
      <c r="G7" s="219"/>
    </row>
    <row r="8" spans="1:9" s="223" customFormat="1">
      <c r="A8" s="775" t="s">
        <v>348</v>
      </c>
      <c r="B8" s="215" t="s">
        <v>1472</v>
      </c>
      <c r="C8" s="220" t="e">
        <f ca="1">IF(G8="已包含在土地购买价格中","0",IF(B1="",'数据-取费表'!B29,IF(G9="全部缴纳",C9+C10,H9)))</f>
        <v>#N/A</v>
      </c>
      <c r="D8" s="222"/>
      <c r="E8" s="220"/>
      <c r="F8" s="221"/>
      <c r="G8" s="1853" t="s">
        <v>3679</v>
      </c>
    </row>
    <row r="9" spans="1:9" s="214" customFormat="1" ht="13.5" customHeight="1">
      <c r="A9" s="776" t="s">
        <v>355</v>
      </c>
      <c r="B9" s="224" t="s">
        <v>1473</v>
      </c>
      <c r="C9" s="225" t="e">
        <f ca="1">ROUND(D9*E9/10000,0)</f>
        <v>#N/A</v>
      </c>
      <c r="D9" s="842" t="e">
        <f ca="1">IF(B1="",'数据-汇总表'!E5,IF(INDIRECT("'数据-取费表'!c"&amp;$G$1)="住宅",INDIRECT("'数据-取费表'!k"&amp;$G$1),0))</f>
        <v>#N/A</v>
      </c>
      <c r="E9" s="225">
        <f>'数据-取费表'!B27</f>
        <v>160</v>
      </c>
      <c r="F9" s="221"/>
      <c r="G9" s="1854" t="s">
        <v>3680</v>
      </c>
      <c r="H9" s="1134"/>
      <c r="I9" s="1855" t="s">
        <v>1474</v>
      </c>
    </row>
    <row r="10" spans="1:9" s="214" customFormat="1" ht="13.5" customHeight="1">
      <c r="A10" s="776" t="s">
        <v>356</v>
      </c>
      <c r="B10" s="224" t="s">
        <v>1475</v>
      </c>
      <c r="C10" s="225" t="e">
        <f ca="1">ROUND(D10*E10/10000,0)</f>
        <v>#N/A</v>
      </c>
      <c r="D10" s="842"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1476</v>
      </c>
      <c r="C11" s="211"/>
      <c r="D11" s="844"/>
      <c r="E11" s="218"/>
      <c r="F11" s="218"/>
      <c r="G11" s="219"/>
    </row>
    <row r="12" spans="1:9" s="214" customFormat="1" ht="13.5" hidden="1" customHeight="1">
      <c r="A12" s="227" t="s">
        <v>5</v>
      </c>
      <c r="B12" s="215" t="s">
        <v>1477</v>
      </c>
      <c r="C12" s="211">
        <v>0</v>
      </c>
      <c r="D12" s="844"/>
      <c r="E12" s="228"/>
      <c r="F12" s="221">
        <v>3.0499999999999999E-2</v>
      </c>
      <c r="G12" s="219"/>
    </row>
    <row r="13" spans="1:9" s="214" customFormat="1" ht="13.5" hidden="1" customHeight="1">
      <c r="A13" s="227" t="s">
        <v>6</v>
      </c>
      <c r="B13" s="215" t="s">
        <v>1478</v>
      </c>
      <c r="C13" s="211"/>
      <c r="D13" s="844"/>
      <c r="E13" s="218"/>
      <c r="F13" s="218"/>
      <c r="G13" s="219"/>
    </row>
    <row r="14" spans="1:9" s="214" customFormat="1" ht="13.5" hidden="1" customHeight="1">
      <c r="A14" s="227" t="s">
        <v>7</v>
      </c>
      <c r="B14" s="215" t="s">
        <v>1479</v>
      </c>
      <c r="C14" s="211"/>
      <c r="D14" s="844"/>
      <c r="E14" s="218"/>
      <c r="F14" s="218"/>
      <c r="G14" s="219" t="s">
        <v>1480</v>
      </c>
    </row>
    <row r="15" spans="1:9" s="214" customFormat="1" ht="13.5" hidden="1" customHeight="1">
      <c r="A15" s="227" t="s">
        <v>8</v>
      </c>
      <c r="B15" s="215" t="s">
        <v>1481</v>
      </c>
      <c r="C15" s="220"/>
      <c r="D15" s="844"/>
      <c r="E15" s="218"/>
      <c r="F15" s="218"/>
      <c r="G15" s="219" t="s">
        <v>1482</v>
      </c>
    </row>
    <row r="16" spans="1:9" s="214" customFormat="1" ht="13.5" hidden="1" customHeight="1">
      <c r="A16" s="227" t="s">
        <v>9</v>
      </c>
      <c r="B16" s="215" t="s">
        <v>1479</v>
      </c>
      <c r="C16" s="220"/>
      <c r="D16" s="844"/>
      <c r="E16" s="218"/>
      <c r="F16" s="218"/>
      <c r="G16" s="219"/>
    </row>
    <row r="17" spans="1:7" s="214" customFormat="1" ht="13.5" hidden="1" customHeight="1">
      <c r="A17" s="227" t="s">
        <v>10</v>
      </c>
      <c r="B17" s="215" t="s">
        <v>1483</v>
      </c>
      <c r="C17" s="229"/>
      <c r="D17" s="845"/>
      <c r="E17" s="229"/>
      <c r="F17" s="229"/>
      <c r="G17" s="219" t="s">
        <v>1482</v>
      </c>
    </row>
    <row r="18" spans="1:7" s="214" customFormat="1" ht="13.5" hidden="1" customHeight="1">
      <c r="A18" s="227" t="s">
        <v>11</v>
      </c>
      <c r="B18" s="215" t="s">
        <v>1484</v>
      </c>
      <c r="C18" s="220">
        <v>0</v>
      </c>
      <c r="D18" s="844"/>
      <c r="E18" s="218"/>
      <c r="F18" s="221">
        <v>3.0499999999999999E-2</v>
      </c>
      <c r="G18" s="219" t="s">
        <v>1485</v>
      </c>
    </row>
    <row r="19" spans="1:7" s="223" customFormat="1" ht="13.5" customHeight="1">
      <c r="A19" s="255" t="s">
        <v>1486</v>
      </c>
      <c r="B19" s="210" t="s">
        <v>1487</v>
      </c>
      <c r="C19" s="211" t="str">
        <f>IF(G19="已包含在土地取得成本中","0",ROUND(D19*E19/10000,0))</f>
        <v>0</v>
      </c>
      <c r="D19" s="846" t="e">
        <f ca="1">D9+D10</f>
        <v>#N/A</v>
      </c>
      <c r="E19" s="211">
        <f>'数据-取费表'!B31</f>
        <v>200</v>
      </c>
      <c r="F19" s="231"/>
      <c r="G19" s="1853" t="s">
        <v>3681</v>
      </c>
    </row>
    <row r="20" spans="1:7" s="214" customFormat="1" ht="13.5" customHeight="1">
      <c r="A20" s="255" t="s">
        <v>1488</v>
      </c>
      <c r="B20" s="210" t="s">
        <v>1489</v>
      </c>
      <c r="C20" s="232" t="e">
        <f ca="1">ROUND((C5+C19)*F20,0)</f>
        <v>#N/A</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1" t="e">
        <f ca="1">ROUND(SUM(C23:C25),0)</f>
        <v>#N/A</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7" t="s">
        <v>1497</v>
      </c>
      <c r="B23" s="215" t="s">
        <v>1498</v>
      </c>
      <c r="C23" s="1102" t="e">
        <f ca="1">ROUND(IF('数据-取费表'!B22&lt;=1,C5*F22*'数据-取费表'!B23,C5*(POWER((1+F22),'数据-取费表'!B23)-1)),0)</f>
        <v>#N/A</v>
      </c>
      <c r="D23" s="238"/>
      <c r="E23" s="238"/>
      <c r="F23" s="239"/>
      <c r="G23" s="240" t="s">
        <v>1499</v>
      </c>
    </row>
    <row r="24" spans="1:7" s="214" customFormat="1" ht="13.5" customHeight="1">
      <c r="A24" s="777" t="s">
        <v>1500</v>
      </c>
      <c r="B24" s="215" t="s">
        <v>1501</v>
      </c>
      <c r="C24" s="1102">
        <f ca="1">ROUND(IF('数据-取费表'!B22&lt;=1,C19*F22*('数据-取费表'!B19/2+'数据-取费表'!B21),C19*(POWER((1+F22),('数据-取费表'!B19/2+'数据-取费表'!B21))-1)),0)</f>
        <v>0</v>
      </c>
      <c r="D24" s="238"/>
      <c r="E24" s="238"/>
      <c r="F24" s="239"/>
      <c r="G24" s="240" t="s">
        <v>1502</v>
      </c>
    </row>
    <row r="25" spans="1:7" s="214" customFormat="1" ht="24">
      <c r="A25" s="777" t="s">
        <v>348</v>
      </c>
      <c r="B25" s="215" t="s">
        <v>1504</v>
      </c>
      <c r="C25" s="1102" t="e">
        <f ca="1">ROUND(IF('数据-取费表'!B22&lt;=1,C20*F22*'数据-取费表'!B23/2,C20*(POWER((1+F22),'数据-取费表'!B23/2)-1)),0)</f>
        <v>#N/A</v>
      </c>
      <c r="D25" s="238"/>
      <c r="E25" s="241"/>
      <c r="F25" s="239"/>
      <c r="G25" s="242" t="s">
        <v>1505</v>
      </c>
    </row>
    <row r="26" spans="1:7" s="214" customFormat="1">
      <c r="A26" s="777" t="s">
        <v>350</v>
      </c>
      <c r="B26" s="215" t="s">
        <v>1506</v>
      </c>
      <c r="C26" s="238">
        <f ca="1">ROUND(IF('数据-取费表'!B22&lt;=1,F21*F22*'数据-取费表'!B23/2,F21*(POWER((1+F22),'数据-取费表'!B23/2)-1)),4)</f>
        <v>1.6000000000000001E-3</v>
      </c>
      <c r="D26" s="238"/>
      <c r="E26" s="241"/>
      <c r="F26" s="239"/>
      <c r="G26" s="243"/>
    </row>
    <row r="27" spans="1:7" s="214" customFormat="1" ht="24.75">
      <c r="A27" s="255" t="s">
        <v>1507</v>
      </c>
      <c r="B27" s="244" t="s">
        <v>1508</v>
      </c>
      <c r="C27" s="245" t="e">
        <f ca="1">C28</f>
        <v>#N/A</v>
      </c>
      <c r="D27" s="235" t="e">
        <f ca="1">C29</f>
        <v>#N/A</v>
      </c>
      <c r="E27" s="236" t="s">
        <v>1493</v>
      </c>
      <c r="F27" s="246" t="e">
        <f ca="1">IF(B1="",'数据-取费表'!Q16,INDIRECT("'数据-取费表'!q"&amp;$G$1))</f>
        <v>#N/A</v>
      </c>
      <c r="G27" s="247" t="s">
        <v>1510</v>
      </c>
    </row>
    <row r="28" spans="1:7" s="214" customFormat="1" ht="13.5" customHeight="1">
      <c r="A28" s="777" t="s">
        <v>346</v>
      </c>
      <c r="B28" s="248" t="s">
        <v>1511</v>
      </c>
      <c r="C28" s="249" t="e">
        <f ca="1">ROUND((C5+C19+C20)*F27*'数据-取费表'!B21/'数据-取费表'!B20,0)</f>
        <v>#N/A</v>
      </c>
      <c r="D28" s="235"/>
      <c r="E28" s="236"/>
      <c r="F28" s="246"/>
      <c r="G28" s="247"/>
    </row>
    <row r="29" spans="1:7" s="214" customFormat="1" ht="13.5" customHeight="1">
      <c r="A29" s="777" t="s">
        <v>347</v>
      </c>
      <c r="B29" s="248" t="s">
        <v>1512</v>
      </c>
      <c r="C29" s="238" t="e">
        <f ca="1">ROUND(C21*F27*'数据-取费表'!B21/'数据-取费表'!B20,4)</f>
        <v>#N/A</v>
      </c>
      <c r="D29" s="235"/>
      <c r="E29" s="236"/>
      <c r="F29" s="246"/>
      <c r="G29" s="247"/>
    </row>
    <row r="30" spans="1:7" s="214" customFormat="1" ht="13.5" customHeight="1">
      <c r="A30" s="255" t="s">
        <v>1513</v>
      </c>
      <c r="B30" s="210" t="s">
        <v>1514</v>
      </c>
      <c r="C30" s="235">
        <f>ROUND(F30/(1+'数据-取费表'!C42),4)</f>
        <v>5.33E-2</v>
      </c>
      <c r="D30" s="236" t="s">
        <v>1493</v>
      </c>
      <c r="E30" s="241"/>
      <c r="F30" s="237">
        <f>'数据-取费表'!B41</f>
        <v>5.6000000000000001E-2</v>
      </c>
      <c r="G30" s="234" t="s">
        <v>1515</v>
      </c>
    </row>
    <row r="31" spans="1:7" ht="16.5" customHeight="1">
      <c r="A31" s="209">
        <v>1</v>
      </c>
      <c r="B31" s="210" t="s">
        <v>1516</v>
      </c>
      <c r="C31" s="211" t="e">
        <f ca="1">ROUND((C5+C19+C20+C22+C27)/(1-C21-D22-D27-C30),0)</f>
        <v>#N/A</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t="e">
        <f ca="1">SUM(C34:C38)</f>
        <v>#N/A</v>
      </c>
      <c r="D33" s="232"/>
      <c r="E33" s="212"/>
      <c r="F33" s="241"/>
      <c r="G33" s="234"/>
    </row>
    <row r="34" spans="1:7" s="258" customFormat="1" ht="13.5" customHeight="1">
      <c r="A34" s="777" t="s">
        <v>346</v>
      </c>
      <c r="B34" s="215" t="s">
        <v>1520</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1521</v>
      </c>
    </row>
    <row r="35" spans="1:7" ht="13.5" customHeight="1">
      <c r="A35" s="777" t="s">
        <v>351</v>
      </c>
      <c r="B35" s="215" t="s">
        <v>1522</v>
      </c>
      <c r="C35" s="220" t="e">
        <f ca="1">ROUND(C34*F35,0)</f>
        <v>#N/A</v>
      </c>
      <c r="D35" s="220"/>
      <c r="E35" s="220"/>
      <c r="F35" s="259">
        <f>'数据-取费表'!B33</f>
        <v>0.05</v>
      </c>
      <c r="G35" s="219" t="s">
        <v>1523</v>
      </c>
    </row>
    <row r="36" spans="1:7" ht="24">
      <c r="A36" s="777" t="s">
        <v>352</v>
      </c>
      <c r="B36" s="215" t="s">
        <v>1524</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1525</v>
      </c>
    </row>
    <row r="37" spans="1:7" s="258" customFormat="1" ht="13.5" customHeight="1">
      <c r="A37" s="777" t="s">
        <v>353</v>
      </c>
      <c r="B37" s="215" t="s">
        <v>1526</v>
      </c>
      <c r="C37" s="249" t="e">
        <f ca="1">ROUND(E37*D37*F34/10000,0)</f>
        <v>#N/A</v>
      </c>
      <c r="D37" s="217" t="e">
        <f ca="1">D19</f>
        <v>#N/A</v>
      </c>
      <c r="E37" s="249">
        <f>'数据-取费表'!B35</f>
        <v>200</v>
      </c>
      <c r="F37" s="259"/>
      <c r="G37" s="261" t="s">
        <v>1527</v>
      </c>
    </row>
    <row r="38" spans="1:7" ht="13.5" customHeight="1">
      <c r="A38" s="777" t="s">
        <v>354</v>
      </c>
      <c r="B38" s="215" t="s">
        <v>1528</v>
      </c>
      <c r="C38" s="220" t="e">
        <f ca="1">ROUND(C34*F38,0)</f>
        <v>#N/A</v>
      </c>
      <c r="D38" s="220"/>
      <c r="E38" s="220"/>
      <c r="F38" s="259">
        <f>'数据-取费表'!B36</f>
        <v>1.4999999999999999E-2</v>
      </c>
      <c r="G38" s="219" t="s">
        <v>1523</v>
      </c>
    </row>
    <row r="39" spans="1:7" s="214" customFormat="1" ht="13.5" customHeight="1">
      <c r="A39" s="255" t="s">
        <v>1529</v>
      </c>
      <c r="B39" s="210" t="s">
        <v>1489</v>
      </c>
      <c r="C39" s="232" t="e">
        <f ca="1">ROUND(C33*F20,0)</f>
        <v>#N/A</v>
      </c>
      <c r="D39" s="232"/>
      <c r="E39" s="232"/>
      <c r="F39" s="233">
        <f>F20</f>
        <v>0.03</v>
      </c>
      <c r="G39" s="234" t="s">
        <v>1531</v>
      </c>
    </row>
    <row r="40" spans="1:7" s="214" customFormat="1" ht="13.5" customHeight="1">
      <c r="A40" s="255" t="s">
        <v>1532</v>
      </c>
      <c r="B40" s="210" t="s">
        <v>1533</v>
      </c>
      <c r="C40" s="1324">
        <f>F21</f>
        <v>0.03</v>
      </c>
      <c r="D40" s="236" t="s">
        <v>1534</v>
      </c>
      <c r="E40" s="232"/>
      <c r="F40" s="233">
        <f>F21</f>
        <v>0.03</v>
      </c>
      <c r="G40" s="234" t="s">
        <v>1535</v>
      </c>
    </row>
    <row r="41" spans="1:7" s="214" customFormat="1" ht="13.5" customHeight="1">
      <c r="A41" s="255" t="s">
        <v>1536</v>
      </c>
      <c r="B41" s="210" t="s">
        <v>1496</v>
      </c>
      <c r="C41" s="232" t="e">
        <f ca="1">ROUND(SUM(C42:C43),0)</f>
        <v>#N/A</v>
      </c>
      <c r="D41" s="235">
        <f ca="1">C44</f>
        <v>1.6000000000000001E-3</v>
      </c>
      <c r="E41" s="236" t="s">
        <v>1534</v>
      </c>
      <c r="F41" s="237">
        <f ca="1">F22</f>
        <v>3.4500000000000003E-2</v>
      </c>
      <c r="G41" s="234" t="str">
        <f>IF('数据-取费表'!B22&lt;=1,"单利计息","复利计息")</f>
        <v>复利计息</v>
      </c>
    </row>
    <row r="42" spans="1:7" ht="13.5" customHeight="1">
      <c r="A42" s="777" t="s">
        <v>346</v>
      </c>
      <c r="B42" s="215" t="s">
        <v>1538</v>
      </c>
      <c r="C42" s="238" t="e">
        <f ca="1">ROUND(IF('数据-取费表'!B22&lt;=1,C33*F22*'数据-取费表'!B21/2,C33*(POWER((1+F22),'数据-取费表'!B21/2)-1)),0)</f>
        <v>#N/A</v>
      </c>
      <c r="D42" s="238"/>
      <c r="E42" s="238"/>
      <c r="F42" s="239"/>
      <c r="G42" s="3854" t="s">
        <v>1539</v>
      </c>
    </row>
    <row r="43" spans="1:7" ht="13.5" customHeight="1">
      <c r="A43" s="777" t="s">
        <v>347</v>
      </c>
      <c r="B43" s="215" t="s">
        <v>1501</v>
      </c>
      <c r="C43" s="238" t="e">
        <f ca="1">ROUND(IF('数据-取费表'!B22&lt;=1,C39*F22*'数据-取费表'!B21/2,C39*(POWER((1+F22),'数据-取费表'!B21/2)-1)),0)</f>
        <v>#N/A</v>
      </c>
      <c r="D43" s="238"/>
      <c r="E43" s="238"/>
      <c r="F43" s="239"/>
      <c r="G43" s="3855"/>
    </row>
    <row r="44" spans="1:7" ht="13.5" customHeight="1">
      <c r="A44" s="777" t="s">
        <v>348</v>
      </c>
      <c r="B44" s="215" t="s">
        <v>1541</v>
      </c>
      <c r="C44" s="238">
        <f ca="1">ROUND(IF('数据-取费表'!B22&lt;=1,C40*F22*'数据-取费表'!B21/2,C40*(POWER((1+F22),'数据-取费表'!B21/2)-1)),4)</f>
        <v>1.6000000000000001E-3</v>
      </c>
      <c r="D44" s="238"/>
      <c r="E44" s="238"/>
      <c r="F44" s="239"/>
      <c r="G44" s="3856"/>
    </row>
    <row r="45" spans="1:7" s="214" customFormat="1" ht="13.5" customHeight="1">
      <c r="A45" s="255" t="s">
        <v>1542</v>
      </c>
      <c r="B45" s="244" t="s">
        <v>1508</v>
      </c>
      <c r="C45" s="245" t="e">
        <f ca="1">C46</f>
        <v>#N/A</v>
      </c>
      <c r="D45" s="235" t="e">
        <f ca="1">C47</f>
        <v>#N/A</v>
      </c>
      <c r="E45" s="236" t="s">
        <v>1534</v>
      </c>
      <c r="F45" s="246" t="e">
        <f ca="1">F27</f>
        <v>#N/A</v>
      </c>
      <c r="G45" s="247" t="s">
        <v>1543</v>
      </c>
    </row>
    <row r="46" spans="1:7" s="214" customFormat="1" ht="13.5" customHeight="1">
      <c r="A46" s="777" t="s">
        <v>346</v>
      </c>
      <c r="B46" s="248" t="s">
        <v>1544</v>
      </c>
      <c r="C46" s="249" t="e">
        <f ca="1">ROUND((C33+C39)*F27,0)</f>
        <v>#N/A</v>
      </c>
      <c r="D46" s="263"/>
      <c r="E46" s="236"/>
      <c r="F46" s="246"/>
      <c r="G46" s="247"/>
    </row>
    <row r="47" spans="1:7" s="214" customFormat="1" ht="13.5" customHeight="1">
      <c r="A47" s="777" t="s">
        <v>347</v>
      </c>
      <c r="B47" s="248" t="s">
        <v>1545</v>
      </c>
      <c r="C47" s="238" t="e">
        <f ca="1">ROUND(C40*F27,4)</f>
        <v>#N/A</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t="e">
        <f ca="1">ROUND((C33+C39+C41+C45)/(1-C40-D41-D45-C48),0)</f>
        <v>#N/A</v>
      </c>
      <c r="D49" s="232"/>
      <c r="E49" s="232"/>
      <c r="F49" s="264"/>
      <c r="G49" s="234" t="s">
        <v>1549</v>
      </c>
    </row>
    <row r="50" spans="1:7" s="258" customFormat="1" ht="24">
      <c r="A50" s="255" t="s">
        <v>1550</v>
      </c>
      <c r="B50" s="210" t="s">
        <v>1551</v>
      </c>
      <c r="C50" s="232"/>
      <c r="D50" s="232"/>
      <c r="E50" s="232"/>
      <c r="F50" s="264">
        <f>IF('数据-取费表'!B24=0,'数据-取费表'!N16,1)</f>
        <v>0.88</v>
      </c>
      <c r="G50" s="247" t="s">
        <v>1552</v>
      </c>
    </row>
    <row r="51" spans="1:7" ht="16.5" customHeight="1">
      <c r="A51" s="255" t="s">
        <v>1553</v>
      </c>
      <c r="B51" s="210" t="s">
        <v>1554</v>
      </c>
      <c r="C51" s="232" t="e">
        <f ca="1">ROUND(C49*F50,0)</f>
        <v>#N/A</v>
      </c>
      <c r="D51" s="232"/>
      <c r="E51" s="232"/>
      <c r="F51" s="264"/>
      <c r="G51" s="234" t="s">
        <v>1555</v>
      </c>
    </row>
    <row r="52" spans="1:7" s="208" customFormat="1" ht="16.5" thickBot="1">
      <c r="A52" s="265" t="s">
        <v>1556</v>
      </c>
      <c r="B52" s="266"/>
      <c r="C52" s="267" t="e">
        <f ca="1">C31+C51</f>
        <v>#N/A</v>
      </c>
      <c r="D52" s="266"/>
      <c r="E52" s="266"/>
      <c r="F52" s="266"/>
      <c r="G52" s="268"/>
    </row>
    <row r="55" spans="1:7" ht="15">
      <c r="B55" s="270" t="s">
        <v>1557</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I24" sqref="I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1921</v>
      </c>
      <c r="B1" s="197"/>
      <c r="C1" s="201" t="s">
        <v>1922</v>
      </c>
      <c r="D1" s="342">
        <f>SUM(D33:D34,D37:D42)</f>
        <v>3127.15</v>
      </c>
      <c r="E1" s="1992"/>
      <c r="F1" s="1992"/>
      <c r="G1" s="1992"/>
      <c r="H1" s="1992"/>
      <c r="I1" s="1992"/>
      <c r="J1" s="1992"/>
      <c r="K1" s="1116"/>
      <c r="L1" s="1993" t="s">
        <v>1923</v>
      </c>
      <c r="M1" s="860">
        <f>SUMPRODUCT((区片价!B5:B9=I2)*(区片价!C3:G3=E2)*(区片价!C5:G9))</f>
        <v>0</v>
      </c>
      <c r="N1" s="863">
        <f>SUMPRODUCT((因素修正幅度!B5:B9=I2)*(因素修正幅度!C3:G3=E2)*(因素修正幅度!C5:G9))</f>
        <v>0</v>
      </c>
      <c r="O1" s="1994"/>
      <c r="P1" s="1994"/>
      <c r="Q1" s="1116"/>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1" t="s">
        <v>1929</v>
      </c>
      <c r="B2" s="204">
        <f>C30</f>
        <v>706</v>
      </c>
      <c r="C2" s="1996" t="s">
        <v>1930</v>
      </c>
      <c r="D2" s="1997" t="s">
        <v>1931</v>
      </c>
      <c r="E2" s="3417" t="s">
        <v>671</v>
      </c>
      <c r="F2" s="1997" t="s">
        <v>1932</v>
      </c>
      <c r="G2" s="1998" t="str">
        <f>IF(E2="商业",项目基本情况!B37,IF(E2="办公",项目基本情况!C37,IF(E2="住宅",项目基本情况!D37,IF(E2="工业",项目基本情况!E37,项目基本情况!F37))))</f>
        <v>五级</v>
      </c>
      <c r="H2" s="1997" t="s">
        <v>1933</v>
      </c>
      <c r="I2" s="1998" t="str">
        <f>IF(E2="商业",项目基本情况!B38,IF(E2="办公",项目基本情况!C38,IF(E2="住宅",项目基本情况!D38,IF(E2="工业",项目基本情况!E38,项目基本情况!F38))))</f>
        <v>Ⅴ-32</v>
      </c>
      <c r="J2" s="1999"/>
      <c r="K2" s="1116"/>
      <c r="L2" s="2000" t="s">
        <v>1934</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21203</v>
      </c>
      <c r="U2" s="1210"/>
      <c r="V2" s="3356">
        <f>ROUND(T2*U2/10000,0)</f>
        <v>0</v>
      </c>
      <c r="W2" s="1213"/>
      <c r="X2" s="1213"/>
      <c r="Y2" s="1213"/>
      <c r="Z2" s="1213"/>
      <c r="AA2" s="1213"/>
      <c r="AB2" s="1213"/>
      <c r="AC2" s="1214"/>
      <c r="AD2" s="1215"/>
      <c r="AE2" s="1215"/>
      <c r="AF2" s="1215"/>
      <c r="AG2" s="1215"/>
      <c r="AH2" s="1215"/>
      <c r="AI2" s="1215"/>
      <c r="AJ2" s="1216"/>
    </row>
    <row r="3" spans="1:36" ht="15.75">
      <c r="A3" s="203" t="s">
        <v>1935</v>
      </c>
      <c r="B3" s="204">
        <f>ROUND(B2*10000/D1,0)</f>
        <v>2258</v>
      </c>
      <c r="C3" s="1996" t="s">
        <v>1936</v>
      </c>
      <c r="D3" s="1997" t="s">
        <v>1937</v>
      </c>
      <c r="E3" s="3415" t="s">
        <v>2438</v>
      </c>
      <c r="F3" s="2001" t="s">
        <v>3672</v>
      </c>
      <c r="G3" s="749">
        <f>IF(F3="宗地容积率",'数据-汇总表'!I4,IF(F3="估价对象容积率",'数据-汇总表'!I6,'数据-汇总表'!I7))</f>
        <v>2.5</v>
      </c>
      <c r="H3" s="170" t="s">
        <v>1938</v>
      </c>
      <c r="I3" s="772"/>
      <c r="J3" s="1999" t="s">
        <v>1939</v>
      </c>
      <c r="K3" s="1116"/>
      <c r="L3" s="2000" t="s">
        <v>1940</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1.1838</v>
      </c>
      <c r="T3" s="3356">
        <f t="shared" si="0"/>
        <v>16712</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842"/>
      <c r="B4" s="3843"/>
      <c r="C4" s="3843"/>
      <c r="D4" s="3844"/>
      <c r="E4" s="3844"/>
      <c r="F4" s="3844"/>
      <c r="G4" s="3844"/>
      <c r="H4" s="3844"/>
      <c r="I4" s="3844"/>
      <c r="J4" s="3845"/>
      <c r="K4" s="1116"/>
      <c r="L4" s="2000" t="s">
        <v>1941</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14124</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1942</v>
      </c>
      <c r="C5" s="750">
        <f>ROUND(IF(E2="商业",C6*C7*C17+C20,(IF(E2="住宅",C6*C13*C17+C20,IF(E2="办公",C6*C12*C17+C20,C6+C20)))),0)</f>
        <v>14860</v>
      </c>
      <c r="D5" s="1336">
        <f>ROUND(C6*C17+C20,0)</f>
        <v>14860</v>
      </c>
      <c r="E5" s="1336"/>
      <c r="F5" s="2004"/>
      <c r="G5" s="2005"/>
      <c r="H5" s="2005"/>
      <c r="I5" s="2005"/>
      <c r="J5" s="2006"/>
      <c r="K5" s="2007"/>
      <c r="L5" s="2000" t="s">
        <v>1943</v>
      </c>
      <c r="M5" s="861">
        <f>SUMPRODUCT((区片价!B87:B126=I2)*(区片价!C3:G3=E2)*(区片价!C87:G126))</f>
        <v>14860</v>
      </c>
      <c r="N5" s="863">
        <f>SUMPRODUCT((因素修正幅度!B87:B126=I2)*(因素修正幅度!C3:G3=E2)*(因素修正幅度!C87:G126))</f>
        <v>0.1</v>
      </c>
      <c r="O5" s="1116"/>
      <c r="P5" s="1116"/>
      <c r="Q5" s="1116"/>
      <c r="R5" s="1209">
        <v>4</v>
      </c>
      <c r="S5" s="3356">
        <f>ROUND(SUMPRODUCT((B106:B110=R5)*(C105:N105=G2)*(C106:N110)),4)</f>
        <v>0.88239999999999996</v>
      </c>
      <c r="T5" s="3356">
        <f t="shared" si="0"/>
        <v>12457</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1944</v>
      </c>
      <c r="B6" s="2013" t="s">
        <v>1945</v>
      </c>
      <c r="C6" s="751">
        <f>SUMIF(L1:L12,G2,M1:M12)</f>
        <v>14860</v>
      </c>
      <c r="D6" s="2014"/>
      <c r="E6" s="2015"/>
      <c r="F6" s="2015"/>
      <c r="G6" s="2016"/>
      <c r="H6" s="2016"/>
      <c r="I6" s="2016"/>
      <c r="J6" s="2017"/>
      <c r="K6" s="1381"/>
      <c r="L6" s="2000" t="s">
        <v>1946</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11971</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3238</v>
      </c>
      <c r="B7" s="3456" t="s">
        <v>1947</v>
      </c>
      <c r="C7" s="752">
        <f>IF(C8="不临65条商业街",1,ROUND(1+(1.6*E8+1.2*E9+0.8*E10+0.4*E11)*C9,4))</f>
        <v>1</v>
      </c>
      <c r="D7" s="2019" t="s">
        <v>1948</v>
      </c>
      <c r="E7" s="773"/>
      <c r="F7" s="2020"/>
      <c r="G7" s="2021"/>
      <c r="H7" s="2021"/>
      <c r="I7" s="2021"/>
      <c r="J7" s="2022"/>
      <c r="K7" s="1381"/>
      <c r="L7" s="2000" t="s">
        <v>1949</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3473" t="s">
        <v>1950</v>
      </c>
      <c r="X7" s="1211" t="str">
        <f>G2</f>
        <v>五级</v>
      </c>
      <c r="Y7" s="1211" t="s">
        <v>1951</v>
      </c>
      <c r="Z7" s="1212">
        <f>G3</f>
        <v>2.5</v>
      </c>
      <c r="AA7" s="1213"/>
      <c r="AB7" s="1213"/>
      <c r="AC7" s="1214"/>
      <c r="AD7" s="1215"/>
      <c r="AE7" s="1215"/>
      <c r="AF7" s="1215"/>
      <c r="AG7" s="1215"/>
      <c r="AH7" s="1215"/>
      <c r="AI7" s="1215"/>
      <c r="AJ7" s="1216"/>
    </row>
    <row r="8" spans="1:36" ht="25.5">
      <c r="A8" s="3294"/>
      <c r="B8" s="170" t="s">
        <v>1952</v>
      </c>
      <c r="C8" s="2023" t="s">
        <v>3673</v>
      </c>
      <c r="D8" s="753" t="s">
        <v>112</v>
      </c>
      <c r="E8" s="754" t="e">
        <f>ROUND(C11/E7,4)</f>
        <v>#DIV/0!</v>
      </c>
      <c r="F8" s="2024" t="s">
        <v>1953</v>
      </c>
      <c r="G8" s="2025"/>
      <c r="H8" s="2025"/>
      <c r="I8" s="2025"/>
      <c r="J8" s="2026"/>
      <c r="K8" s="1116"/>
      <c r="L8" s="2000" t="s">
        <v>1954</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839" t="s">
        <v>1955</v>
      </c>
      <c r="X8" s="3840"/>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94"/>
      <c r="B9" s="170" t="s">
        <v>1968</v>
      </c>
      <c r="C9" s="755">
        <f>SUMIF(修正!C71:C138,C8,修正!E71:E138)</f>
        <v>0</v>
      </c>
      <c r="D9" s="171" t="s">
        <v>113</v>
      </c>
      <c r="E9" s="171" t="e">
        <f>ROUND(C11/E7,4)</f>
        <v>#DIV/0!</v>
      </c>
      <c r="F9" s="2024" t="s">
        <v>1969</v>
      </c>
      <c r="G9" s="2025"/>
      <c r="H9" s="2025"/>
      <c r="I9" s="2025"/>
      <c r="J9" s="2026"/>
      <c r="K9" s="1116"/>
      <c r="L9" s="2000" t="s">
        <v>1970</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841"/>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4" t="s">
        <v>1972</v>
      </c>
      <c r="G10" s="2025"/>
      <c r="H10" s="2025"/>
      <c r="I10" s="2025"/>
      <c r="J10" s="2026"/>
      <c r="K10" s="1116"/>
      <c r="L10" s="2000" t="s">
        <v>1973</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84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1974</v>
      </c>
      <c r="C11" s="756">
        <f>C10/4</f>
        <v>0</v>
      </c>
      <c r="D11" s="756" t="s">
        <v>115</v>
      </c>
      <c r="E11" s="756" t="e">
        <f>ROUND(C11/E7,4)</f>
        <v>#DIV/0!</v>
      </c>
      <c r="F11" s="2028" t="s">
        <v>1975</v>
      </c>
      <c r="G11" s="2029"/>
      <c r="H11" s="2029"/>
      <c r="I11" s="2029"/>
      <c r="J11" s="2030"/>
      <c r="K11" s="1116"/>
      <c r="L11" s="2000" t="s">
        <v>1976</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v>1</v>
      </c>
      <c r="D12" s="3302" t="s">
        <v>3241</v>
      </c>
      <c r="E12" s="3303" t="s">
        <v>3242</v>
      </c>
      <c r="F12" s="3304"/>
      <c r="G12" s="3305"/>
      <c r="H12" s="3305"/>
      <c r="I12" s="3305"/>
      <c r="J12" s="3306"/>
      <c r="K12" s="1116"/>
      <c r="L12" s="2036" t="s">
        <v>1979</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1977</v>
      </c>
      <c r="C13" s="752">
        <f>ROUND(C16*D16*E16*F16*G16*H16*I16*J16,4)</f>
        <v>0</v>
      </c>
      <c r="D13" s="2032" t="s">
        <v>1978</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3463" t="s">
        <v>1980</v>
      </c>
      <c r="C14" s="2038" t="s">
        <v>1981</v>
      </c>
      <c r="D14" s="1347" t="s">
        <v>1982</v>
      </c>
      <c r="E14" s="27" t="s">
        <v>1983</v>
      </c>
      <c r="F14" s="3307" t="s">
        <v>3244</v>
      </c>
      <c r="G14" s="3307" t="s">
        <v>3244</v>
      </c>
      <c r="H14" s="3307" t="s">
        <v>3244</v>
      </c>
      <c r="I14" s="3307" t="s">
        <v>3244</v>
      </c>
      <c r="J14" s="3307" t="s">
        <v>3244</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3464"/>
      <c r="C15" s="2040"/>
      <c r="D15" s="2041"/>
      <c r="E15" s="2042"/>
      <c r="F15" s="3308" t="s">
        <v>3245</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462"/>
      <c r="C18" s="3323"/>
      <c r="D18" s="3318" t="s">
        <v>3249</v>
      </c>
      <c r="E18" s="3324"/>
      <c r="F18" s="3319" t="s">
        <v>3252</v>
      </c>
      <c r="G18" s="3323">
        <f>ROUND(1-(1/(POWER(1+G24,E18))),4)</f>
        <v>0</v>
      </c>
      <c r="H18" s="3319" t="s">
        <v>3254</v>
      </c>
      <c r="I18" s="3323">
        <f>ROUND(1-(1/(POWER(1+G24,J24))),4)</f>
        <v>0.88249999999999995</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46" t="s">
        <v>3255</v>
      </c>
      <c r="B20" s="167" t="s">
        <v>1989</v>
      </c>
      <c r="C20" s="3320">
        <f>ROUND(IF(F21="与级别开发程度一致",0,(G21-E21)/C21),0)</f>
        <v>0</v>
      </c>
      <c r="D20" s="3336" t="s">
        <v>1993</v>
      </c>
      <c r="E20" s="3337"/>
      <c r="F20" s="3852" t="s">
        <v>1990</v>
      </c>
      <c r="G20" s="3853"/>
      <c r="H20" s="3321" t="s">
        <v>3383</v>
      </c>
      <c r="I20" s="3321" t="s">
        <v>3384</v>
      </c>
      <c r="J20" s="3322" t="s">
        <v>3385</v>
      </c>
      <c r="K20" s="2044" t="s">
        <v>3386</v>
      </c>
      <c r="L20" s="2044" t="s">
        <v>3387</v>
      </c>
      <c r="M20" s="2044" t="s">
        <v>3389</v>
      </c>
      <c r="N20" s="2044" t="s">
        <v>3675</v>
      </c>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847"/>
      <c r="B21" s="2161" t="s">
        <v>1992</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4237</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1995</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1996</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1997</v>
      </c>
      <c r="E23" s="758">
        <v>44197</v>
      </c>
      <c r="F23" s="2051" t="s">
        <v>1998</v>
      </c>
      <c r="G23" s="759">
        <f>'数据-取费表'!B2</f>
        <v>45189</v>
      </c>
      <c r="H23" s="3338" t="s">
        <v>3257</v>
      </c>
      <c r="I23" s="3339" t="str">
        <f>IF(H23="季度增幅（自定义）",SUMIF(N25:N28,E2,O25:O28),"")</f>
        <v/>
      </c>
      <c r="J23" s="3441" t="s">
        <v>3256</v>
      </c>
      <c r="K23" s="1122"/>
      <c r="L23" s="2052" t="s">
        <v>1999</v>
      </c>
      <c r="M23" s="1325">
        <f>ROUND(SUMIF(地价!B2:G2,E2,地价!B16:G16),0)</f>
        <v>350</v>
      </c>
      <c r="N23" s="2053" t="s">
        <v>2000</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2001</v>
      </c>
      <c r="C24" s="761">
        <f>ROUND(POWER(1+G24,J24-I24)*(POWER(1+G24,I24)-1)/(POWER(1+G24,J24)-1),4)</f>
        <v>0.87039999999999995</v>
      </c>
      <c r="D24" s="2057" t="s">
        <v>2002</v>
      </c>
      <c r="E24" s="1332">
        <f>存贷款利率!E24/100</f>
        <v>4.3499999999999997E-2</v>
      </c>
      <c r="F24" s="2057" t="s">
        <v>1994</v>
      </c>
      <c r="G24" s="765">
        <f>SUMIF(M30:Q30,E2,M33:Q33)</f>
        <v>5.5E-2</v>
      </c>
      <c r="H24" s="2057" t="s">
        <v>2003</v>
      </c>
      <c r="I24" s="766">
        <f>SUMIF('数据-取费表'!C6:C15,E2,'数据-取费表'!F6:F15)/COUNTIF('数据-取费表'!C6:C15,E2)</f>
        <v>27.3</v>
      </c>
      <c r="J24" s="767">
        <f>IF(E2="住宅",70,IF(E2="商业",40,50))</f>
        <v>40</v>
      </c>
      <c r="K24" s="1122"/>
      <c r="L24" s="2058" t="s">
        <v>2004</v>
      </c>
      <c r="M24" s="1326">
        <f>ROUND(SUMPRODUCT((地价!A4:A16=YEAR(G23)&amp;"-"&amp;ROUNDUP(MONTH(G23)/3,0))*(地价!B2:G2=E2)*(地价!B4:G16)),0)</f>
        <v>0</v>
      </c>
      <c r="N24" s="2059" t="s">
        <v>2005</v>
      </c>
      <c r="O24" s="2060" t="s">
        <v>2006</v>
      </c>
      <c r="P24" s="2061" t="s">
        <v>2007</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3674</v>
      </c>
      <c r="C25" s="3469">
        <f>IF(B25="容积率修正",IF(G3&lt;10,D26,J26),C27)</f>
        <v>0</v>
      </c>
      <c r="D25" s="2064"/>
      <c r="E25" s="2064"/>
      <c r="F25" s="2064"/>
      <c r="G25" s="2064"/>
      <c r="H25" s="2064"/>
      <c r="I25" s="2064"/>
      <c r="J25" s="2065"/>
      <c r="K25" s="1122"/>
      <c r="L25" s="2783"/>
      <c r="M25" s="2783"/>
      <c r="N25" s="2066" t="s">
        <v>2008</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2009</v>
      </c>
      <c r="B26" s="2067" t="s">
        <v>2010</v>
      </c>
      <c r="C26" s="3340" t="s">
        <v>3258</v>
      </c>
      <c r="D26" s="3468">
        <f>IF(E26=G26,F26,IF(G3&lt;10,ROUND(F26+(H26-F26)*(G3-E26)/(G26-E26),4),"——"))</f>
        <v>1</v>
      </c>
      <c r="E26" s="749">
        <f>ROUNDDOWN(G3,1)</f>
        <v>2.5</v>
      </c>
      <c r="F26" s="34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3259</v>
      </c>
      <c r="J26" s="769" t="str">
        <f>IF(G3&gt;=10,D115,"——")</f>
        <v>——</v>
      </c>
      <c r="K26" s="1122"/>
      <c r="L26" s="2783"/>
      <c r="M26" s="2783"/>
      <c r="N26" s="2066" t="s">
        <v>2011</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2012</v>
      </c>
      <c r="B27" s="2068" t="s">
        <v>2013</v>
      </c>
      <c r="C27" s="838">
        <f>ROUND(IF(I3&lt;6,SUMPRODUCT((B106:B110=I3)*(C105:N105=G2)*(C106:N110)),SUMIF(C105:N105,G2,C112:N112)),4)</f>
        <v>0</v>
      </c>
      <c r="D27" s="2043"/>
      <c r="E27" s="2043"/>
      <c r="F27" s="2069"/>
      <c r="G27" s="2070"/>
      <c r="H27" s="2071"/>
      <c r="I27" s="2072"/>
      <c r="J27" s="2073"/>
      <c r="K27" s="1116"/>
      <c r="L27" s="1994"/>
      <c r="M27" s="1994"/>
      <c r="N27" s="2066" t="s">
        <v>2014</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2015</v>
      </c>
      <c r="C28" s="757">
        <f>SUMIF(A47:A101,E2,B47:B101)</f>
        <v>1.05</v>
      </c>
      <c r="D28" s="2049"/>
      <c r="E28" s="2074"/>
      <c r="F28" s="2074"/>
      <c r="G28" s="2074"/>
      <c r="H28" s="2074"/>
      <c r="I28" s="2074"/>
      <c r="J28" s="2075"/>
      <c r="K28" s="1122"/>
      <c r="L28" s="2783"/>
      <c r="M28" s="2783"/>
      <c r="N28" s="2076" t="s">
        <v>2016</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2017</v>
      </c>
      <c r="C29" s="762"/>
      <c r="D29" s="2021"/>
      <c r="E29" s="2021"/>
      <c r="F29" s="2078"/>
      <c r="G29" s="2021"/>
      <c r="H29" s="2021"/>
      <c r="I29" s="2021"/>
      <c r="J29" s="2022"/>
      <c r="K29" s="1116"/>
      <c r="L29" s="1994"/>
      <c r="M29" s="1994"/>
      <c r="N29" s="2780" t="s">
        <v>2018</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2019</v>
      </c>
      <c r="C30" s="2318">
        <f>IF(B25="容积率修正",E33+SUM(E37:E42),SUM(V2:V16)+SUM(E37:E42))</f>
        <v>706</v>
      </c>
      <c r="D30" s="2080"/>
      <c r="E30" s="2043"/>
      <c r="F30" s="2081"/>
      <c r="G30" s="2043"/>
      <c r="H30" s="2043"/>
      <c r="I30" s="2043"/>
      <c r="J30" s="2082"/>
      <c r="K30" s="1116"/>
      <c r="L30" s="3346" t="s">
        <v>1931</v>
      </c>
      <c r="M30" s="3347" t="s">
        <v>1985</v>
      </c>
      <c r="N30" s="3347" t="s">
        <v>1986</v>
      </c>
      <c r="O30" s="3347" t="s">
        <v>1987</v>
      </c>
      <c r="P30" s="3347" t="s">
        <v>1988</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2020</v>
      </c>
      <c r="C31" s="763">
        <f>E34+SUM(I37:I42)</f>
        <v>177</v>
      </c>
      <c r="D31" s="2084"/>
      <c r="E31" s="2085"/>
      <c r="F31" s="2086"/>
      <c r="G31" s="2085"/>
      <c r="H31" s="2085"/>
      <c r="I31" s="2085"/>
      <c r="J31" s="2087"/>
      <c r="K31" s="1116"/>
      <c r="L31" s="3348" t="s">
        <v>1991</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6"/>
      <c r="L32" s="3349" t="s">
        <v>1994</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2025</v>
      </c>
      <c r="C33" s="175">
        <f>ROUND(C5*C22*C23*C24*C25*C28,0)</f>
        <v>0</v>
      </c>
      <c r="D33" s="2095"/>
      <c r="E33" s="770">
        <f>ROUND(C33*D33/10000,0)</f>
        <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2026</v>
      </c>
      <c r="C34" s="187" t="e">
        <f>ROUND(IF(E2="工业",C33*M42,IF(B25="楼层修正",SUM(V2:V16)*M41*10000/D34,C33*M41)),0)</f>
        <v>#DIV/0!</v>
      </c>
      <c r="D34" s="2100"/>
      <c r="E34" s="770">
        <f>ROUND(IF(B25="楼层修正",SUM(V2:V16)*M40,C34*D34/10000),0)</f>
        <v>0</v>
      </c>
      <c r="F34" s="2101" t="s">
        <v>2027</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2028</v>
      </c>
      <c r="C35" s="3342" t="s">
        <v>3262</v>
      </c>
      <c r="D35" s="2034"/>
      <c r="E35" s="2106"/>
      <c r="F35" s="2106"/>
      <c r="G35" s="2032" t="s">
        <v>2029</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2" t="s">
        <v>3266</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50"/>
      <c r="B37" s="2110" t="s">
        <v>2031</v>
      </c>
      <c r="C37" s="175">
        <f>ROUND(D5*C22*C23*C24*C28*F37,0)</f>
        <v>8470</v>
      </c>
      <c r="D37" s="2095"/>
      <c r="E37" s="171">
        <f>ROUND(C37*D37/10000,0)</f>
        <v>0</v>
      </c>
      <c r="F37" s="171">
        <f>SUMIF(修正!A57:A68,G2,修正!B57:B68)</f>
        <v>0.6</v>
      </c>
      <c r="G37" s="171">
        <f>ROUND(IF(E2="工业",C37*$M$42,C37*$M$41),0)</f>
        <v>2118</v>
      </c>
      <c r="H37" s="171">
        <f>D37</f>
        <v>0</v>
      </c>
      <c r="I37" s="171">
        <f>ROUND(G37*H37/10000,0)</f>
        <v>0</v>
      </c>
      <c r="J37" s="3007"/>
      <c r="K37" s="3354" t="s">
        <v>3267</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51"/>
      <c r="B38" s="2038" t="s">
        <v>2032</v>
      </c>
      <c r="C38" s="175">
        <f>ROUND(D5*C22*C23*C24*C28*F38,0)</f>
        <v>4235</v>
      </c>
      <c r="D38" s="2095"/>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7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51"/>
      <c r="B39" s="2038" t="s">
        <v>3260</v>
      </c>
      <c r="C39" s="175">
        <f>ROUND(D5*C22*C23*C24*C28*F39,0)</f>
        <v>3529</v>
      </c>
      <c r="D39" s="2095"/>
      <c r="E39" s="171">
        <f t="shared" si="4"/>
        <v>0</v>
      </c>
      <c r="F39" s="171">
        <f>SUMIF(修正!A57:A68,G2,修正!D57:D68)</f>
        <v>0.25</v>
      </c>
      <c r="G39" s="171">
        <f>ROUND(IF(E2="工业",C39*$M$42,C39*$M$41),0)</f>
        <v>882</v>
      </c>
      <c r="H39" s="171">
        <f t="shared" si="5"/>
        <v>0</v>
      </c>
      <c r="I39" s="171">
        <f t="shared" si="6"/>
        <v>0</v>
      </c>
      <c r="J39" s="347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2033</v>
      </c>
      <c r="C40" s="171">
        <f>ROUND(D5*C22*C23*C24*C28*F40,0)</f>
        <v>3529</v>
      </c>
      <c r="D40" s="2095"/>
      <c r="E40" s="171">
        <f t="shared" si="4"/>
        <v>0</v>
      </c>
      <c r="F40" s="175">
        <f>SUMIF(修正!A57:A68,G2,修正!E57:E68)</f>
        <v>0.25</v>
      </c>
      <c r="G40" s="171">
        <f>ROUND(IF(E2="工业",C40*$M$42,C40*$M$41),0)</f>
        <v>882</v>
      </c>
      <c r="H40" s="171">
        <f t="shared" si="5"/>
        <v>0</v>
      </c>
      <c r="I40" s="171">
        <f t="shared" si="6"/>
        <v>0</v>
      </c>
      <c r="J40" s="2111"/>
      <c r="L40" s="2113" t="s">
        <v>2034</v>
      </c>
      <c r="M40" s="2114"/>
      <c r="Z40" s="1117"/>
      <c r="AA40" s="1117"/>
      <c r="AB40" s="1117"/>
      <c r="AC40" s="1117"/>
      <c r="AD40" s="1117"/>
      <c r="AE40" s="1117"/>
      <c r="AF40" s="1117"/>
      <c r="AG40" s="1117"/>
      <c r="AH40" s="1117"/>
      <c r="AI40" s="1117"/>
      <c r="AJ40" s="1117"/>
    </row>
    <row r="41" spans="1:37" s="1116" customFormat="1">
      <c r="A41" s="2112"/>
      <c r="B41" s="2038" t="s">
        <v>2035</v>
      </c>
      <c r="C41" s="171">
        <f>ROUND(D5*C22*C23*C44*C28*F41,0)</f>
        <v>3764</v>
      </c>
      <c r="D41" s="2095"/>
      <c r="E41" s="171">
        <f t="shared" si="4"/>
        <v>0</v>
      </c>
      <c r="F41" s="175">
        <f>SUMIF(修正!A57:A68,G2,修正!F57:F68)</f>
        <v>0.25</v>
      </c>
      <c r="G41" s="171">
        <f>ROUND(IF(E2="工业",C41*$M$42,C41*$M$41),0)</f>
        <v>941</v>
      </c>
      <c r="H41" s="171">
        <f t="shared" si="5"/>
        <v>0</v>
      </c>
      <c r="I41" s="171">
        <f t="shared" si="6"/>
        <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2036</v>
      </c>
      <c r="C42" s="187">
        <f>ROUND(D5*C22*C23*C44*C28*F42,0)</f>
        <v>2258</v>
      </c>
      <c r="D42" s="2100">
        <f>'数据-汇总表'!G20</f>
        <v>3127.15</v>
      </c>
      <c r="E42" s="187">
        <f t="shared" si="4"/>
        <v>706</v>
      </c>
      <c r="F42" s="764">
        <f>SUMIF(修正!A57:A68,G2,修正!G57:G68)</f>
        <v>0.15</v>
      </c>
      <c r="G42" s="187">
        <f>ROUND(IF(E2="工业",C42*$M$42,C42*$M$41),0)</f>
        <v>565</v>
      </c>
      <c r="H42" s="187">
        <f t="shared" si="5"/>
        <v>3127.15</v>
      </c>
      <c r="I42" s="187">
        <f t="shared" si="6"/>
        <v>177</v>
      </c>
      <c r="J42" s="2117"/>
      <c r="L42" s="2118" t="s">
        <v>1988</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2117</v>
      </c>
      <c r="C44" s="342">
        <f>ROUND(POWER(1+E44,H44-G44)*(POWER(1+E44,G44)-1)/(POWER(1+E44,H44)-1),4)</f>
        <v>0.92820000000000003</v>
      </c>
      <c r="D44" s="171" t="s">
        <v>1994</v>
      </c>
      <c r="E44" s="2150">
        <f>G24</f>
        <v>5.5E-2</v>
      </c>
      <c r="F44" s="171" t="s">
        <v>2003</v>
      </c>
      <c r="G44" s="183">
        <f>项目基本情况!F15</f>
        <v>37.31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2037</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2038</v>
      </c>
      <c r="B48" s="2124">
        <f>1+E50</f>
        <v>1.05</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2039</v>
      </c>
      <c r="B49" s="1348" t="s">
        <v>2040</v>
      </c>
      <c r="C49" s="1348" t="s">
        <v>2041</v>
      </c>
      <c r="D49" s="1348" t="s">
        <v>2042</v>
      </c>
      <c r="E49" s="740" t="s">
        <v>2043</v>
      </c>
      <c r="F49" s="2128" t="s">
        <v>2044</v>
      </c>
      <c r="G49" s="1348" t="s">
        <v>310</v>
      </c>
      <c r="H49" s="2129" t="s">
        <v>2045</v>
      </c>
      <c r="I49" s="1348" t="s">
        <v>2046</v>
      </c>
      <c r="J49" s="552" t="s">
        <v>1716</v>
      </c>
      <c r="K49" s="552" t="s">
        <v>1717</v>
      </c>
      <c r="L49" s="552" t="s">
        <v>1718</v>
      </c>
      <c r="M49" s="552" t="s">
        <v>1719</v>
      </c>
      <c r="N49" s="552" t="s">
        <v>1720</v>
      </c>
      <c r="AA49" s="1117"/>
      <c r="AB49" s="1117"/>
      <c r="AC49" s="1117"/>
      <c r="AD49" s="1117"/>
      <c r="AE49" s="1117"/>
      <c r="AF49" s="1117"/>
      <c r="AG49" s="1117"/>
      <c r="AH49" s="1117"/>
      <c r="AI49" s="1117"/>
      <c r="AJ49" s="1117"/>
      <c r="AK49" s="1117"/>
    </row>
    <row r="50" spans="1:37" s="1116" customFormat="1" ht="38.25">
      <c r="A50" s="2127" t="s">
        <v>2047</v>
      </c>
      <c r="B50" s="2130" t="str">
        <f>估价对象房地状况!C4</f>
        <v>估价对象位于XX商圈，周边商业氛围成熟，人流量大，商业繁华度好</v>
      </c>
      <c r="C50" s="2041" t="s">
        <v>3676</v>
      </c>
      <c r="D50" s="1062">
        <f t="shared" ref="D50:D58" si="7">SUMIF($J$49:$N$49,C50,J50:N50)</f>
        <v>1.4999999999999999E-2</v>
      </c>
      <c r="E50" s="741">
        <f>ROUND(SUM(D50:D58),4)</f>
        <v>0.05</v>
      </c>
      <c r="F50" s="1811">
        <f>IF(E2="商业",SUMIF(L1:L12,G2,N1:N12),"——")</f>
        <v>0.1</v>
      </c>
      <c r="G50" s="1060">
        <f>H50</f>
        <v>1.4999999999999999E-2</v>
      </c>
      <c r="H50" s="1063">
        <f t="shared" ref="H50:H58" si="8">IFERROR(ROUNDDOWN($F$50*I50/2,4),"——")</f>
        <v>1.4999999999999999E-2</v>
      </c>
      <c r="I50" s="3362">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2048</v>
      </c>
      <c r="B51" s="2131" t="str">
        <f>估价对象房地状况!C18</f>
        <v>估价对象周边道路状况、公共交通通达情况、停车便捷程度，综合评价交通便捷度较好</v>
      </c>
      <c r="C51" s="2041" t="s">
        <v>3676</v>
      </c>
      <c r="D51" s="1062">
        <f t="shared" si="7"/>
        <v>1.0999999999999999E-2</v>
      </c>
      <c r="E51" s="742"/>
      <c r="F51" s="1811"/>
      <c r="G51" s="1060">
        <f t="shared" ref="G51:G58" si="12">H51</f>
        <v>1.0999999999999999E-2</v>
      </c>
      <c r="H51" s="1063">
        <f t="shared" si="8"/>
        <v>1.0999999999999999E-2</v>
      </c>
      <c r="I51" s="3362">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t="s">
        <v>3676</v>
      </c>
      <c r="D52" s="1062">
        <f t="shared" si="7"/>
        <v>6.0000000000000001E-3</v>
      </c>
      <c r="E52" s="742"/>
      <c r="F52" s="1811"/>
      <c r="G52" s="1060">
        <f t="shared" si="12"/>
        <v>6.0000000000000001E-3</v>
      </c>
      <c r="H52" s="1063">
        <f t="shared" si="8"/>
        <v>6.0000000000000001E-3</v>
      </c>
      <c r="I52" s="3362">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2049</v>
      </c>
      <c r="B53" s="2132" t="s">
        <v>2050</v>
      </c>
      <c r="C53" s="2041" t="s">
        <v>3676</v>
      </c>
      <c r="D53" s="1062">
        <f t="shared" si="7"/>
        <v>2.5000000000000001E-3</v>
      </c>
      <c r="E53" s="742"/>
      <c r="F53" s="1811"/>
      <c r="G53" s="1060">
        <f t="shared" si="12"/>
        <v>2.5000000000000001E-3</v>
      </c>
      <c r="H53" s="1063">
        <f t="shared" si="8"/>
        <v>2.5000000000000001E-3</v>
      </c>
      <c r="I53" s="3362">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2051</v>
      </c>
      <c r="B54" s="2131">
        <f>估价对象房地状况!C24</f>
        <v>0</v>
      </c>
      <c r="C54" s="2041" t="s">
        <v>3677</v>
      </c>
      <c r="D54" s="1062">
        <f t="shared" si="7"/>
        <v>0</v>
      </c>
      <c r="E54" s="742"/>
      <c r="F54" s="1811"/>
      <c r="G54" s="1060">
        <f t="shared" si="12"/>
        <v>4.0000000000000001E-3</v>
      </c>
      <c r="H54" s="1063">
        <f t="shared" si="8"/>
        <v>4.0000000000000001E-3</v>
      </c>
      <c r="I54" s="3362">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2052</v>
      </c>
      <c r="B55" s="2133" t="s">
        <v>2053</v>
      </c>
      <c r="C55" s="2041" t="s">
        <v>3676</v>
      </c>
      <c r="D55" s="1062">
        <f t="shared" si="7"/>
        <v>2.5000000000000001E-3</v>
      </c>
      <c r="E55" s="742"/>
      <c r="F55" s="1811"/>
      <c r="G55" s="1060">
        <f t="shared" si="12"/>
        <v>2.5000000000000001E-3</v>
      </c>
      <c r="H55" s="1063">
        <f t="shared" si="8"/>
        <v>2.5000000000000001E-3</v>
      </c>
      <c r="I55" s="3362">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2054</v>
      </c>
      <c r="B56" s="1323" t="str">
        <f>估价对象房地状况!C21</f>
        <v>估价对象所在区域公共配套设施齐备情况</v>
      </c>
      <c r="C56" s="2041" t="s">
        <v>3676</v>
      </c>
      <c r="D56" s="1062">
        <f t="shared" si="7"/>
        <v>2.5000000000000001E-3</v>
      </c>
      <c r="E56" s="742"/>
      <c r="F56" s="1811"/>
      <c r="G56" s="1060">
        <f t="shared" si="12"/>
        <v>2.5000000000000001E-3</v>
      </c>
      <c r="H56" s="1063">
        <f t="shared" si="8"/>
        <v>2.5000000000000001E-3</v>
      </c>
      <c r="I56" s="3362">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2055</v>
      </c>
      <c r="B57" s="2131" t="str">
        <f>估价对象房地状况!C22</f>
        <v>估价对象所在区域基础设施水平</v>
      </c>
      <c r="C57" s="2041" t="s">
        <v>3678</v>
      </c>
      <c r="D57" s="1062">
        <f t="shared" si="7"/>
        <v>8.0000000000000002E-3</v>
      </c>
      <c r="E57" s="742"/>
      <c r="F57" s="1811"/>
      <c r="G57" s="1060">
        <f t="shared" si="12"/>
        <v>4.0000000000000001E-3</v>
      </c>
      <c r="H57" s="1063">
        <f t="shared" si="8"/>
        <v>4.0000000000000001E-3</v>
      </c>
      <c r="I57" s="3362">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2056</v>
      </c>
      <c r="B58" s="2136" t="str">
        <f>估价对象房地状况!C20</f>
        <v>区域自然环境：；人文环境；综合评价环境状况一般</v>
      </c>
      <c r="C58" s="2041" t="s">
        <v>3676</v>
      </c>
      <c r="D58" s="1062">
        <f t="shared" si="7"/>
        <v>2.5000000000000001E-3</v>
      </c>
      <c r="E58" s="743"/>
      <c r="F58" s="1811"/>
      <c r="G58" s="1060">
        <f t="shared" si="12"/>
        <v>2.5000000000000001E-3</v>
      </c>
      <c r="H58" s="1063">
        <f t="shared" si="8"/>
        <v>2.5000000000000001E-3</v>
      </c>
      <c r="I58" s="3363">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2057</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2039</v>
      </c>
      <c r="B60" s="1348"/>
      <c r="C60" s="1348" t="s">
        <v>2041</v>
      </c>
      <c r="D60" s="1348" t="s">
        <v>2042</v>
      </c>
      <c r="E60" s="740" t="s">
        <v>2043</v>
      </c>
      <c r="F60" s="2128" t="s">
        <v>2058</v>
      </c>
      <c r="G60" s="1348" t="s">
        <v>310</v>
      </c>
      <c r="H60" s="2129" t="s">
        <v>2045</v>
      </c>
      <c r="I60" s="1348" t="s">
        <v>2046</v>
      </c>
      <c r="J60" s="552" t="s">
        <v>1716</v>
      </c>
      <c r="K60" s="552" t="s">
        <v>1717</v>
      </c>
      <c r="L60" s="552" t="s">
        <v>1718</v>
      </c>
      <c r="M60" s="552" t="s">
        <v>1719</v>
      </c>
      <c r="N60" s="552" t="s">
        <v>1720</v>
      </c>
      <c r="AA60" s="1117"/>
      <c r="AB60" s="1117"/>
      <c r="AC60" s="1117"/>
      <c r="AD60" s="1117"/>
      <c r="AE60" s="1117"/>
      <c r="AF60" s="1117"/>
      <c r="AG60" s="1117"/>
      <c r="AH60" s="1117"/>
      <c r="AI60" s="1117"/>
      <c r="AJ60" s="1117"/>
      <c r="AK60" s="1117"/>
    </row>
    <row r="61" spans="1:37" s="1116" customFormat="1" ht="38.25">
      <c r="A61" s="2127" t="s">
        <v>2059</v>
      </c>
      <c r="B61" s="2130" t="str">
        <f>估价对象房地状况!C17</f>
        <v>估价对象位于XX商圈，周边办公楼项目较多，入驻率高，办公集聚程度较好</v>
      </c>
      <c r="C61" s="2041"/>
      <c r="D61" s="1062">
        <f t="shared" ref="D61:D69" si="13">SUMIF($J$60:$N$60,C61,J61:N61)</f>
        <v>0</v>
      </c>
      <c r="E61" s="741">
        <f>ROUND(SUM(D61:D69),4)</f>
        <v>0</v>
      </c>
      <c r="F61" s="1811" t="str">
        <f>IF(E2="办公",SUMIF(L1:L12,G2,N1:N12),"——")</f>
        <v>——</v>
      </c>
      <c r="G61" s="1060"/>
      <c r="H61" s="1063" t="str">
        <f t="shared" ref="H61:H69" si="14">IFERROR(ROUNDDOWN($F$61*I61/2,4),"——")</f>
        <v>——</v>
      </c>
      <c r="I61" s="3362">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7" t="s">
        <v>2048</v>
      </c>
      <c r="B62" s="2131" t="str">
        <f>估价对象房地状况!C18</f>
        <v>估价对象周边道路状况、公共交通通达情况、停车便捷程度，综合评价交通便捷度较好</v>
      </c>
      <c r="C62" s="2041"/>
      <c r="D62" s="1062">
        <f t="shared" si="13"/>
        <v>0</v>
      </c>
      <c r="E62" s="742"/>
      <c r="F62" s="1811"/>
      <c r="G62" s="1060"/>
      <c r="H62" s="1063" t="str">
        <f t="shared" si="14"/>
        <v>——</v>
      </c>
      <c r="I62" s="3362">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3"/>
        <v>0</v>
      </c>
      <c r="E63" s="742"/>
      <c r="F63" s="1811"/>
      <c r="G63" s="1060"/>
      <c r="H63" s="1063" t="str">
        <f t="shared" si="14"/>
        <v>——</v>
      </c>
      <c r="I63" s="3362">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7" t="s">
        <v>2049</v>
      </c>
      <c r="B64" s="2132" t="s">
        <v>2050</v>
      </c>
      <c r="C64" s="2041"/>
      <c r="D64" s="1062">
        <f t="shared" si="13"/>
        <v>0</v>
      </c>
      <c r="E64" s="742"/>
      <c r="F64" s="1811"/>
      <c r="G64" s="1060"/>
      <c r="H64" s="1063" t="str">
        <f t="shared" si="14"/>
        <v>——</v>
      </c>
      <c r="I64" s="3362">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7" t="s">
        <v>2051</v>
      </c>
      <c r="B65" s="2131">
        <f>估价对象房地状况!C24</f>
        <v>0</v>
      </c>
      <c r="C65" s="2041"/>
      <c r="D65" s="1062">
        <f t="shared" si="13"/>
        <v>0</v>
      </c>
      <c r="E65" s="742"/>
      <c r="F65" s="1811"/>
      <c r="G65" s="1060"/>
      <c r="H65" s="1063" t="str">
        <f t="shared" si="14"/>
        <v>——</v>
      </c>
      <c r="I65" s="3362">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7" t="s">
        <v>2052</v>
      </c>
      <c r="B66" s="2133" t="s">
        <v>2053</v>
      </c>
      <c r="C66" s="2041"/>
      <c r="D66" s="1062">
        <f t="shared" si="13"/>
        <v>0</v>
      </c>
      <c r="E66" s="742"/>
      <c r="F66" s="1811"/>
      <c r="G66" s="1060"/>
      <c r="H66" s="1063" t="str">
        <f t="shared" si="14"/>
        <v>——</v>
      </c>
      <c r="I66" s="3362">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7" t="s">
        <v>2054</v>
      </c>
      <c r="B67" s="1323" t="str">
        <f>估价对象房地状况!C21</f>
        <v>估价对象所在区域公共配套设施齐备情况</v>
      </c>
      <c r="C67" s="2041"/>
      <c r="D67" s="1062">
        <f t="shared" si="13"/>
        <v>0</v>
      </c>
      <c r="E67" s="742"/>
      <c r="F67" s="1811"/>
      <c r="G67" s="1060"/>
      <c r="H67" s="1063" t="str">
        <f t="shared" si="14"/>
        <v>——</v>
      </c>
      <c r="I67" s="3362">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7" t="s">
        <v>2055</v>
      </c>
      <c r="B68" s="1323" t="str">
        <f>估价对象房地状况!C22</f>
        <v>估价对象所在区域基础设施水平</v>
      </c>
      <c r="C68" s="2041"/>
      <c r="D68" s="1062">
        <f t="shared" si="13"/>
        <v>0</v>
      </c>
      <c r="E68" s="742"/>
      <c r="F68" s="1811"/>
      <c r="G68" s="1060"/>
      <c r="H68" s="1063" t="str">
        <f t="shared" si="14"/>
        <v>——</v>
      </c>
      <c r="I68" s="3362">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5" t="s">
        <v>2056</v>
      </c>
      <c r="B69" s="2137" t="str">
        <f>估价对象房地状况!C20</f>
        <v>区域自然环境：；人文环境；综合评价环境状况一般</v>
      </c>
      <c r="C69" s="2041"/>
      <c r="D69" s="1062">
        <f t="shared" si="13"/>
        <v>0</v>
      </c>
      <c r="E69" s="743"/>
      <c r="F69" s="1811"/>
      <c r="G69" s="1060"/>
      <c r="H69" s="1063" t="str">
        <f t="shared" si="14"/>
        <v>——</v>
      </c>
      <c r="I69" s="3363">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3" t="s">
        <v>2060</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2039</v>
      </c>
      <c r="B71" s="1348"/>
      <c r="C71" s="1348" t="s">
        <v>2041</v>
      </c>
      <c r="D71" s="1348" t="s">
        <v>2042</v>
      </c>
      <c r="E71" s="740" t="s">
        <v>2043</v>
      </c>
      <c r="F71" s="2128" t="s">
        <v>2058</v>
      </c>
      <c r="G71" s="1348" t="s">
        <v>310</v>
      </c>
      <c r="H71" s="2129" t="s">
        <v>2045</v>
      </c>
      <c r="I71" s="1348" t="s">
        <v>2046</v>
      </c>
      <c r="J71" s="552" t="s">
        <v>1716</v>
      </c>
      <c r="K71" s="552" t="s">
        <v>1717</v>
      </c>
      <c r="L71" s="552" t="s">
        <v>1718</v>
      </c>
      <c r="M71" s="552" t="s">
        <v>1719</v>
      </c>
      <c r="N71" s="552" t="s">
        <v>1720</v>
      </c>
      <c r="AA71" s="1117"/>
      <c r="AB71" s="1117"/>
      <c r="AC71" s="1117"/>
      <c r="AD71" s="1117"/>
      <c r="AE71" s="1117"/>
      <c r="AF71" s="1117"/>
      <c r="AG71" s="1117"/>
      <c r="AH71" s="1117"/>
      <c r="AI71" s="1117"/>
      <c r="AJ71" s="1117"/>
      <c r="AK71" s="1117"/>
    </row>
    <row r="72" spans="1:37" s="1116" customFormat="1" ht="51">
      <c r="A72" s="2127" t="s">
        <v>2061</v>
      </c>
      <c r="B72" s="2130" t="str">
        <f>估价对象房地状况!C15</f>
        <v>估价对象周边居住用地比例、居住小区规模和社区发展完善程度，综合评价居住社区成熟度一般</v>
      </c>
      <c r="C72" s="2041"/>
      <c r="D72" s="1062">
        <f t="shared" ref="D72:D80" si="18">SUMIF($J$71:$N$71,C72,J72:N72)</f>
        <v>0</v>
      </c>
      <c r="E72" s="741">
        <f>ROUND(SUM(D72:D80),4)</f>
        <v>0</v>
      </c>
      <c r="F72" s="1811" t="str">
        <f>IF(E2="住宅",SUMIF(L1:L12,G2,N1:N12),"——")</f>
        <v>——</v>
      </c>
      <c r="G72" s="1060"/>
      <c r="H72" s="1063" t="str">
        <f t="shared" ref="H72:H80" si="19">IFERROR(ROUNDDOWN($F$72*I72/2,4),"——")</f>
        <v>——</v>
      </c>
      <c r="I72" s="3362">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7" t="s">
        <v>2048</v>
      </c>
      <c r="B73" s="2131" t="str">
        <f>估价对象房地状况!C18</f>
        <v>估价对象周边道路状况、公共交通通达情况、停车便捷程度，综合评价交通便捷度较好</v>
      </c>
      <c r="C73" s="2041"/>
      <c r="D73" s="1062">
        <f t="shared" si="18"/>
        <v>0</v>
      </c>
      <c r="E73" s="744"/>
      <c r="F73" s="1811"/>
      <c r="G73" s="1060"/>
      <c r="H73" s="1063" t="str">
        <f t="shared" si="19"/>
        <v>——</v>
      </c>
      <c r="I73" s="3362">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8"/>
        <v>0</v>
      </c>
      <c r="E74" s="744"/>
      <c r="F74" s="1811"/>
      <c r="G74" s="1060"/>
      <c r="H74" s="1063" t="str">
        <f t="shared" si="19"/>
        <v>——</v>
      </c>
      <c r="I74" s="3362">
        <v>0.1</v>
      </c>
      <c r="J74" s="1061">
        <f t="shared" si="20"/>
        <v>0</v>
      </c>
      <c r="K74" s="1061">
        <f t="shared" si="21"/>
        <v>0</v>
      </c>
      <c r="L74" s="1061">
        <v>0</v>
      </c>
      <c r="M74" s="1061">
        <f t="shared" si="22"/>
        <v>0</v>
      </c>
      <c r="N74" s="1061">
        <f t="shared" si="22"/>
        <v>0</v>
      </c>
      <c r="O74" s="1116"/>
      <c r="P74" s="1116"/>
      <c r="Q74" s="1116"/>
      <c r="AA74" s="2138"/>
      <c r="AB74" s="1117"/>
      <c r="AC74" s="1117"/>
      <c r="AD74" s="1117"/>
      <c r="AE74" s="1117"/>
      <c r="AF74" s="1117"/>
      <c r="AG74" s="1117"/>
      <c r="AH74" s="2138"/>
      <c r="AI74" s="2138"/>
      <c r="AJ74" s="2138"/>
      <c r="AK74" s="2138"/>
    </row>
    <row r="75" spans="1:37" ht="14.25">
      <c r="A75" s="2127" t="s">
        <v>2062</v>
      </c>
      <c r="B75" s="2131">
        <f>估价对象房地状况!C24</f>
        <v>0</v>
      </c>
      <c r="C75" s="2041"/>
      <c r="D75" s="1062">
        <f t="shared" si="18"/>
        <v>0</v>
      </c>
      <c r="E75" s="744"/>
      <c r="F75" s="1811"/>
      <c r="G75" s="1060"/>
      <c r="H75" s="1063" t="str">
        <f t="shared" si="19"/>
        <v>——</v>
      </c>
      <c r="I75" s="3362">
        <v>0.05</v>
      </c>
      <c r="J75" s="1061">
        <f t="shared" si="20"/>
        <v>0</v>
      </c>
      <c r="K75" s="1061">
        <f t="shared" si="21"/>
        <v>0</v>
      </c>
      <c r="L75" s="1061">
        <v>0</v>
      </c>
      <c r="M75" s="1061">
        <f t="shared" si="22"/>
        <v>0</v>
      </c>
      <c r="N75" s="1061">
        <f t="shared" si="22"/>
        <v>0</v>
      </c>
      <c r="O75" s="1116"/>
      <c r="P75" s="1116"/>
      <c r="Q75" s="1994"/>
      <c r="Z75" s="1995"/>
      <c r="AA75" s="2050"/>
      <c r="AG75" s="1118"/>
      <c r="AK75" s="2050"/>
    </row>
    <row r="76" spans="1:37" ht="25.5">
      <c r="A76" s="2127" t="s">
        <v>2054</v>
      </c>
      <c r="B76" s="1323" t="str">
        <f>估价对象房地状况!C21</f>
        <v>估价对象所在区域公共配套设施齐备情况</v>
      </c>
      <c r="C76" s="2041"/>
      <c r="D76" s="1062">
        <f t="shared" si="18"/>
        <v>0</v>
      </c>
      <c r="E76" s="744"/>
      <c r="F76" s="1811"/>
      <c r="G76" s="1060"/>
      <c r="H76" s="1063" t="str">
        <f t="shared" si="19"/>
        <v>——</v>
      </c>
      <c r="I76" s="3362">
        <v>0.08</v>
      </c>
      <c r="J76" s="1061">
        <f t="shared" si="20"/>
        <v>0</v>
      </c>
      <c r="K76" s="1061">
        <f t="shared" si="21"/>
        <v>0</v>
      </c>
      <c r="L76" s="1061">
        <v>0</v>
      </c>
      <c r="M76" s="1061">
        <f t="shared" si="22"/>
        <v>0</v>
      </c>
      <c r="N76" s="1061">
        <f t="shared" si="22"/>
        <v>0</v>
      </c>
      <c r="O76" s="1116"/>
      <c r="P76" s="1116"/>
      <c r="Z76" s="1995"/>
      <c r="AA76" s="2050"/>
      <c r="AG76" s="1118"/>
      <c r="AK76" s="2050"/>
    </row>
    <row r="77" spans="1:37" ht="25.5">
      <c r="A77" s="2127" t="s">
        <v>2055</v>
      </c>
      <c r="B77" s="1323" t="str">
        <f>估价对象房地状况!C22</f>
        <v>估价对象所在区域基础设施水平</v>
      </c>
      <c r="C77" s="2041"/>
      <c r="D77" s="1062">
        <f t="shared" si="18"/>
        <v>0</v>
      </c>
      <c r="E77" s="744"/>
      <c r="F77" s="1811"/>
      <c r="G77" s="1060"/>
      <c r="H77" s="1063" t="str">
        <f t="shared" si="19"/>
        <v>——</v>
      </c>
      <c r="I77" s="3362">
        <v>0.09</v>
      </c>
      <c r="J77" s="1061">
        <f t="shared" si="20"/>
        <v>0</v>
      </c>
      <c r="K77" s="1061">
        <f t="shared" si="21"/>
        <v>0</v>
      </c>
      <c r="L77" s="1061">
        <v>0</v>
      </c>
      <c r="M77" s="1061">
        <f t="shared" si="22"/>
        <v>0</v>
      </c>
      <c r="N77" s="1061">
        <f t="shared" si="22"/>
        <v>0</v>
      </c>
      <c r="O77" s="1116"/>
      <c r="P77" s="1116"/>
      <c r="Z77" s="1995"/>
      <c r="AA77" s="2050"/>
      <c r="AG77" s="1118"/>
      <c r="AK77" s="2050"/>
    </row>
    <row r="78" spans="1:37" ht="24">
      <c r="A78" s="2127" t="s">
        <v>2052</v>
      </c>
      <c r="B78" s="2133" t="s">
        <v>2053</v>
      </c>
      <c r="C78" s="2041"/>
      <c r="D78" s="1062">
        <f t="shared" si="18"/>
        <v>0</v>
      </c>
      <c r="E78" s="744"/>
      <c r="F78" s="1811"/>
      <c r="G78" s="1060"/>
      <c r="H78" s="1063" t="str">
        <f t="shared" si="19"/>
        <v>——</v>
      </c>
      <c r="I78" s="3362">
        <v>0.05</v>
      </c>
      <c r="J78" s="1061">
        <f t="shared" si="20"/>
        <v>0</v>
      </c>
      <c r="K78" s="1061">
        <f t="shared" si="21"/>
        <v>0</v>
      </c>
      <c r="L78" s="1061">
        <v>0</v>
      </c>
      <c r="M78" s="1061">
        <f t="shared" si="22"/>
        <v>0</v>
      </c>
      <c r="N78" s="1061">
        <f t="shared" si="22"/>
        <v>0</v>
      </c>
      <c r="O78" s="1994"/>
      <c r="P78" s="1994"/>
      <c r="Z78" s="1995"/>
      <c r="AA78" s="2050"/>
      <c r="AG78" s="1118"/>
      <c r="AK78" s="2050"/>
    </row>
    <row r="79" spans="1:37" ht="25.5">
      <c r="A79" s="2127" t="s">
        <v>2056</v>
      </c>
      <c r="B79" s="2130" t="str">
        <f>估价对象房地状况!C20</f>
        <v>区域自然环境：；人文环境；综合评价环境状况一般</v>
      </c>
      <c r="C79" s="2041"/>
      <c r="D79" s="1062">
        <f t="shared" si="18"/>
        <v>0</v>
      </c>
      <c r="E79" s="744"/>
      <c r="F79" s="1811"/>
      <c r="G79" s="1060"/>
      <c r="H79" s="1063" t="str">
        <f t="shared" si="19"/>
        <v>——</v>
      </c>
      <c r="I79" s="3362">
        <v>0.12</v>
      </c>
      <c r="J79" s="1061">
        <f t="shared" si="20"/>
        <v>0</v>
      </c>
      <c r="K79" s="1061">
        <f t="shared" si="21"/>
        <v>0</v>
      </c>
      <c r="L79" s="1061">
        <v>0</v>
      </c>
      <c r="M79" s="1061">
        <f t="shared" si="22"/>
        <v>0</v>
      </c>
      <c r="N79" s="1061">
        <f t="shared" si="22"/>
        <v>0</v>
      </c>
      <c r="Z79" s="1995"/>
      <c r="AA79" s="2050"/>
      <c r="AG79" s="1118"/>
      <c r="AK79" s="2050"/>
    </row>
    <row r="80" spans="1:37" ht="24.75" thickBot="1">
      <c r="A80" s="2135" t="s">
        <v>2063</v>
      </c>
      <c r="B80" s="2139"/>
      <c r="C80" s="2041"/>
      <c r="D80" s="1062">
        <f t="shared" si="18"/>
        <v>0</v>
      </c>
      <c r="E80" s="745"/>
      <c r="F80" s="1811"/>
      <c r="G80" s="1060"/>
      <c r="H80" s="1063" t="str">
        <f t="shared" si="19"/>
        <v>——</v>
      </c>
      <c r="I80" s="3363">
        <v>0.05</v>
      </c>
      <c r="J80" s="1061">
        <f t="shared" si="20"/>
        <v>0</v>
      </c>
      <c r="K80" s="1061">
        <f t="shared" si="21"/>
        <v>0</v>
      </c>
      <c r="L80" s="1061">
        <v>0</v>
      </c>
      <c r="M80" s="1061">
        <f t="shared" si="22"/>
        <v>0</v>
      </c>
      <c r="N80" s="1061">
        <f t="shared" si="22"/>
        <v>0</v>
      </c>
      <c r="Z80" s="1995"/>
      <c r="AA80" s="2050"/>
      <c r="AG80" s="1118"/>
      <c r="AK80" s="2050"/>
    </row>
    <row r="81" spans="1:37" ht="15">
      <c r="A81" s="2123" t="s">
        <v>2064</v>
      </c>
      <c r="B81" s="2124">
        <f>1+E83</f>
        <v>1</v>
      </c>
      <c r="C81" s="738"/>
      <c r="D81" s="738"/>
      <c r="E81" s="739"/>
      <c r="F81" s="2126"/>
      <c r="G81" s="3"/>
      <c r="H81" s="3"/>
      <c r="I81" s="3"/>
      <c r="J81" s="4"/>
      <c r="K81" s="4"/>
      <c r="L81" s="4"/>
      <c r="M81" s="4"/>
      <c r="N81" s="4"/>
      <c r="Z81" s="1995"/>
      <c r="AA81" s="2050"/>
      <c r="AG81" s="1118"/>
      <c r="AK81" s="2050"/>
    </row>
    <row r="82" spans="1:37" ht="24.75">
      <c r="A82" s="2127" t="s">
        <v>2039</v>
      </c>
      <c r="B82" s="1348"/>
      <c r="C82" s="1348" t="s">
        <v>2041</v>
      </c>
      <c r="D82" s="1348" t="s">
        <v>2042</v>
      </c>
      <c r="E82" s="740" t="s">
        <v>2043</v>
      </c>
      <c r="F82" s="2128" t="s">
        <v>2058</v>
      </c>
      <c r="G82" s="1348" t="s">
        <v>310</v>
      </c>
      <c r="H82" s="2129" t="s">
        <v>2045</v>
      </c>
      <c r="I82" s="1348" t="s">
        <v>2046</v>
      </c>
      <c r="J82" s="552" t="s">
        <v>1716</v>
      </c>
      <c r="K82" s="552" t="s">
        <v>1717</v>
      </c>
      <c r="L82" s="552" t="s">
        <v>1718</v>
      </c>
      <c r="M82" s="552" t="s">
        <v>1719</v>
      </c>
      <c r="N82" s="552" t="s">
        <v>1720</v>
      </c>
      <c r="Z82" s="1995"/>
      <c r="AA82" s="2050"/>
      <c r="AG82" s="1118"/>
      <c r="AK82" s="2050"/>
    </row>
    <row r="83" spans="1:37" ht="38.25">
      <c r="A83" s="2127" t="s">
        <v>2065</v>
      </c>
      <c r="B83" s="2131" t="str">
        <f>估价对象房地状况!G15</f>
        <v>估价对象位于XX开发区，园区建设成熟度XX，产业集聚程度XX</v>
      </c>
      <c r="C83" s="2041"/>
      <c r="D83" s="1062">
        <f t="shared" ref="D83:D90" si="23">SUMIF($J$82:$N$82,C83,J83:N83)</f>
        <v>0</v>
      </c>
      <c r="E83" s="741">
        <f>ROUND(SUM(D83:D90),4)</f>
        <v>0</v>
      </c>
      <c r="F83" s="1811" t="str">
        <f>IF(E2="工业",SUMIF(L1:L12,G2,N1:N12),"——")</f>
        <v>——</v>
      </c>
      <c r="G83" s="1060"/>
      <c r="H83" s="1063" t="str">
        <f t="shared" ref="H83:H90" si="24">IFERROR(ROUNDDOWN($F$83*I83/2,4),"——")</f>
        <v>——</v>
      </c>
      <c r="I83" s="3362">
        <v>0.26</v>
      </c>
      <c r="J83" s="1061">
        <f t="shared" ref="J83:J90" si="25">K83+$G83</f>
        <v>0</v>
      </c>
      <c r="K83" s="1061">
        <f t="shared" ref="K83:K90" si="26">$L83+$G83</f>
        <v>0</v>
      </c>
      <c r="L83" s="1061">
        <v>0</v>
      </c>
      <c r="M83" s="1061">
        <f t="shared" ref="M83:N90" si="27">L83-$G83</f>
        <v>0</v>
      </c>
      <c r="N83" s="1061">
        <f t="shared" si="27"/>
        <v>0</v>
      </c>
      <c r="Z83" s="1995"/>
      <c r="AA83" s="2050"/>
      <c r="AG83" s="1118"/>
      <c r="AK83" s="2050"/>
    </row>
    <row r="84" spans="1:37" ht="38.25">
      <c r="A84" s="2127" t="s">
        <v>2048</v>
      </c>
      <c r="B84" s="2131" t="str">
        <f>估价对象房地状况!G16</f>
        <v>估价对象周边道路状况、公共交通通达情况、停车便捷程度，综合评价交通便捷度较好</v>
      </c>
      <c r="C84" s="2041"/>
      <c r="D84" s="1062">
        <f t="shared" si="23"/>
        <v>0</v>
      </c>
      <c r="E84" s="744"/>
      <c r="F84" s="1811"/>
      <c r="G84" s="1060"/>
      <c r="H84" s="1063" t="str">
        <f t="shared" si="24"/>
        <v>——</v>
      </c>
      <c r="I84" s="3362">
        <v>0.3</v>
      </c>
      <c r="J84" s="1061">
        <f t="shared" si="25"/>
        <v>0</v>
      </c>
      <c r="K84" s="1061">
        <f t="shared" si="26"/>
        <v>0</v>
      </c>
      <c r="L84" s="1061">
        <v>0</v>
      </c>
      <c r="M84" s="1061">
        <f t="shared" si="27"/>
        <v>0</v>
      </c>
      <c r="N84" s="1061">
        <f t="shared" si="27"/>
        <v>0</v>
      </c>
      <c r="Z84" s="1995"/>
      <c r="AA84" s="2050"/>
      <c r="AG84" s="1118"/>
      <c r="AK84" s="2050"/>
    </row>
    <row r="85" spans="1:37" ht="36">
      <c r="A85" s="3364" t="s">
        <v>3270</v>
      </c>
      <c r="B85" s="2131">
        <f>估价对象房地状况!G17</f>
        <v>0</v>
      </c>
      <c r="C85" s="2041"/>
      <c r="D85" s="1062">
        <f t="shared" si="23"/>
        <v>0</v>
      </c>
      <c r="E85" s="744"/>
      <c r="F85" s="1811"/>
      <c r="G85" s="1060"/>
      <c r="H85" s="1063" t="str">
        <f t="shared" si="24"/>
        <v>——</v>
      </c>
      <c r="I85" s="3362">
        <v>0.1</v>
      </c>
      <c r="J85" s="1061">
        <f t="shared" si="25"/>
        <v>0</v>
      </c>
      <c r="K85" s="1061">
        <f t="shared" si="26"/>
        <v>0</v>
      </c>
      <c r="L85" s="1061">
        <v>0</v>
      </c>
      <c r="M85" s="1061">
        <f t="shared" si="27"/>
        <v>0</v>
      </c>
      <c r="N85" s="1061">
        <f t="shared" si="27"/>
        <v>0</v>
      </c>
      <c r="Z85" s="1995"/>
      <c r="AA85" s="2050"/>
      <c r="AG85" s="1118"/>
      <c r="AK85" s="2050"/>
    </row>
    <row r="86" spans="1:37" ht="14.25">
      <c r="A86" s="2127" t="s">
        <v>2062</v>
      </c>
      <c r="B86" s="2131">
        <f>估价对象房地状况!G22</f>
        <v>0</v>
      </c>
      <c r="C86" s="2041"/>
      <c r="D86" s="1062">
        <f t="shared" si="23"/>
        <v>0</v>
      </c>
      <c r="E86" s="744"/>
      <c r="F86" s="1811"/>
      <c r="G86" s="1060"/>
      <c r="H86" s="1063" t="str">
        <f t="shared" si="24"/>
        <v>——</v>
      </c>
      <c r="I86" s="3362">
        <v>0.05</v>
      </c>
      <c r="J86" s="1061">
        <f t="shared" si="25"/>
        <v>0</v>
      </c>
      <c r="K86" s="1061">
        <f t="shared" si="26"/>
        <v>0</v>
      </c>
      <c r="L86" s="1061">
        <v>0</v>
      </c>
      <c r="M86" s="1061">
        <f t="shared" si="27"/>
        <v>0</v>
      </c>
      <c r="N86" s="1061">
        <f t="shared" si="27"/>
        <v>0</v>
      </c>
      <c r="Z86" s="1995"/>
      <c r="AA86" s="2050"/>
      <c r="AG86" s="1118"/>
      <c r="AK86" s="2050"/>
    </row>
    <row r="87" spans="1:37" ht="25.5">
      <c r="A87" s="2127" t="s">
        <v>2054</v>
      </c>
      <c r="B87" s="1323" t="str">
        <f>估价对象房地状况!G19</f>
        <v>估价对象所在区域公共配套设施齐备情况</v>
      </c>
      <c r="C87" s="2041"/>
      <c r="D87" s="1062">
        <f t="shared" si="23"/>
        <v>0</v>
      </c>
      <c r="E87" s="744"/>
      <c r="F87" s="1811"/>
      <c r="G87" s="1060"/>
      <c r="H87" s="1063" t="str">
        <f t="shared" si="24"/>
        <v>——</v>
      </c>
      <c r="I87" s="3362">
        <v>0.06</v>
      </c>
      <c r="J87" s="1061">
        <f t="shared" si="25"/>
        <v>0</v>
      </c>
      <c r="K87" s="1061">
        <f t="shared" si="26"/>
        <v>0</v>
      </c>
      <c r="L87" s="1061">
        <v>0</v>
      </c>
      <c r="M87" s="1061">
        <f t="shared" si="27"/>
        <v>0</v>
      </c>
      <c r="N87" s="1061">
        <f t="shared" si="27"/>
        <v>0</v>
      </c>
    </row>
    <row r="88" spans="1:37" ht="25.5">
      <c r="A88" s="2127" t="s">
        <v>2055</v>
      </c>
      <c r="B88" s="1323" t="str">
        <f>估价对象房地状况!G20</f>
        <v>估价对象所在区域基础设施水平</v>
      </c>
      <c r="C88" s="2041"/>
      <c r="D88" s="1062">
        <f t="shared" si="23"/>
        <v>0</v>
      </c>
      <c r="E88" s="744"/>
      <c r="F88" s="1811"/>
      <c r="G88" s="1060"/>
      <c r="H88" s="1063" t="str">
        <f t="shared" si="24"/>
        <v>——</v>
      </c>
      <c r="I88" s="3362">
        <v>0.12</v>
      </c>
      <c r="J88" s="1061">
        <f t="shared" si="25"/>
        <v>0</v>
      </c>
      <c r="K88" s="1061">
        <f t="shared" si="26"/>
        <v>0</v>
      </c>
      <c r="L88" s="1061">
        <v>0</v>
      </c>
      <c r="M88" s="1061">
        <f t="shared" si="27"/>
        <v>0</v>
      </c>
      <c r="N88" s="1061">
        <f t="shared" si="27"/>
        <v>0</v>
      </c>
    </row>
    <row r="89" spans="1:37" ht="24">
      <c r="A89" s="2127" t="s">
        <v>2052</v>
      </c>
      <c r="B89" s="2133" t="s">
        <v>2066</v>
      </c>
      <c r="C89" s="2041"/>
      <c r="D89" s="1062">
        <f t="shared" si="23"/>
        <v>0</v>
      </c>
      <c r="E89" s="744"/>
      <c r="F89" s="1811"/>
      <c r="G89" s="1060"/>
      <c r="H89" s="1063" t="str">
        <f t="shared" si="24"/>
        <v>——</v>
      </c>
      <c r="I89" s="3362">
        <v>0.06</v>
      </c>
      <c r="J89" s="1061">
        <f t="shared" si="25"/>
        <v>0</v>
      </c>
      <c r="K89" s="1061">
        <f t="shared" si="26"/>
        <v>0</v>
      </c>
      <c r="L89" s="1061">
        <v>0</v>
      </c>
      <c r="M89" s="1061">
        <f t="shared" si="27"/>
        <v>0</v>
      </c>
      <c r="N89" s="1061">
        <f t="shared" si="27"/>
        <v>0</v>
      </c>
    </row>
    <row r="90" spans="1:37" ht="39" thickBot="1">
      <c r="A90" s="2135" t="s">
        <v>2067</v>
      </c>
      <c r="B90" s="2140" t="str">
        <f>估价对象房地状况!G18</f>
        <v>该园区内是否有污染型企业，绿化情况，卫生条件，整体环境状况判断</v>
      </c>
      <c r="C90" s="2041"/>
      <c r="D90" s="1062">
        <f t="shared" si="23"/>
        <v>0</v>
      </c>
      <c r="E90" s="745"/>
      <c r="F90" s="1811"/>
      <c r="G90" s="1060"/>
      <c r="H90" s="1063" t="str">
        <f t="shared" si="24"/>
        <v>——</v>
      </c>
      <c r="I90" s="3363">
        <v>0.05</v>
      </c>
      <c r="J90" s="1061">
        <f t="shared" si="25"/>
        <v>0</v>
      </c>
      <c r="K90" s="1061">
        <f t="shared" si="26"/>
        <v>0</v>
      </c>
      <c r="L90" s="1061">
        <v>0</v>
      </c>
      <c r="M90" s="1061">
        <f t="shared" si="27"/>
        <v>0</v>
      </c>
      <c r="N90" s="1061">
        <f t="shared" si="27"/>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2039</v>
      </c>
      <c r="B92" s="3361"/>
      <c r="C92" s="3361" t="s">
        <v>2041</v>
      </c>
      <c r="D92" s="3361" t="s">
        <v>2042</v>
      </c>
      <c r="E92" s="3343" t="s">
        <v>2043</v>
      </c>
      <c r="F92" s="3376" t="s">
        <v>3284</v>
      </c>
      <c r="G92" s="3361" t="s">
        <v>1984</v>
      </c>
      <c r="H92" s="3383" t="s">
        <v>3288</v>
      </c>
      <c r="I92" s="3361" t="s">
        <v>2046</v>
      </c>
      <c r="J92" s="3384" t="s">
        <v>3290</v>
      </c>
      <c r="K92" s="3384" t="s">
        <v>1717</v>
      </c>
      <c r="L92" s="3384" t="s">
        <v>3292</v>
      </c>
      <c r="M92" s="3384" t="s">
        <v>1719</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2048</v>
      </c>
      <c r="B94" s="3365" t="str">
        <f>估价对象房地状况!C18</f>
        <v>估价对象周边道路状况、公共交通通达情况、停车便捷程度，综合评价交通便捷度较好</v>
      </c>
      <c r="C94" s="2041"/>
      <c r="D94" s="3361">
        <f t="shared" ref="D94:D101" si="31">SUMIF($J$60:$N$60,C94,J94:N94)</f>
        <v>0</v>
      </c>
      <c r="E94" s="3378"/>
      <c r="F94" s="1811"/>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3270</v>
      </c>
      <c r="B95" s="3365">
        <f>估价对象房地状况!C19</f>
        <v>0</v>
      </c>
      <c r="C95" s="2041"/>
      <c r="D95" s="3361">
        <f t="shared" si="31"/>
        <v>0</v>
      </c>
      <c r="E95" s="3378"/>
      <c r="F95" s="1811"/>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2049</v>
      </c>
      <c r="B96" s="3380" t="s">
        <v>3286</v>
      </c>
      <c r="C96" s="2041"/>
      <c r="D96" s="3361">
        <f t="shared" si="31"/>
        <v>0</v>
      </c>
      <c r="E96" s="3378"/>
      <c r="F96" s="1811"/>
      <c r="G96" s="3368"/>
      <c r="H96" s="3416" t="str">
        <f t="shared" si="32"/>
        <v>——</v>
      </c>
      <c r="I96" s="3362">
        <v>0.05</v>
      </c>
      <c r="J96" s="3340">
        <f t="shared" si="28"/>
        <v>0</v>
      </c>
      <c r="K96" s="3340">
        <f t="shared" si="29"/>
        <v>0</v>
      </c>
      <c r="L96" s="3340">
        <v>0</v>
      </c>
      <c r="M96" s="3340">
        <f t="shared" si="30"/>
        <v>0</v>
      </c>
      <c r="N96" s="3340">
        <f t="shared" si="30"/>
        <v>0</v>
      </c>
    </row>
    <row r="97" spans="1:14" ht="24">
      <c r="A97" s="3374" t="s">
        <v>2051</v>
      </c>
      <c r="B97" s="3365">
        <f>估价对象房地状况!C24</f>
        <v>0</v>
      </c>
      <c r="C97" s="2041"/>
      <c r="D97" s="3361">
        <f t="shared" si="31"/>
        <v>0</v>
      </c>
      <c r="E97" s="3378"/>
      <c r="F97" s="1811"/>
      <c r="G97" s="3368"/>
      <c r="H97" s="3416" t="str">
        <f t="shared" si="32"/>
        <v>——</v>
      </c>
      <c r="I97" s="3362">
        <v>0.05</v>
      </c>
      <c r="J97" s="3340">
        <f t="shared" si="28"/>
        <v>0</v>
      </c>
      <c r="K97" s="3340">
        <f t="shared" si="29"/>
        <v>0</v>
      </c>
      <c r="L97" s="3340">
        <v>0</v>
      </c>
      <c r="M97" s="3340">
        <f t="shared" si="30"/>
        <v>0</v>
      </c>
      <c r="N97" s="3340">
        <f t="shared" si="30"/>
        <v>0</v>
      </c>
    </row>
    <row r="98" spans="1:14" ht="24">
      <c r="A98" s="3374" t="s">
        <v>2052</v>
      </c>
      <c r="B98" s="3381" t="s">
        <v>3287</v>
      </c>
      <c r="C98" s="2041"/>
      <c r="D98" s="3361">
        <f t="shared" si="31"/>
        <v>0</v>
      </c>
      <c r="E98" s="3378"/>
      <c r="F98" s="1811"/>
      <c r="G98" s="3368"/>
      <c r="H98" s="3416" t="str">
        <f t="shared" si="32"/>
        <v>——</v>
      </c>
      <c r="I98" s="3362">
        <v>0.06</v>
      </c>
      <c r="J98" s="3340">
        <f t="shared" si="28"/>
        <v>0</v>
      </c>
      <c r="K98" s="3340">
        <f t="shared" si="29"/>
        <v>0</v>
      </c>
      <c r="L98" s="3340">
        <v>0</v>
      </c>
      <c r="M98" s="3340">
        <f t="shared" si="30"/>
        <v>0</v>
      </c>
      <c r="N98" s="3340">
        <f t="shared" si="30"/>
        <v>0</v>
      </c>
    </row>
    <row r="99" spans="1:14" ht="25.5">
      <c r="A99" s="3374" t="s">
        <v>2054</v>
      </c>
      <c r="B99" s="3365" t="str">
        <f>估价对象房地状况!C21</f>
        <v>估价对象所在区域公共配套设施齐备情况</v>
      </c>
      <c r="C99" s="2041"/>
      <c r="D99" s="3361">
        <f t="shared" si="31"/>
        <v>0</v>
      </c>
      <c r="E99" s="3378"/>
      <c r="F99" s="1811"/>
      <c r="G99" s="3368"/>
      <c r="H99" s="3416" t="str">
        <f t="shared" si="32"/>
        <v>——</v>
      </c>
      <c r="I99" s="3362">
        <v>0.06</v>
      </c>
      <c r="J99" s="3340">
        <f t="shared" si="28"/>
        <v>0</v>
      </c>
      <c r="K99" s="3340">
        <f t="shared" si="29"/>
        <v>0</v>
      </c>
      <c r="L99" s="3340">
        <v>0</v>
      </c>
      <c r="M99" s="3340">
        <f t="shared" si="30"/>
        <v>0</v>
      </c>
      <c r="N99" s="3340">
        <f t="shared" si="30"/>
        <v>0</v>
      </c>
    </row>
    <row r="100" spans="1:14" ht="25.5">
      <c r="A100" s="3374" t="s">
        <v>2055</v>
      </c>
      <c r="B100" s="3365" t="str">
        <f>估价对象房地状况!C22</f>
        <v>估价对象所在区域基础设施水平</v>
      </c>
      <c r="C100" s="2041"/>
      <c r="D100" s="3361">
        <f t="shared" si="31"/>
        <v>0</v>
      </c>
      <c r="E100" s="3378"/>
      <c r="F100" s="1811"/>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2056</v>
      </c>
      <c r="B101" s="3382" t="str">
        <f>估价对象房地状况!C20</f>
        <v>区域自然环境：；人文环境；综合评价环境状况一般</v>
      </c>
      <c r="C101" s="2041"/>
      <c r="D101" s="3361">
        <f t="shared" si="31"/>
        <v>0</v>
      </c>
      <c r="E101" s="3379"/>
      <c r="F101" s="1811"/>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848" t="s">
        <v>3295</v>
      </c>
      <c r="B103" s="3848"/>
      <c r="C103" s="3848"/>
      <c r="D103" s="3848"/>
      <c r="E103" s="3848"/>
      <c r="F103" s="3848"/>
      <c r="G103" s="3848"/>
      <c r="H103" s="3848"/>
      <c r="I103" s="3848"/>
      <c r="J103" s="3848"/>
      <c r="K103" s="3474"/>
      <c r="L103" s="3474"/>
      <c r="M103" s="3474"/>
      <c r="N103" s="3474"/>
    </row>
    <row r="104" spans="1:14">
      <c r="A104" s="3849" t="s">
        <v>3296</v>
      </c>
      <c r="B104" s="3849" t="s">
        <v>3297</v>
      </c>
      <c r="C104" s="3386" t="s">
        <v>3298</v>
      </c>
      <c r="D104" s="3387"/>
      <c r="E104" s="3387"/>
      <c r="F104" s="3387"/>
      <c r="G104" s="3387"/>
      <c r="H104" s="3387"/>
      <c r="I104" s="3387"/>
      <c r="J104" s="3388"/>
      <c r="K104" s="3389"/>
      <c r="L104" s="3389"/>
      <c r="M104" s="3389"/>
      <c r="N104" s="3389"/>
    </row>
    <row r="105" spans="1:14">
      <c r="A105" s="3849"/>
      <c r="B105" s="3849"/>
      <c r="C105" s="3475" t="s">
        <v>3299</v>
      </c>
      <c r="D105" s="3475" t="s">
        <v>1957</v>
      </c>
      <c r="E105" s="3475" t="s">
        <v>1958</v>
      </c>
      <c r="F105" s="3475" t="s">
        <v>3302</v>
      </c>
      <c r="G105" s="3475" t="s">
        <v>1960</v>
      </c>
      <c r="H105" s="3475" t="s">
        <v>3304</v>
      </c>
      <c r="I105" s="3475" t="s">
        <v>1962</v>
      </c>
      <c r="J105" s="3475" t="s">
        <v>3306</v>
      </c>
      <c r="K105" s="3475" t="s">
        <v>1964</v>
      </c>
      <c r="L105" s="3475" t="s">
        <v>3308</v>
      </c>
      <c r="M105" s="3475" t="s">
        <v>1966</v>
      </c>
      <c r="N105" s="3475" t="s">
        <v>3310</v>
      </c>
    </row>
    <row r="106" spans="1:14">
      <c r="A106" s="3835" t="s">
        <v>3311</v>
      </c>
      <c r="B106" s="3475">
        <v>1</v>
      </c>
      <c r="C106" s="3475">
        <v>1.5206</v>
      </c>
      <c r="D106" s="3475">
        <v>1.5206</v>
      </c>
      <c r="E106" s="3475">
        <v>1.5019</v>
      </c>
      <c r="F106" s="3475">
        <v>1.5019</v>
      </c>
      <c r="G106" s="3475">
        <v>1.5019</v>
      </c>
      <c r="H106" s="3475">
        <v>1.5019</v>
      </c>
      <c r="I106" s="3475">
        <v>1.5019</v>
      </c>
      <c r="J106" s="3475">
        <v>1.5418000000000001</v>
      </c>
      <c r="K106" s="3475">
        <v>1.5418000000000001</v>
      </c>
      <c r="L106" s="3475">
        <v>1.5418000000000001</v>
      </c>
      <c r="M106" s="3475">
        <v>1.5418000000000001</v>
      </c>
      <c r="N106" s="3475">
        <v>1.5418000000000001</v>
      </c>
    </row>
    <row r="107" spans="1:14">
      <c r="A107" s="3836"/>
      <c r="B107" s="3475">
        <v>2</v>
      </c>
      <c r="C107" s="3475">
        <v>1.2072000000000001</v>
      </c>
      <c r="D107" s="3475">
        <v>1.2072000000000001</v>
      </c>
      <c r="E107" s="3475">
        <v>1.1838</v>
      </c>
      <c r="F107" s="3475">
        <v>1.1838</v>
      </c>
      <c r="G107" s="3475">
        <v>1.1838</v>
      </c>
      <c r="H107" s="3475">
        <v>1.1838</v>
      </c>
      <c r="I107" s="3475">
        <v>1.1838</v>
      </c>
      <c r="J107" s="3475">
        <v>1.1883999999999999</v>
      </c>
      <c r="K107" s="3475">
        <v>1.1883999999999999</v>
      </c>
      <c r="L107" s="3475">
        <v>1.1883999999999999</v>
      </c>
      <c r="M107" s="3475">
        <v>1.1883999999999999</v>
      </c>
      <c r="N107" s="3475">
        <v>1.1883999999999999</v>
      </c>
    </row>
    <row r="108" spans="1:14">
      <c r="A108" s="3836"/>
      <c r="B108" s="3475">
        <v>3</v>
      </c>
      <c r="C108" s="3475">
        <v>1.0430999999999999</v>
      </c>
      <c r="D108" s="3475">
        <v>1.0430999999999999</v>
      </c>
      <c r="E108" s="3475">
        <v>1.0004999999999999</v>
      </c>
      <c r="F108" s="3475">
        <v>1.0004999999999999</v>
      </c>
      <c r="G108" s="3475">
        <v>1.0004999999999999</v>
      </c>
      <c r="H108" s="3475">
        <v>1.0004999999999999</v>
      </c>
      <c r="I108" s="3475">
        <v>1.0004999999999999</v>
      </c>
      <c r="J108" s="3475">
        <v>0.96940000000000004</v>
      </c>
      <c r="K108" s="3475">
        <v>0.96940000000000004</v>
      </c>
      <c r="L108" s="3475">
        <v>0.96940000000000004</v>
      </c>
      <c r="M108" s="3475">
        <v>0.96940000000000004</v>
      </c>
      <c r="N108" s="3475">
        <v>0.96940000000000004</v>
      </c>
    </row>
    <row r="109" spans="1:14">
      <c r="A109" s="3836"/>
      <c r="B109" s="3475">
        <v>4</v>
      </c>
      <c r="C109" s="3475">
        <v>0.94389999999999996</v>
      </c>
      <c r="D109" s="3475">
        <v>0.94389999999999996</v>
      </c>
      <c r="E109" s="3475">
        <v>0.88239999999999996</v>
      </c>
      <c r="F109" s="3475">
        <v>0.88239999999999996</v>
      </c>
      <c r="G109" s="3475">
        <v>0.88239999999999996</v>
      </c>
      <c r="H109" s="3475">
        <v>0.88239999999999996</v>
      </c>
      <c r="I109" s="3475">
        <v>0.88239999999999996</v>
      </c>
      <c r="J109" s="3475">
        <v>0.82299999999999995</v>
      </c>
      <c r="K109" s="3475">
        <v>0.82299999999999995</v>
      </c>
      <c r="L109" s="3475">
        <v>0.82299999999999995</v>
      </c>
      <c r="M109" s="3475">
        <v>0.82299999999999995</v>
      </c>
      <c r="N109" s="3475">
        <v>0.82299999999999995</v>
      </c>
    </row>
    <row r="110" spans="1:14">
      <c r="A110" s="3836"/>
      <c r="B110" s="3475">
        <v>5</v>
      </c>
      <c r="C110" s="3475">
        <v>0.89959999999999996</v>
      </c>
      <c r="D110" s="3475">
        <v>0.89959999999999996</v>
      </c>
      <c r="E110" s="3475">
        <v>0.84799999999999998</v>
      </c>
      <c r="F110" s="3475">
        <v>0.84799999999999998</v>
      </c>
      <c r="G110" s="3475">
        <v>0.84799999999999998</v>
      </c>
      <c r="H110" s="3475">
        <v>0.84799999999999998</v>
      </c>
      <c r="I110" s="3475">
        <v>0.84799999999999998</v>
      </c>
      <c r="J110" s="3475">
        <v>0.74980000000000002</v>
      </c>
      <c r="K110" s="3475">
        <v>0.74980000000000002</v>
      </c>
      <c r="L110" s="3475">
        <v>0.74980000000000002</v>
      </c>
      <c r="M110" s="3475">
        <v>0.74980000000000002</v>
      </c>
      <c r="N110" s="3475">
        <v>0.74980000000000002</v>
      </c>
    </row>
    <row r="111" spans="1:14">
      <c r="A111" s="3836"/>
      <c r="B111" s="3475" t="s">
        <v>3269</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837"/>
      <c r="B112" s="3475">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838" t="s">
        <v>3312</v>
      </c>
      <c r="B113" s="3838"/>
      <c r="C113" s="3838"/>
      <c r="D113" s="3838"/>
      <c r="E113" s="3838"/>
      <c r="F113" s="3838"/>
      <c r="G113" s="3838"/>
      <c r="H113" s="3838"/>
      <c r="I113" s="3838"/>
      <c r="J113" s="3838"/>
      <c r="K113" s="3472"/>
      <c r="L113" s="3472"/>
      <c r="M113" s="3472"/>
      <c r="N113" s="347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2.5</v>
      </c>
      <c r="C116" s="3395" t="s">
        <v>3314</v>
      </c>
      <c r="D116" s="3396">
        <f>SUMPRODUCT((A118:A122=F116)*(B117:M117=H116)*B118:M122)</f>
        <v>0.91400000000000003</v>
      </c>
      <c r="E116" s="1997" t="s">
        <v>1931</v>
      </c>
      <c r="F116" s="3397" t="str">
        <f>E2</f>
        <v>商业</v>
      </c>
      <c r="G116" s="1997" t="s">
        <v>3316</v>
      </c>
      <c r="H116" s="3397" t="str">
        <f>G2</f>
        <v>五级</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1985</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6">I118</f>
        <v>0.80359999999999998</v>
      </c>
      <c r="K118" s="3383">
        <f t="shared" si="36"/>
        <v>0.80359999999999998</v>
      </c>
      <c r="L118" s="3383">
        <f t="shared" si="36"/>
        <v>0.80359999999999998</v>
      </c>
      <c r="M118" s="3406">
        <f t="shared" si="36"/>
        <v>0.80359999999999998</v>
      </c>
      <c r="N118" s="3393"/>
    </row>
    <row r="119" spans="1:14">
      <c r="A119" s="3405" t="s">
        <v>3330</v>
      </c>
      <c r="B119" s="3383">
        <f>ROUND(0.993-0.0112*B116,4)</f>
        <v>0.96499999999999997</v>
      </c>
      <c r="C119" s="3383">
        <f>B119</f>
        <v>0.96499999999999997</v>
      </c>
      <c r="D119" s="3383">
        <f>ROUND(0.9415-0.0142*B116,4)</f>
        <v>0.90600000000000003</v>
      </c>
      <c r="E119" s="3383">
        <f t="shared" ref="E119:H120" si="37">D119</f>
        <v>0.90600000000000003</v>
      </c>
      <c r="F119" s="3383">
        <f t="shared" si="37"/>
        <v>0.90600000000000003</v>
      </c>
      <c r="G119" s="3383">
        <f t="shared" si="37"/>
        <v>0.90600000000000003</v>
      </c>
      <c r="H119" s="3383">
        <f t="shared" si="37"/>
        <v>0.90600000000000003</v>
      </c>
      <c r="I119" s="3383">
        <f>ROUND(0.838-0.0182*B116,4)</f>
        <v>0.79249999999999998</v>
      </c>
      <c r="J119" s="3383">
        <f t="shared" si="36"/>
        <v>0.79249999999999998</v>
      </c>
      <c r="K119" s="3383">
        <f t="shared" si="36"/>
        <v>0.79249999999999998</v>
      </c>
      <c r="L119" s="3383">
        <f t="shared" si="36"/>
        <v>0.79249999999999998</v>
      </c>
      <c r="M119" s="3406">
        <f t="shared" si="36"/>
        <v>0.79249999999999998</v>
      </c>
      <c r="N119" s="3393"/>
    </row>
    <row r="120" spans="1:14">
      <c r="A120" s="3405" t="s">
        <v>3331</v>
      </c>
      <c r="B120" s="3383">
        <f>ROUND(0.9448-0.0115*B116,4)</f>
        <v>0.91610000000000003</v>
      </c>
      <c r="C120" s="3383">
        <f>B120</f>
        <v>0.91610000000000003</v>
      </c>
      <c r="D120" s="3383">
        <f>ROUND(0.937-0.0145*B116,4)</f>
        <v>0.90080000000000005</v>
      </c>
      <c r="E120" s="3383">
        <f t="shared" si="37"/>
        <v>0.90080000000000005</v>
      </c>
      <c r="F120" s="3383">
        <f t="shared" si="37"/>
        <v>0.90080000000000005</v>
      </c>
      <c r="G120" s="3383">
        <f t="shared" si="37"/>
        <v>0.90080000000000005</v>
      </c>
      <c r="H120" s="3383">
        <f t="shared" si="37"/>
        <v>0.90080000000000005</v>
      </c>
      <c r="I120" s="3383">
        <f>ROUND(0.7965-0.0185*B116,4)</f>
        <v>0.75029999999999997</v>
      </c>
      <c r="J120" s="3383">
        <f t="shared" si="36"/>
        <v>0.75029999999999997</v>
      </c>
      <c r="K120" s="3383">
        <f t="shared" si="36"/>
        <v>0.75029999999999997</v>
      </c>
      <c r="L120" s="3383">
        <f t="shared" si="36"/>
        <v>0.75029999999999997</v>
      </c>
      <c r="M120" s="3406">
        <f t="shared" si="36"/>
        <v>0.75029999999999997</v>
      </c>
      <c r="N120" s="3393"/>
    </row>
    <row r="121" spans="1:14" ht="13.5" thickBot="1">
      <c r="A121" s="3407" t="s">
        <v>3332</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6"/>
        <v>0.54300000000000004</v>
      </c>
      <c r="K121" s="3408">
        <f t="shared" si="36"/>
        <v>0.54300000000000004</v>
      </c>
      <c r="L121" s="3408">
        <f t="shared" si="36"/>
        <v>0.54300000000000004</v>
      </c>
      <c r="M121" s="3409">
        <f t="shared" si="36"/>
        <v>0.54300000000000004</v>
      </c>
      <c r="N121" s="3393"/>
    </row>
    <row r="122" spans="1:14">
      <c r="A122" s="3410" t="s">
        <v>2611</v>
      </c>
      <c r="B122" s="3383">
        <f>ROUND(0.9404-0.0106*B116,4)</f>
        <v>0.91390000000000005</v>
      </c>
      <c r="C122" s="3383">
        <f>B122</f>
        <v>0.91390000000000005</v>
      </c>
      <c r="D122" s="3383">
        <f>ROUND(0.8955-0.0135*B116,4)</f>
        <v>0.86180000000000001</v>
      </c>
      <c r="E122" s="3383">
        <f t="shared" ref="E122:H122" si="38">D122</f>
        <v>0.86180000000000001</v>
      </c>
      <c r="F122" s="3383">
        <f t="shared" si="38"/>
        <v>0.86180000000000001</v>
      </c>
      <c r="G122" s="3383">
        <f t="shared" si="38"/>
        <v>0.86180000000000001</v>
      </c>
      <c r="H122" s="3383">
        <f t="shared" si="38"/>
        <v>0.86180000000000001</v>
      </c>
      <c r="I122" s="3383">
        <f>ROUND(0.7632-0.0166*B116,4)</f>
        <v>0.72170000000000001</v>
      </c>
      <c r="J122" s="3383">
        <f t="shared" si="36"/>
        <v>0.72170000000000001</v>
      </c>
      <c r="K122" s="3383">
        <f t="shared" si="36"/>
        <v>0.72170000000000001</v>
      </c>
      <c r="L122" s="3383">
        <f t="shared" si="36"/>
        <v>0.72170000000000001</v>
      </c>
      <c r="M122" s="3406">
        <f t="shared" si="36"/>
        <v>0.72170000000000001</v>
      </c>
      <c r="N122" s="339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spans="1:5" ht="18">
      <c r="A3" s="3651" t="str">
        <f>IF(项目基本情况!B9="房地产市场价值","估价结果一览表（市场价值不需“结果表-1”）","估价结果一览表")</f>
        <v>估价结果一览表</v>
      </c>
      <c r="B3" s="3651"/>
      <c r="C3" s="3651"/>
      <c r="D3" s="3651"/>
      <c r="E3" s="3651"/>
    </row>
    <row r="4" spans="1:5" ht="19.5" thickBot="1">
      <c r="A4" s="1490"/>
      <c r="B4" s="3649" t="s">
        <v>915</v>
      </c>
      <c r="C4" s="3649"/>
      <c r="D4" s="3649"/>
      <c r="E4" s="1490"/>
    </row>
    <row r="5" spans="1:5" ht="16.5" thickTop="1">
      <c r="A5" s="1488"/>
      <c r="B5" s="3647" t="s">
        <v>907</v>
      </c>
      <c r="C5" s="1491" t="s">
        <v>908</v>
      </c>
      <c r="D5" s="847">
        <f ca="1">'结果表-负2层'!H101</f>
        <v>4411</v>
      </c>
      <c r="E5" s="1488"/>
    </row>
    <row r="6" spans="1:5" ht="15.75">
      <c r="A6" s="1488"/>
      <c r="B6" s="3647"/>
      <c r="C6" s="1491" t="s">
        <v>909</v>
      </c>
      <c r="D6" s="847" t="str">
        <f ca="1">NUMBERSTRING(INT(D5*10000),2)&amp;"元整"</f>
        <v>肆仟肆佰壹拾壹万元整</v>
      </c>
      <c r="E6" s="1488"/>
    </row>
    <row r="7" spans="1:5" ht="15.75">
      <c r="A7" s="1488"/>
      <c r="B7" s="3652"/>
      <c r="C7" s="1492" t="s">
        <v>910</v>
      </c>
      <c r="D7" s="848">
        <f ca="1">'结果表-负2层'!H102</f>
        <v>15464</v>
      </c>
      <c r="E7" s="1488"/>
    </row>
    <row r="8" spans="1:5" ht="15.75">
      <c r="A8" s="1488"/>
      <c r="B8" s="3653" t="str">
        <f>'结果表-负2层'!E103</f>
        <v>2.估价师知悉的法定优先受偿款</v>
      </c>
      <c r="C8" s="1493" t="s">
        <v>911</v>
      </c>
      <c r="D8" s="848">
        <f>'结果表-负2层'!H103</f>
        <v>0</v>
      </c>
      <c r="E8" s="1488"/>
    </row>
    <row r="9" spans="1:5" ht="15.75">
      <c r="A9" s="1488"/>
      <c r="B9" s="3655"/>
      <c r="C9" s="1491" t="s">
        <v>909</v>
      </c>
      <c r="D9" s="847" t="str">
        <f>NUMBERSTRING(INT(D8*10000),2)&amp;"元整"</f>
        <v>零元整</v>
      </c>
      <c r="E9" s="1488"/>
    </row>
    <row r="10" spans="1:5" ht="15">
      <c r="A10" s="1488"/>
      <c r="B10" s="1494" t="s">
        <v>914</v>
      </c>
      <c r="C10" s="1495" t="s">
        <v>912</v>
      </c>
      <c r="D10" s="849">
        <f>'结果表-负2层'!H104</f>
        <v>0</v>
      </c>
      <c r="E10" s="1488"/>
    </row>
    <row r="11" spans="1:5" ht="15">
      <c r="A11" s="1488"/>
      <c r="B11" s="1494" t="s">
        <v>916</v>
      </c>
      <c r="C11" s="1495" t="s">
        <v>917</v>
      </c>
      <c r="D11" s="849">
        <f>'结果表-负2层'!H105</f>
        <v>0</v>
      </c>
      <c r="E11" s="1488"/>
    </row>
    <row r="12" spans="1:5" ht="15">
      <c r="A12" s="1488"/>
      <c r="B12" s="1494" t="s">
        <v>918</v>
      </c>
      <c r="C12" s="1495" t="s">
        <v>917</v>
      </c>
      <c r="D12" s="849">
        <f>'结果表-负2层'!H106</f>
        <v>0</v>
      </c>
      <c r="E12" s="1488"/>
    </row>
    <row r="13" spans="1:5" ht="15.75">
      <c r="A13" s="1488"/>
      <c r="B13" s="3646" t="str">
        <f>'结果表-负2层'!E107</f>
        <v>3.房地产抵押价值</v>
      </c>
      <c r="C13" s="1496" t="s">
        <v>908</v>
      </c>
      <c r="D13" s="850">
        <f ca="1">'结果表-负2层'!H107</f>
        <v>4411</v>
      </c>
      <c r="E13" s="1488"/>
    </row>
    <row r="14" spans="1:5" ht="15.75">
      <c r="A14" s="1488"/>
      <c r="B14" s="3647"/>
      <c r="C14" s="1491" t="s">
        <v>909</v>
      </c>
      <c r="D14" s="847" t="str">
        <f ca="1">NUMBERSTRING(INT(D13*10000),2)&amp;"元整"</f>
        <v>肆仟肆佰壹拾壹万元整</v>
      </c>
      <c r="E14" s="1488"/>
    </row>
    <row r="15" spans="1:5" ht="15">
      <c r="A15" s="1488"/>
      <c r="B15" s="3652"/>
      <c r="C15" s="1492" t="s">
        <v>919</v>
      </c>
      <c r="D15" s="856">
        <f ca="1">'结果表-负2层'!H108</f>
        <v>15464</v>
      </c>
      <c r="E15" s="1488"/>
    </row>
    <row r="16" spans="1:5" ht="15">
      <c r="A16" s="1488"/>
      <c r="B16" s="3653" t="str">
        <f>'结果表-负2层'!E109</f>
        <v>——</v>
      </c>
      <c r="C16" s="1496" t="s">
        <v>920</v>
      </c>
      <c r="D16" s="1497" t="str">
        <f>'结果表-负2层'!H109</f>
        <v>——</v>
      </c>
      <c r="E16" s="1488"/>
    </row>
    <row r="17" spans="1:5" ht="15.75">
      <c r="A17" s="1488"/>
      <c r="B17" s="3654"/>
      <c r="C17" s="1491" t="s">
        <v>921</v>
      </c>
      <c r="D17" s="847" t="e">
        <f>NUMBERSTRING(INT(D16*10000),2)&amp;"元整"</f>
        <v>#VALUE!</v>
      </c>
      <c r="E17" s="1488"/>
    </row>
    <row r="18" spans="1:5" ht="15">
      <c r="A18" s="1488"/>
      <c r="B18" s="3655"/>
      <c r="C18" s="1492" t="s">
        <v>910</v>
      </c>
      <c r="D18" s="856" t="str">
        <f>'结果表-负2层'!H110</f>
        <v>——</v>
      </c>
      <c r="E18" s="1488"/>
    </row>
    <row r="19" spans="1:5" ht="15.75">
      <c r="A19" s="1488"/>
      <c r="B19" s="3646" t="str">
        <f>'结果表-负2层'!E111</f>
        <v>——</v>
      </c>
      <c r="C19" s="1496" t="s">
        <v>908</v>
      </c>
      <c r="D19" s="848" t="str">
        <f>'结果表-负2层'!H111</f>
        <v>——</v>
      </c>
      <c r="E19" s="1488"/>
    </row>
    <row r="20" spans="1:5" ht="15.75">
      <c r="A20" s="1488"/>
      <c r="B20" s="3647"/>
      <c r="C20" s="1491" t="s">
        <v>921</v>
      </c>
      <c r="D20" s="847" t="e">
        <f>NUMBERSTRING(INT(D19*10000),2)&amp;"元整"</f>
        <v>#VALUE!</v>
      </c>
      <c r="E20" s="1488"/>
    </row>
    <row r="21" spans="1:5" ht="15.75" thickBot="1">
      <c r="A21" s="1488"/>
      <c r="B21" s="3648"/>
      <c r="C21" s="1498" t="s">
        <v>919</v>
      </c>
      <c r="D21" s="857" t="str">
        <f>'结果表-负2层'!H112</f>
        <v>——</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3"/>
      <c r="C1" s="1376" t="s">
        <v>3662</v>
      </c>
      <c r="D1" s="1359" t="s">
        <v>43</v>
      </c>
      <c r="E1" s="1360" t="s">
        <v>676</v>
      </c>
      <c r="F1" s="1059" t="e">
        <f ca="1">J53</f>
        <v>#N/A</v>
      </c>
      <c r="G1" s="1375"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802</v>
      </c>
      <c r="B2" s="1383" t="e">
        <f ca="1">C40+J29+L46</f>
        <v>#N/A</v>
      </c>
      <c r="C2" s="1384" t="s">
        <v>803</v>
      </c>
      <c r="D2" s="1384"/>
      <c r="E2" s="1385"/>
      <c r="F2" s="1386"/>
      <c r="G2" s="2701"/>
      <c r="H2" s="2690"/>
      <c r="I2" s="2690"/>
      <c r="J2" s="2690"/>
      <c r="K2" s="2691"/>
      <c r="L2" s="2690"/>
      <c r="M2" s="2690"/>
    </row>
    <row r="3" spans="1:37" ht="18" customHeight="1" thickBot="1">
      <c r="A3" s="1387" t="s">
        <v>804</v>
      </c>
      <c r="B3" s="1388">
        <f ca="1">IF(ISERROR(B2*10000/F43),0,ROUND(B2*10000/F43,0))</f>
        <v>0</v>
      </c>
      <c r="C3" s="1384" t="s">
        <v>805</v>
      </c>
      <c r="D3" s="1384"/>
      <c r="E3" s="1385"/>
      <c r="F3" s="1386"/>
      <c r="G3" s="2701"/>
      <c r="H3" s="683"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7" t="e">
        <f ca="1">C6+C10+C12</f>
        <v>#N/A</v>
      </c>
      <c r="D5" s="1361" t="s">
        <v>691</v>
      </c>
      <c r="E5" s="1068"/>
      <c r="F5" s="1069"/>
      <c r="G5" s="1381"/>
      <c r="H5" s="299">
        <v>1</v>
      </c>
      <c r="I5" s="300" t="s">
        <v>690</v>
      </c>
      <c r="J5" s="1067" t="e">
        <f ca="1">J6+J10+J12</f>
        <v>#N/A</v>
      </c>
      <c r="K5" s="1361" t="s">
        <v>691</v>
      </c>
      <c r="L5" s="1068"/>
      <c r="M5" s="1069"/>
    </row>
    <row r="6" spans="1:37" ht="18" customHeight="1">
      <c r="A6" s="1066" t="s">
        <v>398</v>
      </c>
      <c r="B6" s="3859" t="s">
        <v>692</v>
      </c>
      <c r="C6" s="1071" t="e">
        <f ca="1">ROUND(F6*F8*F7*(1-F9)/10000,0)</f>
        <v>#N/A</v>
      </c>
      <c r="D6" s="155" t="s">
        <v>2104</v>
      </c>
      <c r="E6" s="302" t="s">
        <v>694</v>
      </c>
      <c r="F6" s="303" t="e">
        <f ca="1">INDIRECT("'数据-取费表'!u"&amp;$G$1)</f>
        <v>#N/A</v>
      </c>
      <c r="G6" s="1381"/>
      <c r="H6" s="1066" t="s">
        <v>398</v>
      </c>
      <c r="I6" s="3859" t="s">
        <v>692</v>
      </c>
      <c r="J6" s="301" t="e">
        <f ca="1">ROUND(M6*M8*M7*(1-M9)/10000,0)</f>
        <v>#N/A</v>
      </c>
      <c r="K6" s="155" t="s">
        <v>2103</v>
      </c>
      <c r="L6" s="302" t="s">
        <v>694</v>
      </c>
      <c r="M6" s="303" t="e">
        <f ca="1">INDIRECT("'数据-取费表'!z"&amp;$G$1)</f>
        <v>#N/A</v>
      </c>
    </row>
    <row r="7" spans="1:37" ht="18" customHeight="1">
      <c r="A7" s="1070"/>
      <c r="B7" s="3860"/>
      <c r="C7" s="1072"/>
      <c r="D7" s="307"/>
      <c r="E7" s="3467" t="s">
        <v>695</v>
      </c>
      <c r="F7" s="303" t="e">
        <f ca="1">IF(INDIRECT("'数据-取费表'!ah"&amp;$G$1)="",INDIRECT("'数据-取费表'!k"&amp;$G$1),INDIRECT("'数据-取费表'!ah"&amp;$G$1))</f>
        <v>#N/A</v>
      </c>
      <c r="G7" s="1381"/>
      <c r="H7" s="304"/>
      <c r="I7" s="3860"/>
      <c r="J7" s="306"/>
      <c r="K7" s="307"/>
      <c r="L7" s="302" t="s">
        <v>695</v>
      </c>
      <c r="M7" s="303" t="e">
        <f ca="1">F7</f>
        <v>#N/A</v>
      </c>
    </row>
    <row r="8" spans="1:37" ht="18" customHeight="1">
      <c r="A8" s="304"/>
      <c r="B8" s="3860"/>
      <c r="C8" s="306"/>
      <c r="D8" s="307"/>
      <c r="E8" s="302" t="s">
        <v>696</v>
      </c>
      <c r="F8" s="303" t="e">
        <f ca="1">INDIRECT("'数据-取费表'!ai"&amp;$G$1)</f>
        <v>#N/A</v>
      </c>
      <c r="G8" s="1381"/>
      <c r="H8" s="304"/>
      <c r="I8" s="3860"/>
      <c r="J8" s="306"/>
      <c r="K8" s="307"/>
      <c r="L8" s="302" t="s">
        <v>696</v>
      </c>
      <c r="M8" s="303" t="e">
        <f ca="1">INDIRECT("'数据-取费表'!ai"&amp;$G$1)</f>
        <v>#N/A</v>
      </c>
    </row>
    <row r="9" spans="1:37" ht="18" customHeight="1">
      <c r="A9" s="304"/>
      <c r="B9" s="3861"/>
      <c r="C9" s="306"/>
      <c r="D9" s="307"/>
      <c r="E9" s="302" t="s">
        <v>697</v>
      </c>
      <c r="F9" s="312" t="e">
        <f ca="1">INDIRECT("'数据-取费表'!w"&amp;$G$1)</f>
        <v>#N/A</v>
      </c>
      <c r="G9" s="1381"/>
      <c r="H9" s="304"/>
      <c r="I9" s="3861"/>
      <c r="J9" s="306"/>
      <c r="K9" s="307"/>
      <c r="L9" s="313" t="s">
        <v>697</v>
      </c>
      <c r="M9" s="314" t="e">
        <f ca="1">INDIRECT("'数据-取费表'!ab"&amp;$G$1)</f>
        <v>#N/A</v>
      </c>
    </row>
    <row r="10" spans="1:37" ht="18" customHeight="1">
      <c r="A10" s="1066" t="s">
        <v>402</v>
      </c>
      <c r="B10" s="1362" t="s">
        <v>698</v>
      </c>
      <c r="C10" s="316">
        <f ca="1">ROUND(IF(F10="押一",C6/12*F11,IF(F10="押二",C6/12*2*F11,IF(F10="押三",C6/12*3*F11,C11*F11))),0)</f>
        <v>0</v>
      </c>
      <c r="D10" s="1363" t="s">
        <v>2111</v>
      </c>
      <c r="E10" s="313" t="s">
        <v>699</v>
      </c>
      <c r="F10" s="1113" t="s">
        <v>3695</v>
      </c>
      <c r="G10" s="1381"/>
      <c r="H10" s="1066" t="s">
        <v>402</v>
      </c>
      <c r="I10" s="1362" t="s">
        <v>698</v>
      </c>
      <c r="J10" s="301">
        <f ca="1">ROUND(IF(M10="押一",J6/12*M11,IF(M10="押二",J6/12*2*M11,IF(M10="押三",J6/12*3*M11,J11*M11))),0)</f>
        <v>0</v>
      </c>
      <c r="K10" s="1363" t="s">
        <v>2111</v>
      </c>
      <c r="L10" s="313" t="s">
        <v>699</v>
      </c>
      <c r="M10" s="1113"/>
    </row>
    <row r="11" spans="1:37" ht="18" customHeight="1">
      <c r="A11" s="308"/>
      <c r="B11" s="1364" t="s">
        <v>677</v>
      </c>
      <c r="C11" s="956"/>
      <c r="D11" s="1365"/>
      <c r="E11" s="313" t="s">
        <v>700</v>
      </c>
      <c r="F11" s="314">
        <f ca="1">'数据-取费表'!B39</f>
        <v>1.4999999999999999E-2</v>
      </c>
      <c r="G11" s="1381"/>
      <c r="H11" s="1074"/>
      <c r="I11" s="1364" t="s">
        <v>677</v>
      </c>
      <c r="J11" s="956"/>
      <c r="K11" s="684"/>
      <c r="L11" s="313" t="s">
        <v>700</v>
      </c>
      <c r="M11" s="859">
        <f ca="1">'数据-取费表'!B39</f>
        <v>1.4999999999999999E-2</v>
      </c>
    </row>
    <row r="12" spans="1:37" ht="18" customHeight="1" thickBot="1">
      <c r="A12" s="1080" t="s">
        <v>437</v>
      </c>
      <c r="B12" s="1366" t="s">
        <v>701</v>
      </c>
      <c r="C12" s="1081"/>
      <c r="D12" s="1082"/>
      <c r="E12" s="1087"/>
      <c r="F12" s="1083"/>
      <c r="G12" s="1381"/>
      <c r="H12" s="1080" t="s">
        <v>437</v>
      </c>
      <c r="I12" s="1366" t="s">
        <v>701</v>
      </c>
      <c r="J12" s="1081"/>
      <c r="K12" s="1095"/>
      <c r="L12" s="1087"/>
      <c r="M12" s="1096"/>
    </row>
    <row r="13" spans="1:37" ht="18" customHeight="1" thickTop="1">
      <c r="A13" s="1076">
        <v>2</v>
      </c>
      <c r="B13" s="1077" t="s">
        <v>702</v>
      </c>
      <c r="C13" s="310" t="e">
        <f ca="1">ROUND(C29*F13,0)</f>
        <v>#N/A</v>
      </c>
      <c r="D13" s="3445" t="s">
        <v>703</v>
      </c>
      <c r="E13" s="3445" t="s">
        <v>704</v>
      </c>
      <c r="F13" s="1079" t="e">
        <f ca="1">INDIRECT("'数据-取费表'!y"&amp;$G$1)</f>
        <v>#N/A</v>
      </c>
      <c r="G13" s="1381"/>
      <c r="H13" s="1076">
        <v>2</v>
      </c>
      <c r="I13" s="1077" t="s">
        <v>702</v>
      </c>
      <c r="J13" s="1065" t="e">
        <f ca="1">ROUND(J14*J15,0)</f>
        <v>#N/A</v>
      </c>
      <c r="K13" s="1084" t="s">
        <v>703</v>
      </c>
      <c r="L13" s="1389"/>
      <c r="M13" s="1390"/>
    </row>
    <row r="14" spans="1:37" ht="18" customHeight="1">
      <c r="A14" s="979" t="s">
        <v>397</v>
      </c>
      <c r="B14" s="302" t="s">
        <v>705</v>
      </c>
      <c r="C14" s="318" t="e">
        <f ca="1">INDIRECT("'数据-取费表'!m"&amp;$G$1)+INDIRECT("'数据-取费表'!t"&amp;$G$1)</f>
        <v>#N/A</v>
      </c>
      <c r="D14" s="3455" t="s">
        <v>706</v>
      </c>
      <c r="E14" s="3448"/>
      <c r="F14" s="319"/>
      <c r="G14" s="1381"/>
      <c r="H14" s="979" t="s">
        <v>398</v>
      </c>
      <c r="I14" s="302" t="s">
        <v>707</v>
      </c>
      <c r="J14" s="21" t="e">
        <f ca="1">C29</f>
        <v>#N/A</v>
      </c>
      <c r="K14" s="3465"/>
      <c r="L14" s="804"/>
      <c r="M14" s="805"/>
    </row>
    <row r="15" spans="1:37" s="1394" customFormat="1" ht="18" customHeight="1" thickBot="1">
      <c r="A15" s="979" t="s">
        <v>399</v>
      </c>
      <c r="B15" s="302" t="s">
        <v>708</v>
      </c>
      <c r="C15" s="21" t="e">
        <f ca="1">ROUND(C14*F15,0)</f>
        <v>#N/A</v>
      </c>
      <c r="D15" s="3446" t="s">
        <v>709</v>
      </c>
      <c r="E15" s="3446" t="s">
        <v>710</v>
      </c>
      <c r="F15" s="321">
        <f>'数据-取费表'!B33</f>
        <v>0.05</v>
      </c>
      <c r="G15" s="1393"/>
      <c r="H15" s="1086" t="s">
        <v>402</v>
      </c>
      <c r="I15" s="1087" t="s">
        <v>704</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678</v>
      </c>
      <c r="B16" s="302" t="s">
        <v>711</v>
      </c>
      <c r="C16" s="21" t="e">
        <f ca="1">ROUND(INDIRECT("'数据-取费表'!m"&amp;$G$1)*F16,0)</f>
        <v>#N/A</v>
      </c>
      <c r="D16" s="302" t="s">
        <v>709</v>
      </c>
      <c r="E16" s="302" t="s">
        <v>710</v>
      </c>
      <c r="F16" s="322" t="e">
        <f ca="1">IF(INDIRECT("'数据-取费表'!c"&amp;$G$1)="住宅",'数据-取费表'!B34,0)</f>
        <v>#N/A</v>
      </c>
      <c r="G16" s="1381"/>
      <c r="H16" s="1076" t="s">
        <v>393</v>
      </c>
      <c r="I16" s="1077" t="s">
        <v>712</v>
      </c>
      <c r="J16" s="310" t="e">
        <f ca="1">ROUND(J17+J22+J23+J24,0)</f>
        <v>#N/A</v>
      </c>
      <c r="K16" s="1084" t="s">
        <v>713</v>
      </c>
      <c r="L16" s="3458"/>
      <c r="M16" s="1069"/>
    </row>
    <row r="17" spans="1:37" s="1394" customFormat="1" ht="18" customHeight="1">
      <c r="A17" s="979" t="s">
        <v>679</v>
      </c>
      <c r="B17" s="302" t="s">
        <v>714</v>
      </c>
      <c r="C17" s="21" t="e">
        <f ca="1">ROUND(F17*(F43+INDIRECT("'数据-取费表'!S"&amp;$G$1))/10000,0)</f>
        <v>#N/A</v>
      </c>
      <c r="D17" s="302" t="s">
        <v>715</v>
      </c>
      <c r="E17" s="302" t="s">
        <v>716</v>
      </c>
      <c r="F17" s="23">
        <f>'数据-取费表'!B35</f>
        <v>200</v>
      </c>
      <c r="G17" s="1393"/>
      <c r="H17" s="979" t="s">
        <v>398</v>
      </c>
      <c r="I17" s="302" t="s">
        <v>717</v>
      </c>
      <c r="J17" s="2313" t="e">
        <f ca="1">ROUND(IF(AND(项目基本情况!B11="自然人",项目基本情况!B10="北京市"),J6*M17/(1+'数据-取费表'!C42),J18+J19+J20),2)</f>
        <v>#N/A</v>
      </c>
      <c r="K17" s="3455" t="s">
        <v>718</v>
      </c>
      <c r="L17" s="3453" t="s">
        <v>719</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680</v>
      </c>
      <c r="B18" s="302" t="s">
        <v>720</v>
      </c>
      <c r="C18" s="21" t="e">
        <f ca="1">ROUND(C14*F18,0)</f>
        <v>#N/A</v>
      </c>
      <c r="D18" s="302" t="s">
        <v>709</v>
      </c>
      <c r="E18" s="302" t="s">
        <v>710</v>
      </c>
      <c r="F18" s="322">
        <f>'数据-取费表'!B36</f>
        <v>1.4999999999999999E-2</v>
      </c>
      <c r="G18" s="1393"/>
      <c r="H18" s="979" t="s">
        <v>397</v>
      </c>
      <c r="I18" s="302" t="s">
        <v>721</v>
      </c>
      <c r="J18" s="21" t="e">
        <f ca="1">ROUND(J6*M18/(1+'数据-取费表'!C42),2)</f>
        <v>#N/A</v>
      </c>
      <c r="K18" s="3453" t="s">
        <v>722</v>
      </c>
      <c r="L18" s="302" t="s">
        <v>710</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723</v>
      </c>
      <c r="C19" s="21" t="e">
        <f ca="1">SUM(C14:C18)</f>
        <v>#N/A</v>
      </c>
      <c r="D19" s="131" t="s">
        <v>724</v>
      </c>
      <c r="E19" s="3471"/>
      <c r="F19" s="23"/>
      <c r="G19" s="1381"/>
      <c r="H19" s="979" t="s">
        <v>399</v>
      </c>
      <c r="I19" s="302" t="s">
        <v>725</v>
      </c>
      <c r="J19" s="21" t="e">
        <f ca="1">IF(K19="按租金收入计税",ROUND(J6*M19/(1+'数据-取费表'!C42),2),ROUND(C29*M19*0.7,2))</f>
        <v>#N/A</v>
      </c>
      <c r="K19" s="1367" t="s">
        <v>3336</v>
      </c>
      <c r="L19" s="302" t="s">
        <v>710</v>
      </c>
      <c r="M19" s="322">
        <f>IF(K19="按租金收入计税",'数据-取费表'!B51,'数据-取费表'!B50)</f>
        <v>0.12</v>
      </c>
    </row>
    <row r="20" spans="1:37" s="1394" customFormat="1" ht="18" customHeight="1">
      <c r="A20" s="979" t="s">
        <v>402</v>
      </c>
      <c r="B20" s="302" t="s">
        <v>726</v>
      </c>
      <c r="C20" s="21" t="e">
        <f ca="1">ROUND(C19*F20,0)</f>
        <v>#N/A</v>
      </c>
      <c r="D20" s="2423" t="s">
        <v>727</v>
      </c>
      <c r="E20" s="302" t="s">
        <v>710</v>
      </c>
      <c r="F20" s="322">
        <f>'数据-取费表'!B37</f>
        <v>0.03</v>
      </c>
      <c r="G20" s="1393"/>
      <c r="H20" s="979" t="s">
        <v>678</v>
      </c>
      <c r="I20" s="155" t="s">
        <v>728</v>
      </c>
      <c r="J20" s="22" t="e">
        <f ca="1">ROUND(M20*M21/10000,2)</f>
        <v>#N/A</v>
      </c>
      <c r="K20" s="324" t="s">
        <v>729</v>
      </c>
      <c r="L20" s="302" t="s">
        <v>730</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731</v>
      </c>
      <c r="C21" s="21" t="s">
        <v>15</v>
      </c>
      <c r="D21" s="2423" t="s">
        <v>732</v>
      </c>
      <c r="E21" s="302" t="s">
        <v>733</v>
      </c>
      <c r="F21" s="322">
        <f>'数据-取费表'!B38</f>
        <v>0.03</v>
      </c>
      <c r="G21" s="1393"/>
      <c r="H21" s="326"/>
      <c r="I21" s="311"/>
      <c r="J21" s="26"/>
      <c r="K21" s="327"/>
      <c r="L21" s="302" t="s">
        <v>734</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681</v>
      </c>
      <c r="B22" s="302" t="s">
        <v>735</v>
      </c>
      <c r="C22" s="21"/>
      <c r="D22" s="131" t="str">
        <f>IF(F23&lt;=1,"单利计息。","复利计息。")&amp;"建造成本、管理费用、销售费用产生的利息。"</f>
        <v>复利计息。建造成本、管理费用、销售费用产生的利息。</v>
      </c>
      <c r="E22" s="3471"/>
      <c r="F22" s="23"/>
      <c r="G22" s="1381"/>
      <c r="H22" s="979" t="s">
        <v>402</v>
      </c>
      <c r="I22" s="302" t="s">
        <v>736</v>
      </c>
      <c r="J22" s="21" t="e">
        <f ca="1">ROUND(J14*M22,2)</f>
        <v>#N/A</v>
      </c>
      <c r="K22" s="3453" t="s">
        <v>737</v>
      </c>
      <c r="L22" s="302" t="s">
        <v>710</v>
      </c>
      <c r="M22" s="328" t="e">
        <f ca="1">INDIRECT("'数据-取费表'!Ak"&amp;$G$1)</f>
        <v>#N/A</v>
      </c>
    </row>
    <row r="23" spans="1:37" s="1394" customFormat="1" ht="18" customHeight="1">
      <c r="A23" s="979"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739</v>
      </c>
      <c r="F23" s="325">
        <f>'数据-取费表'!B20</f>
        <v>3</v>
      </c>
      <c r="G23" s="1393"/>
      <c r="H23" s="979" t="s">
        <v>437</v>
      </c>
      <c r="I23" s="302" t="s">
        <v>740</v>
      </c>
      <c r="J23" s="21" t="e">
        <f ca="1">ROUND(J13*M23,2)</f>
        <v>#N/A</v>
      </c>
      <c r="K23" s="3453" t="s">
        <v>741</v>
      </c>
      <c r="L23" s="302" t="s">
        <v>710</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3"/>
      <c r="H24" s="1086" t="s">
        <v>681</v>
      </c>
      <c r="I24" s="1087" t="s">
        <v>726</v>
      </c>
      <c r="J24" s="1088" t="e">
        <f ca="1">ROUND(J5*M24,2)</f>
        <v>#N/A</v>
      </c>
      <c r="K24" s="1089" t="s">
        <v>746</v>
      </c>
      <c r="L24" s="1087" t="s">
        <v>710</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747</v>
      </c>
      <c r="B25" s="302" t="s">
        <v>748</v>
      </c>
      <c r="C25" s="21"/>
      <c r="D25" s="131" t="s">
        <v>749</v>
      </c>
      <c r="E25" s="3471"/>
      <c r="F25" s="23"/>
      <c r="G25" s="1381"/>
      <c r="H25" s="1076" t="s">
        <v>394</v>
      </c>
      <c r="I25" s="1091" t="s">
        <v>750</v>
      </c>
      <c r="J25" s="310" t="e">
        <f ca="1">J5-J16</f>
        <v>#N/A</v>
      </c>
      <c r="K25" s="1092" t="s">
        <v>751</v>
      </c>
      <c r="L25" s="1093"/>
      <c r="M25" s="1094"/>
    </row>
    <row r="26" spans="1:37">
      <c r="A26" s="979" t="s">
        <v>397</v>
      </c>
      <c r="B26" s="302" t="s">
        <v>752</v>
      </c>
      <c r="C26" s="21" t="e">
        <f ca="1">ROUND((C19+C20)*F26,0)</f>
        <v>#N/A</v>
      </c>
      <c r="D26" s="2423" t="s">
        <v>753</v>
      </c>
      <c r="E26" s="313" t="s">
        <v>754</v>
      </c>
      <c r="F26" s="312" t="e">
        <f ca="1">INDIRECT("'数据-取费表'!q"&amp;$G$1)</f>
        <v>#N/A</v>
      </c>
      <c r="G26" s="1381"/>
      <c r="H26" s="299" t="s">
        <v>395</v>
      </c>
      <c r="I26" s="300" t="s">
        <v>755</v>
      </c>
      <c r="J26" s="301" t="e">
        <f ca="1">IF(J5&lt;&gt;0,ROUND(J25*(1-((1+M28)/(1+M26))^M27)/(M26-M28),0),0)</f>
        <v>#N/A</v>
      </c>
      <c r="K26" s="324" t="s">
        <v>756</v>
      </c>
      <c r="L26" s="302" t="s">
        <v>757</v>
      </c>
      <c r="M26" s="312" t="e">
        <f ca="1">INDIRECT("'数据-取费表'!I"&amp;$G$1)</f>
        <v>#N/A</v>
      </c>
    </row>
    <row r="27" spans="1:37" ht="18" customHeight="1">
      <c r="A27" s="979" t="s">
        <v>399</v>
      </c>
      <c r="B27" s="302" t="s">
        <v>758</v>
      </c>
      <c r="C27" s="21" t="e">
        <f ca="1">ROUND(F21*F26,4)</f>
        <v>#N/A</v>
      </c>
      <c r="D27" s="2423" t="s">
        <v>759</v>
      </c>
      <c r="E27" s="3446"/>
      <c r="F27" s="321"/>
      <c r="G27" s="1381"/>
      <c r="H27" s="304"/>
      <c r="I27" s="305"/>
      <c r="J27" s="306"/>
      <c r="K27" s="332" t="s">
        <v>760</v>
      </c>
      <c r="L27" s="302" t="s">
        <v>761</v>
      </c>
      <c r="M27" s="333" t="e">
        <f ca="1">INDIRECT("'数据-取费表'!ag"&amp;$G$1)</f>
        <v>#N/A</v>
      </c>
    </row>
    <row r="28" spans="1:37" s="1394" customFormat="1" ht="18" customHeight="1">
      <c r="A28" s="979" t="s">
        <v>400</v>
      </c>
      <c r="B28" s="302" t="s">
        <v>762</v>
      </c>
      <c r="C28" s="21">
        <f>ROUND(F28/(1+'数据-取费表'!C42),4)</f>
        <v>5.33E-2</v>
      </c>
      <c r="D28" s="2423" t="s">
        <v>763</v>
      </c>
      <c r="E28" s="302" t="s">
        <v>710</v>
      </c>
      <c r="F28" s="322">
        <f>'数据-取费表'!B41</f>
        <v>5.6000000000000001E-2</v>
      </c>
      <c r="G28" s="1393"/>
      <c r="H28" s="308"/>
      <c r="I28" s="309"/>
      <c r="J28" s="310"/>
      <c r="K28" s="327"/>
      <c r="L28" s="302" t="s">
        <v>764</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765</v>
      </c>
      <c r="C29" s="1088" t="e">
        <f ca="1">ROUND((C19+C20+C23+C26)/(1-F21-C24-C27-C28),0)</f>
        <v>#N/A</v>
      </c>
      <c r="D29" s="1089"/>
      <c r="E29" s="1087"/>
      <c r="F29" s="1090"/>
      <c r="G29" s="1393"/>
      <c r="H29" s="334" t="s">
        <v>396</v>
      </c>
      <c r="I29" s="335" t="s">
        <v>766</v>
      </c>
      <c r="J29" s="336" t="e">
        <f ca="1">ROUND(J26/(1+F40)^F41,0)</f>
        <v>#N/A</v>
      </c>
      <c r="K29" s="337" t="s">
        <v>767</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712</v>
      </c>
      <c r="C30" s="310" t="e">
        <f ca="1">ROUND(C31+C36+C37+C38,0)</f>
        <v>#N/A</v>
      </c>
      <c r="D30" s="1084" t="s">
        <v>713</v>
      </c>
      <c r="E30" s="3458"/>
      <c r="F30" s="1069"/>
      <c r="G30" s="1381"/>
      <c r="H30" s="2692"/>
      <c r="I30" s="1395"/>
      <c r="J30" s="1396"/>
      <c r="K30" s="2470"/>
      <c r="L30" s="2693"/>
      <c r="M30" s="2694"/>
    </row>
    <row r="31" spans="1:37" ht="18" customHeight="1">
      <c r="A31" s="979" t="s">
        <v>398</v>
      </c>
      <c r="B31" s="302" t="s">
        <v>717</v>
      </c>
      <c r="C31" s="2313" t="e">
        <f ca="1">ROUND(IF(AND(项目基本情况!B11="自然人",项目基本情况!B10="北京市"),C6*F31/(1+'数据-取费表'!C42),C32+C33+C34),2)</f>
        <v>#N/A</v>
      </c>
      <c r="D31" s="3455" t="s">
        <v>718</v>
      </c>
      <c r="E31" s="3453" t="s">
        <v>768</v>
      </c>
      <c r="F31" s="2312" t="str">
        <f>IF(项目基本情况!B11="企业","——",IF(M47="住宅",IF(F6*F7*F8/12/(1+'数据-取费表'!F30)&gt;100000,4%,2.5%),IF(F6*F7*F8/12/(1+'数据-取费表'!F30)&gt;100000,12%,7%)))</f>
        <v>——</v>
      </c>
      <c r="G31" s="1381"/>
      <c r="H31" s="2803" t="s">
        <v>2305</v>
      </c>
      <c r="I31" s="1395"/>
      <c r="J31" s="1396"/>
      <c r="K31" s="2470"/>
      <c r="L31" s="2693"/>
      <c r="M31" s="2694"/>
    </row>
    <row r="32" spans="1:37" ht="18" customHeight="1">
      <c r="A32" s="979" t="s">
        <v>397</v>
      </c>
      <c r="B32" s="302" t="s">
        <v>721</v>
      </c>
      <c r="C32" s="21" t="e">
        <f ca="1">IF(项目基本情况!B11="自然人","——",ROUND(C6*F32/(1+'数据-取费表'!C42),2))</f>
        <v>#N/A</v>
      </c>
      <c r="D32" s="3453" t="s">
        <v>722</v>
      </c>
      <c r="E32" s="302" t="s">
        <v>710</v>
      </c>
      <c r="F32" s="331">
        <f>'数据-取费表'!B41</f>
        <v>5.6000000000000001E-2</v>
      </c>
      <c r="G32" s="1381"/>
      <c r="H32" s="2692"/>
      <c r="I32" s="1395"/>
      <c r="J32" s="1396"/>
      <c r="K32" s="2470"/>
      <c r="L32" s="2693"/>
      <c r="M32" s="2694"/>
    </row>
    <row r="33" spans="1:18" ht="18" customHeight="1">
      <c r="A33" s="979" t="s">
        <v>399</v>
      </c>
      <c r="B33" s="302" t="s">
        <v>725</v>
      </c>
      <c r="C33" s="21" t="e">
        <f ca="1">IF(项目基本情况!B11="自然人","——",IF(D33="按租金收入计税",ROUND(C6*F33/(1+'数据-取费表'!C42),2),IF(D33="按房产原值计税",ROUND(C29*F33*0.7,2),INDIRECT("'数据-取费表'!Aj"&amp;$G$1))))</f>
        <v>#N/A</v>
      </c>
      <c r="D33" s="1367" t="s">
        <v>3336</v>
      </c>
      <c r="E33" s="302" t="s">
        <v>710</v>
      </c>
      <c r="F33" s="322">
        <f>IF(D33="按票据","——",IF(D33="按租金收入计税",'数据-取费表'!B51,'数据-取费表'!B50))</f>
        <v>0.12</v>
      </c>
      <c r="G33" s="1381"/>
      <c r="H33" s="2695"/>
      <c r="I33" s="1395"/>
      <c r="J33" s="1396"/>
      <c r="K33" s="2696"/>
      <c r="L33" s="2695"/>
      <c r="M33" s="2695"/>
    </row>
    <row r="34" spans="1:18" ht="18" customHeight="1">
      <c r="A34" s="1066" t="s">
        <v>678</v>
      </c>
      <c r="B34" s="155" t="s">
        <v>728</v>
      </c>
      <c r="C34" s="22" t="e">
        <f ca="1">IF(项目基本情况!B11="自然人","——",ROUND(F34*F35/10000,2))</f>
        <v>#N/A</v>
      </c>
      <c r="D34" s="324" t="s">
        <v>729</v>
      </c>
      <c r="E34" s="302" t="s">
        <v>730</v>
      </c>
      <c r="F34" s="325">
        <f>'数据-取费表'!B52</f>
        <v>3</v>
      </c>
      <c r="G34" s="1381"/>
      <c r="H34" s="2692"/>
      <c r="I34" s="1395"/>
      <c r="J34" s="1396"/>
      <c r="K34" s="2697"/>
      <c r="L34" s="2698"/>
      <c r="M34" s="2698"/>
    </row>
    <row r="35" spans="1:18" ht="18" customHeight="1">
      <c r="A35" s="1100"/>
      <c r="B35" s="1098"/>
      <c r="C35" s="26"/>
      <c r="D35" s="327"/>
      <c r="E35" s="302" t="s">
        <v>734</v>
      </c>
      <c r="F35" s="303" t="e">
        <f ca="1">INDIRECT("'数据-取费表'!r"&amp;$G$1)</f>
        <v>#N/A</v>
      </c>
      <c r="G35" s="1381"/>
      <c r="H35" s="2692"/>
      <c r="I35" s="1395"/>
      <c r="J35" s="1396"/>
      <c r="K35" s="2696"/>
      <c r="L35" s="2695"/>
      <c r="M35" s="2695"/>
    </row>
    <row r="36" spans="1:18" ht="18" customHeight="1">
      <c r="A36" s="1099" t="s">
        <v>402</v>
      </c>
      <c r="B36" s="302" t="s">
        <v>736</v>
      </c>
      <c r="C36" s="21" t="e">
        <f ca="1">ROUND(C29*F36,2)</f>
        <v>#N/A</v>
      </c>
      <c r="D36" s="3453" t="s">
        <v>769</v>
      </c>
      <c r="E36" s="302" t="s">
        <v>710</v>
      </c>
      <c r="F36" s="328" t="e">
        <f ca="1">INDIRECT("'数据-取费表'!Ak"&amp;$G$1)</f>
        <v>#N/A</v>
      </c>
      <c r="G36" s="1381"/>
      <c r="H36" s="2695"/>
      <c r="I36" s="1395"/>
      <c r="J36" s="1396"/>
      <c r="K36" s="2539"/>
      <c r="L36" s="2695"/>
      <c r="M36" s="2695"/>
    </row>
    <row r="37" spans="1:18" ht="18" customHeight="1">
      <c r="A37" s="979" t="s">
        <v>437</v>
      </c>
      <c r="B37" s="302" t="s">
        <v>740</v>
      </c>
      <c r="C37" s="21" t="e">
        <f ca="1">ROUND(C13*F37,2)</f>
        <v>#N/A</v>
      </c>
      <c r="D37" s="3453" t="s">
        <v>741</v>
      </c>
      <c r="E37" s="302" t="s">
        <v>710</v>
      </c>
      <c r="F37" s="330" t="e">
        <f ca="1">INDIRECT("'数据-取费表'!Al"&amp;$G$1)</f>
        <v>#N/A</v>
      </c>
      <c r="G37" s="1381"/>
      <c r="H37" s="2695"/>
      <c r="I37" s="1395"/>
      <c r="J37" s="1396"/>
      <c r="K37" s="2539"/>
      <c r="L37" s="2695"/>
      <c r="M37" s="2695"/>
    </row>
    <row r="38" spans="1:18" ht="18" customHeight="1" thickBot="1">
      <c r="A38" s="1086" t="s">
        <v>681</v>
      </c>
      <c r="B38" s="1087" t="s">
        <v>726</v>
      </c>
      <c r="C38" s="1088" t="e">
        <f ca="1">ROUND(C5*F38,2)</f>
        <v>#N/A</v>
      </c>
      <c r="D38" s="1089" t="s">
        <v>746</v>
      </c>
      <c r="E38" s="1087" t="s">
        <v>710</v>
      </c>
      <c r="F38" s="1083" t="e">
        <f ca="1">INDIRECT("'数据-取费表'!Am"&amp;$G$1)</f>
        <v>#N/A</v>
      </c>
      <c r="G38" s="1381"/>
      <c r="H38" s="2695"/>
      <c r="I38" s="1395"/>
      <c r="J38" s="1396"/>
      <c r="K38" s="2699"/>
      <c r="L38" s="2695"/>
      <c r="M38" s="2695"/>
    </row>
    <row r="39" spans="1:18" ht="24.6" customHeight="1" thickTop="1">
      <c r="A39" s="1076" t="s">
        <v>394</v>
      </c>
      <c r="B39" s="1091" t="s">
        <v>750</v>
      </c>
      <c r="C39" s="310" t="e">
        <f ca="1">C5-C30</f>
        <v>#N/A</v>
      </c>
      <c r="D39" s="1092" t="s">
        <v>751</v>
      </c>
      <c r="E39" s="1093"/>
      <c r="F39" s="1094"/>
      <c r="G39" s="1381"/>
      <c r="H39" s="2695"/>
      <c r="I39" s="1395"/>
      <c r="J39" s="1396"/>
      <c r="K39" s="2699"/>
      <c r="L39" s="2695"/>
      <c r="M39" s="2695"/>
    </row>
    <row r="40" spans="1:18" ht="18" customHeight="1">
      <c r="A40" s="299" t="s">
        <v>395</v>
      </c>
      <c r="B40" s="300" t="s">
        <v>772</v>
      </c>
      <c r="C40" s="301" t="e">
        <f ca="1">ROUND(C39*(1-((1+F42)/(1+F40))^F41)/(F40-F42),0)</f>
        <v>#N/A</v>
      </c>
      <c r="D40" s="324" t="s">
        <v>756</v>
      </c>
      <c r="E40" s="302" t="s">
        <v>757</v>
      </c>
      <c r="F40" s="312" t="e">
        <f ca="1">INDIRECT("'数据-取费表'!I"&amp;$G$1)</f>
        <v>#N/A</v>
      </c>
      <c r="G40" s="1381"/>
      <c r="H40" s="1458"/>
      <c r="I40" s="1395"/>
      <c r="J40" s="1396"/>
      <c r="K40" s="2699"/>
      <c r="L40" s="1458"/>
      <c r="M40" s="1458"/>
    </row>
    <row r="41" spans="1:18" ht="18" customHeight="1">
      <c r="A41" s="304"/>
      <c r="B41" s="305"/>
      <c r="C41" s="306"/>
      <c r="D41" s="332" t="s">
        <v>773</v>
      </c>
      <c r="E41" s="302" t="s">
        <v>761</v>
      </c>
      <c r="F41" s="333" t="e">
        <f ca="1">IF(INDIRECT("'数据-取费表'!af"&amp;$G$1)=0,INDIRECT("'数据-取费表'!ae"&amp;$G$1),INDIRECT("'数据-取费表'!af"&amp;$G$1))</f>
        <v>#N/A</v>
      </c>
      <c r="G41" s="1381"/>
      <c r="H41" s="1188"/>
      <c r="I41" s="1395"/>
      <c r="J41" s="1396"/>
      <c r="K41" s="2539"/>
      <c r="L41" s="1188"/>
      <c r="M41" s="1188"/>
    </row>
    <row r="42" spans="1:18" ht="18" customHeight="1">
      <c r="A42" s="308"/>
      <c r="B42" s="309"/>
      <c r="C42" s="310"/>
      <c r="D42" s="327"/>
      <c r="E42" s="302" t="s">
        <v>764</v>
      </c>
      <c r="F42" s="312" t="e">
        <f ca="1">INDIRECT("'数据-取费表'!v"&amp;$G$1)</f>
        <v>#N/A</v>
      </c>
      <c r="G42" s="1381"/>
      <c r="H42" s="1188"/>
      <c r="I42" s="1395"/>
      <c r="J42" s="1396"/>
      <c r="K42" s="2539"/>
      <c r="L42" s="1188"/>
      <c r="M42" s="1188"/>
    </row>
    <row r="43" spans="1:18" ht="18" customHeight="1" thickBot="1">
      <c r="A43" s="334" t="s">
        <v>396</v>
      </c>
      <c r="B43" s="335" t="s">
        <v>774</v>
      </c>
      <c r="C43" s="336" t="e">
        <f ca="1">ROUND(C40*10000/F43,0)</f>
        <v>#N/A</v>
      </c>
      <c r="D43" s="337" t="s">
        <v>775</v>
      </c>
      <c r="E43" s="338" t="s">
        <v>776</v>
      </c>
      <c r="F43" s="339" t="e">
        <f ca="1">INDIRECT("'数据-取费表'!k"&amp;$G$1)</f>
        <v>#N/A</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806</v>
      </c>
      <c r="P45" s="1458"/>
      <c r="Q45" s="1458"/>
      <c r="R45" s="1458"/>
    </row>
    <row r="46" spans="1:18" s="1381" customFormat="1" ht="13.5" thickBot="1">
      <c r="A46" s="1401" t="s">
        <v>807</v>
      </c>
      <c r="C46" s="1402" t="e">
        <f ca="1">C68-C40</f>
        <v>#N/A</v>
      </c>
      <c r="D46" s="1403" t="str">
        <f>C2</f>
        <v>万元</v>
      </c>
      <c r="E46" s="1397"/>
      <c r="F46" s="1397"/>
      <c r="I46" s="1404" t="s">
        <v>808</v>
      </c>
      <c r="J46" s="1405"/>
      <c r="K46" s="1406"/>
      <c r="L46" s="1407" t="e">
        <f ca="1">IF(M47="住宅",0,IF(L48&gt;J51,L60,J60))</f>
        <v>#N/A</v>
      </c>
      <c r="O46" s="1408" t="s">
        <v>809</v>
      </c>
      <c r="P46" s="1409" t="s">
        <v>810</v>
      </c>
      <c r="Q46" s="1410" t="s">
        <v>811</v>
      </c>
      <c r="R46" s="1410" t="s">
        <v>812</v>
      </c>
    </row>
    <row r="47" spans="1:18" s="1381" customFormat="1" ht="13.5" thickBot="1">
      <c r="A47" s="943" t="s">
        <v>685</v>
      </c>
      <c r="B47" s="975" t="s">
        <v>686</v>
      </c>
      <c r="C47" s="1114" t="s">
        <v>687</v>
      </c>
      <c r="D47" s="975" t="s">
        <v>688</v>
      </c>
      <c r="E47" s="1055" t="s">
        <v>689</v>
      </c>
      <c r="F47" s="1056"/>
      <c r="G47" s="722"/>
      <c r="I47" s="1411" t="s">
        <v>813</v>
      </c>
      <c r="J47" s="1412" t="s">
        <v>3683</v>
      </c>
      <c r="K47" s="1413" t="s">
        <v>814</v>
      </c>
      <c r="L47" s="1414" t="e">
        <f ca="1">INDIRECT("'数据-取费表'!d"&amp;$G$1)</f>
        <v>#N/A</v>
      </c>
      <c r="M47" s="1377" t="str">
        <f>IF(ISNUMBER(FIND("住宅",C1)),"住宅","非住宅")</f>
        <v>非住宅</v>
      </c>
      <c r="O47" s="1415" t="s">
        <v>403</v>
      </c>
      <c r="P47" s="1416" t="s">
        <v>815</v>
      </c>
      <c r="Q47" s="1417" t="e">
        <f ca="1">C40+J29</f>
        <v>#N/A</v>
      </c>
      <c r="R47" s="1417" t="s">
        <v>816</v>
      </c>
    </row>
    <row r="48" spans="1:18" s="1381" customFormat="1" ht="28.5" thickBot="1">
      <c r="A48" s="1107" t="s">
        <v>438</v>
      </c>
      <c r="B48" s="300" t="s">
        <v>690</v>
      </c>
      <c r="C48" s="3470" t="e">
        <f ca="1">C49+C53+C55</f>
        <v>#N/A</v>
      </c>
      <c r="D48" s="1109"/>
      <c r="E48" s="1110"/>
      <c r="F48" s="959"/>
      <c r="G48" s="722"/>
      <c r="H48" s="723"/>
      <c r="I48" s="1418" t="s">
        <v>817</v>
      </c>
      <c r="J48" s="1419" t="s">
        <v>3684</v>
      </c>
      <c r="K48" s="1420" t="s">
        <v>818</v>
      </c>
      <c r="L48" s="1421" t="e">
        <f ca="1">INDIRECT("'数据-取费表'!f"&amp;$G$1)</f>
        <v>#N/A</v>
      </c>
      <c r="O48" s="1415" t="s">
        <v>404</v>
      </c>
      <c r="P48" s="1416" t="s">
        <v>819</v>
      </c>
      <c r="Q48" s="1417" t="e">
        <f ca="1">J60</f>
        <v>#N/A</v>
      </c>
      <c r="R48" s="1417" t="s">
        <v>820</v>
      </c>
    </row>
    <row r="49" spans="1:18" s="1381" customFormat="1" ht="13.5" thickBot="1">
      <c r="A49" s="972" t="s">
        <v>439</v>
      </c>
      <c r="B49" s="1368" t="s">
        <v>777</v>
      </c>
      <c r="C49" s="1111" t="e">
        <f ca="1">ROUND(F49*F51*F50*(1-F52)/10000,0)</f>
        <v>#N/A</v>
      </c>
      <c r="D49" s="1052" t="s">
        <v>2103</v>
      </c>
      <c r="E49" s="1369" t="s">
        <v>778</v>
      </c>
      <c r="F49" s="1057"/>
      <c r="G49" s="1422"/>
      <c r="H49" s="723"/>
      <c r="I49" s="1418" t="s">
        <v>821</v>
      </c>
      <c r="J49" s="1423">
        <f>'数据-取费表'!N19</f>
        <v>2016</v>
      </c>
      <c r="K49" s="1420" t="s">
        <v>822</v>
      </c>
      <c r="L49" s="1424"/>
      <c r="O49" s="1425" t="s">
        <v>405</v>
      </c>
      <c r="P49" s="1416" t="s">
        <v>823</v>
      </c>
      <c r="Q49" s="1417" t="e">
        <f ca="1">C29</f>
        <v>#N/A</v>
      </c>
      <c r="R49" s="1417" t="s">
        <v>816</v>
      </c>
    </row>
    <row r="50" spans="1:18" s="1381" customFormat="1" ht="13.5" thickBot="1">
      <c r="A50" s="973"/>
      <c r="B50" s="976"/>
      <c r="C50" s="1115"/>
      <c r="D50" s="950"/>
      <c r="E50" s="1053" t="s">
        <v>695</v>
      </c>
      <c r="F50" s="1054" t="e">
        <f ca="1">F7</f>
        <v>#N/A</v>
      </c>
      <c r="H50" s="723"/>
      <c r="I50" s="1418" t="s">
        <v>824</v>
      </c>
      <c r="J50" s="1426">
        <f>SUMPRODUCT((I63:I65=J47)*(J62:L62=J48)*(J63:L65))</f>
        <v>60</v>
      </c>
      <c r="K50" s="1420" t="s">
        <v>825</v>
      </c>
      <c r="L50" s="1424"/>
      <c r="M50" s="1427"/>
      <c r="O50" s="1425" t="s">
        <v>406</v>
      </c>
      <c r="P50" s="1416" t="s">
        <v>826</v>
      </c>
      <c r="Q50" s="1428" t="e">
        <f ca="1">J58</f>
        <v>#N/A</v>
      </c>
      <c r="R50" s="1417"/>
    </row>
    <row r="51" spans="1:18" s="1381" customFormat="1" ht="13.5" thickBot="1">
      <c r="A51" s="974"/>
      <c r="B51" s="976"/>
      <c r="C51" s="977"/>
      <c r="D51" s="950"/>
      <c r="E51" s="978" t="s">
        <v>696</v>
      </c>
      <c r="F51" s="303" t="e">
        <f ca="1">F8</f>
        <v>#N/A</v>
      </c>
      <c r="I51" s="1429" t="s">
        <v>827</v>
      </c>
      <c r="J51" s="1430">
        <f>IF(J49="",J50,J49+J50-YEAR('数据-取费表'!B2))</f>
        <v>53</v>
      </c>
      <c r="K51" s="1431" t="s">
        <v>828</v>
      </c>
      <c r="L51" s="1432" t="e">
        <f ca="1">ROUND(-PV(INDIRECT("'数据-取费表'!h"&amp;$G$1),J51,(C39-C13*C76),0),0)</f>
        <v>#N/A</v>
      </c>
      <c r="M51" s="1433"/>
      <c r="O51" s="1425" t="s">
        <v>407</v>
      </c>
      <c r="P51" s="1416" t="s">
        <v>829</v>
      </c>
      <c r="Q51" s="1428">
        <f>J52</f>
        <v>0.08</v>
      </c>
      <c r="R51" s="1417"/>
    </row>
    <row r="52" spans="1:18" s="1381" customFormat="1" ht="13.5" thickBot="1">
      <c r="A52" s="974"/>
      <c r="B52" s="976"/>
      <c r="C52" s="977"/>
      <c r="D52" s="950"/>
      <c r="E52" s="978" t="s">
        <v>697</v>
      </c>
      <c r="F52" s="1051"/>
      <c r="I52" s="1434" t="s">
        <v>830</v>
      </c>
      <c r="J52" s="1435">
        <f>'数据-取费表'!J7+0.5%</f>
        <v>0.08</v>
      </c>
      <c r="K52" s="1434" t="s">
        <v>831</v>
      </c>
      <c r="L52" s="1435"/>
      <c r="O52" s="1425" t="s">
        <v>408</v>
      </c>
      <c r="P52" s="1416" t="s">
        <v>832</v>
      </c>
      <c r="Q52" s="1417" t="e">
        <f ca="1">J53</f>
        <v>#N/A</v>
      </c>
      <c r="R52" s="1417" t="s">
        <v>833</v>
      </c>
    </row>
    <row r="53" spans="1:18" s="1381" customFormat="1" ht="24.75" thickBot="1">
      <c r="A53" s="1149" t="s">
        <v>440</v>
      </c>
      <c r="B53" s="1370" t="s">
        <v>698</v>
      </c>
      <c r="C53" s="316">
        <f ca="1">ROUND(IF(F53="押一",C49/12*F11,IF(F53="押二",C49/12*2*F11,IF(F53="押三",C49/12*3*F11,C54*F11))),0)</f>
        <v>0</v>
      </c>
      <c r="D53" s="1363" t="s">
        <v>2111</v>
      </c>
      <c r="E53" s="313" t="s">
        <v>699</v>
      </c>
      <c r="F53" s="1113"/>
      <c r="I53" s="1436" t="s">
        <v>834</v>
      </c>
      <c r="J53" s="2165" t="e">
        <f ca="1">IF(M47="住宅",IF(D1="——",MAX(J51,L48),MAX(J51,L48-'数据-取费表'!B24)),IF(D1="——",MIN(J51,L48),MIN(J51,L48-'数据-取费表'!B24)))</f>
        <v>#N/A</v>
      </c>
      <c r="K53" s="3857" t="s">
        <v>835</v>
      </c>
      <c r="L53" s="3858"/>
      <c r="O53" s="1415" t="s">
        <v>409</v>
      </c>
      <c r="P53" s="1416" t="s">
        <v>836</v>
      </c>
      <c r="Q53" s="1417" t="e">
        <f ca="1">Q47+Q48</f>
        <v>#N/A</v>
      </c>
      <c r="R53" s="1417" t="s">
        <v>410</v>
      </c>
    </row>
    <row r="54" spans="1:18" s="1381" customFormat="1" ht="13.5" thickBot="1">
      <c r="A54" s="1150"/>
      <c r="B54" s="1364" t="s">
        <v>677</v>
      </c>
      <c r="C54" s="956"/>
      <c r="D54" s="1363"/>
      <c r="E54" s="3460"/>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837</v>
      </c>
      <c r="P54" s="1378"/>
      <c r="Q54" s="1378"/>
      <c r="R54" s="1378"/>
    </row>
    <row r="55" spans="1:18" s="1381" customFormat="1" ht="13.5" thickBot="1">
      <c r="A55" s="1080" t="s">
        <v>437</v>
      </c>
      <c r="B55" s="1366" t="s">
        <v>701</v>
      </c>
      <c r="C55" s="1081"/>
      <c r="D55" s="1363"/>
      <c r="E55" s="3460"/>
      <c r="F55" s="1437"/>
      <c r="I55" s="1440" t="s">
        <v>838</v>
      </c>
      <c r="J55" s="1441" t="e">
        <f ca="1">ROUND(IF(J47="钢混",J57/J50,1-(1-2%)*(J50-J57)/J50),3)</f>
        <v>#N/A</v>
      </c>
      <c r="K55" s="1442" t="s">
        <v>839</v>
      </c>
      <c r="L55" s="1443"/>
      <c r="O55" s="1408" t="s">
        <v>809</v>
      </c>
      <c r="P55" s="1409" t="s">
        <v>810</v>
      </c>
      <c r="Q55" s="1410" t="s">
        <v>811</v>
      </c>
      <c r="R55" s="1410" t="s">
        <v>812</v>
      </c>
    </row>
    <row r="56" spans="1:18" s="1381" customFormat="1" ht="25.5" thickTop="1" thickBot="1">
      <c r="A56" s="954">
        <v>2</v>
      </c>
      <c r="B56" s="955" t="s">
        <v>702</v>
      </c>
      <c r="C56" s="232" t="e">
        <f ca="1">C13</f>
        <v>#N/A</v>
      </c>
      <c r="D56" s="1444"/>
      <c r="E56" s="1445"/>
      <c r="F56" s="1437"/>
      <c r="I56" s="1446" t="s">
        <v>840</v>
      </c>
      <c r="J56" s="1447" t="s">
        <v>3381</v>
      </c>
      <c r="K56" s="1418" t="s">
        <v>841</v>
      </c>
      <c r="L56" s="1421" t="e">
        <f ca="1">IF(L48&lt;J51,"——",L48-J53)</f>
        <v>#N/A</v>
      </c>
      <c r="O56" s="1415" t="s">
        <v>403</v>
      </c>
      <c r="P56" s="1416" t="s">
        <v>815</v>
      </c>
      <c r="Q56" s="1417" t="e">
        <f ca="1">C40+J29</f>
        <v>#N/A</v>
      </c>
      <c r="R56" s="1417" t="s">
        <v>816</v>
      </c>
    </row>
    <row r="57" spans="1:18" s="1381" customFormat="1" ht="24.75" thickBot="1">
      <c r="A57" s="1448"/>
      <c r="B57" s="947" t="s">
        <v>765</v>
      </c>
      <c r="C57" s="238" t="e">
        <f ca="1">C29</f>
        <v>#N/A</v>
      </c>
      <c r="D57" s="1449"/>
      <c r="E57" s="1450"/>
      <c r="F57" s="1451"/>
      <c r="I57" s="1452" t="s">
        <v>842</v>
      </c>
      <c r="J57" s="1453" t="e">
        <f ca="1">IF(OR(M47="住宅",J51&lt;L48,J56="是"),"——",J51-L48)</f>
        <v>#N/A</v>
      </c>
      <c r="K57" s="1418" t="s">
        <v>843</v>
      </c>
      <c r="L57" s="1421" t="e">
        <f ca="1">IF(L48&lt;J51,"——",IF(L55="比较法",L49,IF(L55="基准地价",L50,L51)))</f>
        <v>#N/A</v>
      </c>
      <c r="O57" s="1415" t="s">
        <v>404</v>
      </c>
      <c r="P57" s="1416" t="s">
        <v>844</v>
      </c>
      <c r="Q57" s="1417" t="e">
        <f ca="1">L60</f>
        <v>#N/A</v>
      </c>
      <c r="R57" s="1417" t="s">
        <v>845</v>
      </c>
    </row>
    <row r="58" spans="1:18" s="1381" customFormat="1" ht="24.75" thickBot="1">
      <c r="A58" s="315" t="s">
        <v>393</v>
      </c>
      <c r="B58" s="955" t="s">
        <v>712</v>
      </c>
      <c r="C58" s="316" t="e">
        <f ca="1">ROUND(C59+C64+C65+C66,0)</f>
        <v>#N/A</v>
      </c>
      <c r="D58" s="957" t="s">
        <v>713</v>
      </c>
      <c r="E58" s="958"/>
      <c r="F58" s="959"/>
      <c r="I58" s="1452" t="s">
        <v>846</v>
      </c>
      <c r="J58" s="1454" t="e">
        <f ca="1">IF(J55&lt;0.4,0.4,J55)</f>
        <v>#N/A</v>
      </c>
      <c r="K58" s="1431" t="s">
        <v>847</v>
      </c>
      <c r="L58" s="1421" t="e">
        <f ca="1">ROUND(POWER(1+L52,L47-L48)*(POWER(1+L52,L48)-1)/(POWER(1+L52,L47)-1),4)</f>
        <v>#N/A</v>
      </c>
      <c r="O58" s="1425" t="s">
        <v>405</v>
      </c>
      <c r="P58" s="1416" t="s">
        <v>848</v>
      </c>
      <c r="Q58" s="1417">
        <f>IF(L55="比较法",L49,IF(L55="基准地价",L50,0))</f>
        <v>0</v>
      </c>
      <c r="R58" s="1417" t="s">
        <v>816</v>
      </c>
    </row>
    <row r="59" spans="1:18" s="1381" customFormat="1" ht="24.75" thickBot="1">
      <c r="A59" s="979" t="s">
        <v>398</v>
      </c>
      <c r="B59" s="947" t="s">
        <v>717</v>
      </c>
      <c r="C59" s="2313" t="e">
        <f ca="1">ROUND(IF(AND(项目基本情况!B11="自然人",项目基本情况!B10="北京市"),C49*F59/(1+'数据-取费表'!C42),C60+C61+C62),0)</f>
        <v>#N/A</v>
      </c>
      <c r="D59" s="960" t="s">
        <v>718</v>
      </c>
      <c r="E59" s="961" t="s">
        <v>719</v>
      </c>
      <c r="F59" s="2312" t="str">
        <f>IF(项目基本情况!B11="企业","——",IF('数据-取费表'!B10="住宅",IF(F49*F50*F51/12/(1+'数据-取费表'!F30)&gt;100000,4%,2.5%),IF(F49*F50*F51/12/(1+'数据-取费表'!F30)&gt;100000,12%,7%)))</f>
        <v>——</v>
      </c>
      <c r="I59" s="1452" t="s">
        <v>849</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850</v>
      </c>
      <c r="Q59" s="1428">
        <f>L52</f>
        <v>0</v>
      </c>
      <c r="R59" s="1417"/>
    </row>
    <row r="60" spans="1:18" s="1381" customFormat="1" ht="16.5" thickBot="1">
      <c r="A60" s="979" t="s">
        <v>397</v>
      </c>
      <c r="B60" s="947" t="s">
        <v>721</v>
      </c>
      <c r="C60" s="21" t="e">
        <f ca="1">IF(项目基本情况!B11="自然人","——",ROUND(C48*F60/(1+'数据-取费表'!C42),2))</f>
        <v>#N/A</v>
      </c>
      <c r="D60" s="961" t="s">
        <v>722</v>
      </c>
      <c r="E60" s="947" t="s">
        <v>710</v>
      </c>
      <c r="F60" s="331">
        <f t="shared" ref="F60:F66" si="0">F32</f>
        <v>5.6000000000000001E-2</v>
      </c>
      <c r="I60" s="1455" t="s">
        <v>851</v>
      </c>
      <c r="J60" s="1456" t="e">
        <f ca="1">IF(OR(M47="住宅",J51&lt;L48,J56="是"),"0",ROUND(J59/(1+J52)^J53,0))</f>
        <v>#N/A</v>
      </c>
      <c r="K60" s="1457" t="s">
        <v>852</v>
      </c>
      <c r="L60" s="1456" t="e">
        <f ca="1">IF(OR(M47="住宅",L48&lt;J51),0,ROUND(L57*(L58/L59-1),0))</f>
        <v>#N/A</v>
      </c>
      <c r="O60" s="1425" t="s">
        <v>407</v>
      </c>
      <c r="P60" s="1416" t="s">
        <v>853</v>
      </c>
      <c r="Q60" s="1417" t="e">
        <f ca="1">L58</f>
        <v>#N/A</v>
      </c>
      <c r="R60" s="1417" t="s">
        <v>854</v>
      </c>
    </row>
    <row r="61" spans="1:18" s="1381" customFormat="1" ht="13.5" thickBot="1">
      <c r="A61" s="979" t="s">
        <v>779</v>
      </c>
      <c r="B61" s="947" t="s">
        <v>780</v>
      </c>
      <c r="C61" s="21" t="e">
        <f ca="1">IF(项目基本情况!B11="自然人","——",IF(D61="按租金收入计税",ROUND(C49*F61/(1+'数据-取费表'!C42),2),IF(D61="按房产原值计税",ROUND(C57*F61*0.7,2),INDIRECT("'数据-取费表'!Aj"&amp;$G$1))))</f>
        <v>#N/A</v>
      </c>
      <c r="D61" s="1367" t="s">
        <v>3336</v>
      </c>
      <c r="E61" s="947" t="s">
        <v>710</v>
      </c>
      <c r="F61" s="322">
        <f t="shared" si="0"/>
        <v>0.12</v>
      </c>
      <c r="I61" s="1458"/>
      <c r="J61" s="1458"/>
      <c r="K61" s="1458"/>
      <c r="L61" s="1458"/>
      <c r="O61" s="1425" t="s">
        <v>408</v>
      </c>
      <c r="P61" s="1416" t="str">
        <f>K59</f>
        <v>建筑物剩余耐用年限下的土地年期修正系数Kn</v>
      </c>
      <c r="Q61" s="1417" t="e">
        <f ca="1">L59</f>
        <v>#N/A</v>
      </c>
      <c r="R61" s="1417" t="s">
        <v>855</v>
      </c>
    </row>
    <row r="62" spans="1:18" s="1381" customFormat="1" ht="13.5" thickBot="1">
      <c r="A62" s="979" t="s">
        <v>782</v>
      </c>
      <c r="B62" s="946" t="s">
        <v>783</v>
      </c>
      <c r="C62" s="22" t="e">
        <f ca="1">IF(项目基本情况!B11="自然人","——",ROUND(F62*F63/10000,2))</f>
        <v>#N/A</v>
      </c>
      <c r="D62" s="962" t="s">
        <v>784</v>
      </c>
      <c r="E62" s="947" t="s">
        <v>785</v>
      </c>
      <c r="F62" s="325">
        <f t="shared" si="0"/>
        <v>3</v>
      </c>
      <c r="I62" s="1459" t="s">
        <v>856</v>
      </c>
      <c r="J62" s="1460" t="s">
        <v>857</v>
      </c>
      <c r="K62" s="1460" t="s">
        <v>858</v>
      </c>
      <c r="L62" s="1460" t="s">
        <v>859</v>
      </c>
      <c r="M62" s="1461" t="s">
        <v>860</v>
      </c>
      <c r="O62" s="1415" t="s">
        <v>409</v>
      </c>
      <c r="P62" s="1416" t="s">
        <v>861</v>
      </c>
      <c r="Q62" s="1417" t="e">
        <f ca="1">Q56+Q57</f>
        <v>#N/A</v>
      </c>
      <c r="R62" s="1417" t="s">
        <v>410</v>
      </c>
    </row>
    <row r="63" spans="1:18" s="1381" customFormat="1" ht="13.5" thickBot="1">
      <c r="A63" s="326"/>
      <c r="B63" s="953"/>
      <c r="C63" s="26"/>
      <c r="D63" s="963"/>
      <c r="E63" s="947" t="s">
        <v>786</v>
      </c>
      <c r="F63" s="303" t="e">
        <f t="shared" ca="1" si="0"/>
        <v>#N/A</v>
      </c>
      <c r="I63" s="1459" t="s">
        <v>862</v>
      </c>
      <c r="J63" s="1460">
        <v>70</v>
      </c>
      <c r="K63" s="1460">
        <v>50</v>
      </c>
      <c r="L63" s="1460">
        <v>80</v>
      </c>
      <c r="M63" s="1462">
        <v>0.02</v>
      </c>
      <c r="O63" s="1400" t="s">
        <v>863</v>
      </c>
      <c r="P63" s="1378"/>
      <c r="Q63" s="1378"/>
      <c r="R63" s="1378"/>
    </row>
    <row r="64" spans="1:18" s="1381" customFormat="1" ht="13.5" thickBot="1">
      <c r="A64" s="979" t="s">
        <v>402</v>
      </c>
      <c r="B64" s="947" t="s">
        <v>788</v>
      </c>
      <c r="C64" s="21" t="e">
        <f ca="1">ROUND(C57*F64,2)</f>
        <v>#N/A</v>
      </c>
      <c r="D64" s="961" t="s">
        <v>769</v>
      </c>
      <c r="E64" s="947" t="s">
        <v>710</v>
      </c>
      <c r="F64" s="328" t="e">
        <f t="shared" ca="1" si="0"/>
        <v>#N/A</v>
      </c>
      <c r="I64" s="1459" t="s">
        <v>864</v>
      </c>
      <c r="J64" s="1460">
        <v>50</v>
      </c>
      <c r="K64" s="1460">
        <v>35</v>
      </c>
      <c r="L64" s="1460">
        <v>60</v>
      </c>
      <c r="M64" s="1461">
        <v>0</v>
      </c>
      <c r="O64" s="1408" t="s">
        <v>809</v>
      </c>
      <c r="P64" s="1409" t="s">
        <v>810</v>
      </c>
      <c r="Q64" s="1410" t="s">
        <v>811</v>
      </c>
      <c r="R64" s="1410" t="s">
        <v>812</v>
      </c>
    </row>
    <row r="65" spans="1:18" s="1381" customFormat="1" ht="13.5" thickBot="1">
      <c r="A65" s="979" t="s">
        <v>790</v>
      </c>
      <c r="B65" s="947" t="s">
        <v>740</v>
      </c>
      <c r="C65" s="21" t="e">
        <f ca="1">ROUND(C56*F65,2)</f>
        <v>#N/A</v>
      </c>
      <c r="D65" s="961" t="s">
        <v>741</v>
      </c>
      <c r="E65" s="947" t="s">
        <v>710</v>
      </c>
      <c r="F65" s="330" t="e">
        <f t="shared" ca="1" si="0"/>
        <v>#N/A</v>
      </c>
      <c r="I65" s="1459" t="s">
        <v>865</v>
      </c>
      <c r="J65" s="1460">
        <v>40</v>
      </c>
      <c r="K65" s="1460">
        <v>30</v>
      </c>
      <c r="L65" s="1460">
        <v>50</v>
      </c>
      <c r="M65" s="1462">
        <v>0.02</v>
      </c>
      <c r="O65" s="1415" t="s">
        <v>403</v>
      </c>
      <c r="P65" s="1416" t="s">
        <v>866</v>
      </c>
      <c r="Q65" s="1417" t="e">
        <f ca="1">C40+J29</f>
        <v>#N/A</v>
      </c>
      <c r="R65" s="1417" t="s">
        <v>816</v>
      </c>
    </row>
    <row r="66" spans="1:18" s="1381" customFormat="1" ht="16.5" thickBot="1">
      <c r="A66" s="979" t="s">
        <v>791</v>
      </c>
      <c r="B66" s="947" t="s">
        <v>726</v>
      </c>
      <c r="C66" s="21" t="e">
        <f ca="1">ROUND(C48*F66,2)</f>
        <v>#N/A</v>
      </c>
      <c r="D66" s="961" t="s">
        <v>746</v>
      </c>
      <c r="E66" s="947" t="s">
        <v>710</v>
      </c>
      <c r="F66" s="312" t="e">
        <f t="shared" ca="1" si="0"/>
        <v>#N/A</v>
      </c>
      <c r="O66" s="1415" t="s">
        <v>404</v>
      </c>
      <c r="P66" s="1416" t="s">
        <v>844</v>
      </c>
      <c r="Q66" s="1417" t="e">
        <f ca="1">L60</f>
        <v>#N/A</v>
      </c>
      <c r="R66" s="1417" t="s">
        <v>867</v>
      </c>
    </row>
    <row r="67" spans="1:18" s="1381" customFormat="1" ht="16.5" thickBot="1">
      <c r="A67" s="954" t="s">
        <v>394</v>
      </c>
      <c r="B67" s="964" t="s">
        <v>750</v>
      </c>
      <c r="C67" s="316" t="e">
        <f ca="1">C48-C58</f>
        <v>#N/A</v>
      </c>
      <c r="D67" s="960" t="s">
        <v>751</v>
      </c>
      <c r="E67" s="965"/>
      <c r="F67" s="966"/>
      <c r="O67" s="1425" t="s">
        <v>405</v>
      </c>
      <c r="P67" s="1416" t="s">
        <v>848</v>
      </c>
      <c r="Q67" s="1463" t="e">
        <f ca="1">L51</f>
        <v>#N/A</v>
      </c>
      <c r="R67" s="1417" t="s">
        <v>868</v>
      </c>
    </row>
    <row r="68" spans="1:18" s="1381" customFormat="1" ht="16.5" thickBot="1">
      <c r="A68" s="944" t="s">
        <v>395</v>
      </c>
      <c r="B68" s="945" t="s">
        <v>772</v>
      </c>
      <c r="C68" s="301" t="e">
        <f ca="1">ROUND(C67*(1-((1+F70)/(1+F68))^F69)/(F68-F70),0)</f>
        <v>#N/A</v>
      </c>
      <c r="D68" s="962" t="s">
        <v>756</v>
      </c>
      <c r="E68" s="947" t="s">
        <v>757</v>
      </c>
      <c r="F68" s="312" t="e">
        <f ca="1">F40</f>
        <v>#N/A</v>
      </c>
      <c r="O68" s="1425" t="s">
        <v>406</v>
      </c>
      <c r="P68" s="1464" t="s">
        <v>869</v>
      </c>
      <c r="Q68" s="1417" t="e">
        <f ca="1">ROUND(Q69-Q70*Q71,0)</f>
        <v>#N/A</v>
      </c>
      <c r="R68" s="1417" t="s">
        <v>414</v>
      </c>
    </row>
    <row r="69" spans="1:18" s="1381" customFormat="1" ht="13.5" thickBot="1">
      <c r="A69" s="948"/>
      <c r="B69" s="949"/>
      <c r="C69" s="306"/>
      <c r="D69" s="967" t="s">
        <v>760</v>
      </c>
      <c r="E69" s="947" t="s">
        <v>761</v>
      </c>
      <c r="F69" s="333" t="e">
        <f ca="1">F41</f>
        <v>#N/A</v>
      </c>
      <c r="O69" s="1425" t="s">
        <v>411</v>
      </c>
      <c r="P69" s="1464" t="s">
        <v>870</v>
      </c>
      <c r="Q69" s="1417" t="e">
        <f ca="1">C39</f>
        <v>#N/A</v>
      </c>
      <c r="R69" s="1417" t="s">
        <v>816</v>
      </c>
    </row>
    <row r="70" spans="1:18" s="1381" customFormat="1" ht="13.5" thickBot="1">
      <c r="A70" s="951"/>
      <c r="B70" s="952"/>
      <c r="C70" s="310"/>
      <c r="D70" s="963"/>
      <c r="E70" s="947" t="s">
        <v>764</v>
      </c>
      <c r="F70" s="1051"/>
      <c r="O70" s="1425" t="s">
        <v>412</v>
      </c>
      <c r="P70" s="1464" t="s">
        <v>871</v>
      </c>
      <c r="Q70" s="1417" t="e">
        <f ca="1">C13</f>
        <v>#N/A</v>
      </c>
      <c r="R70" s="1417" t="s">
        <v>816</v>
      </c>
    </row>
    <row r="71" spans="1:18" s="1381" customFormat="1" ht="13.5" thickBot="1">
      <c r="A71" s="968" t="s">
        <v>396</v>
      </c>
      <c r="B71" s="969" t="s">
        <v>774</v>
      </c>
      <c r="C71" s="336" t="e">
        <f ca="1">ROUND(C68*10000/F71,0)</f>
        <v>#N/A</v>
      </c>
      <c r="D71" s="970" t="s">
        <v>775</v>
      </c>
      <c r="E71" s="971" t="s">
        <v>776</v>
      </c>
      <c r="F71" s="339" t="e">
        <f ca="1">F43</f>
        <v>#N/A</v>
      </c>
      <c r="O71" s="1425" t="s">
        <v>413</v>
      </c>
      <c r="P71" s="1464" t="s">
        <v>872</v>
      </c>
      <c r="Q71" s="1428" t="e">
        <f ca="1">C76</f>
        <v>#N/A</v>
      </c>
      <c r="R71" s="1417"/>
    </row>
    <row r="72" spans="1:18" s="1381" customFormat="1" ht="13.5" thickBot="1">
      <c r="B72" s="726"/>
      <c r="C72" s="726"/>
      <c r="O72" s="1425" t="s">
        <v>407</v>
      </c>
      <c r="P72" s="1416" t="s">
        <v>850</v>
      </c>
      <c r="Q72" s="1428">
        <f>L52</f>
        <v>0</v>
      </c>
      <c r="R72" s="1417"/>
    </row>
    <row r="73" spans="1:18" ht="16.5" thickBot="1">
      <c r="A73" s="1381"/>
      <c r="B73" s="726"/>
      <c r="C73" s="726"/>
      <c r="D73" s="1381"/>
      <c r="E73" s="1381"/>
      <c r="F73" s="1381"/>
      <c r="O73" s="1425" t="s">
        <v>408</v>
      </c>
      <c r="P73" s="1416" t="s">
        <v>853</v>
      </c>
      <c r="Q73" s="1417" t="e">
        <f ca="1">L58</f>
        <v>#N/A</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#N/A</v>
      </c>
      <c r="R74" s="1417" t="s">
        <v>855</v>
      </c>
    </row>
    <row r="75" spans="1:18" ht="13.5" thickBot="1">
      <c r="A75" s="1381"/>
      <c r="B75" s="340" t="s">
        <v>793</v>
      </c>
      <c r="C75" s="341" t="e">
        <f ca="1">ROUND(C13*C76,0)</f>
        <v>#N/A</v>
      </c>
      <c r="D75" s="1381"/>
      <c r="E75" s="1381"/>
      <c r="F75" s="1381"/>
      <c r="K75" s="1399"/>
      <c r="L75" s="1381"/>
      <c r="O75" s="1415" t="s">
        <v>409</v>
      </c>
      <c r="P75" s="1416" t="s">
        <v>836</v>
      </c>
      <c r="Q75" s="1417" t="e">
        <f ca="1">Q65+Q66</f>
        <v>#N/A</v>
      </c>
      <c r="R75" s="1417" t="s">
        <v>410</v>
      </c>
    </row>
    <row r="76" spans="1:18">
      <c r="B76" s="342" t="s">
        <v>794</v>
      </c>
      <c r="C76" s="343" t="e">
        <f ca="1">INDIRECT("'数据-取费表'!j"&amp;$G$1)</f>
        <v>#N/A</v>
      </c>
      <c r="I76" s="1381"/>
      <c r="J76" s="1381"/>
      <c r="K76" s="1399"/>
      <c r="L76" s="1381"/>
    </row>
    <row r="77" spans="1:18">
      <c r="B77" s="344" t="s">
        <v>795</v>
      </c>
      <c r="C77" s="345"/>
      <c r="I77" s="1381"/>
      <c r="J77" s="1381"/>
      <c r="K77" s="1399"/>
      <c r="L77" s="1381"/>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3334</v>
      </c>
      <c r="C1" s="1221" t="s">
        <v>1657</v>
      </c>
      <c r="D1" s="1222"/>
      <c r="E1" s="3428"/>
      <c r="F1" s="1876"/>
      <c r="G1" s="1224" t="s">
        <v>1762</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9"/>
      <c r="M2" s="2730"/>
      <c r="N2" s="2730"/>
      <c r="O2" s="2730"/>
      <c r="P2" s="1162"/>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9"/>
      <c r="R3" s="699"/>
      <c r="S3" s="699"/>
      <c r="T3" s="699"/>
      <c r="U3" s="699"/>
      <c r="V3" s="699"/>
      <c r="W3" s="699"/>
      <c r="X3" s="699"/>
      <c r="Y3" s="699"/>
      <c r="Z3" s="699"/>
      <c r="AA3" s="699"/>
      <c r="AB3" s="716"/>
      <c r="AC3" s="713"/>
    </row>
    <row r="4" spans="1:29" ht="15">
      <c r="A4" s="355" t="s">
        <v>1764</v>
      </c>
      <c r="B4" s="356"/>
      <c r="C4" s="3901" t="s">
        <v>1765</v>
      </c>
      <c r="D4" s="3902"/>
      <c r="E4" s="3903" t="s">
        <v>1766</v>
      </c>
      <c r="F4" s="3904"/>
      <c r="G4" s="3901" t="s">
        <v>1767</v>
      </c>
      <c r="H4" s="3902"/>
      <c r="I4" s="3901" t="s">
        <v>1768</v>
      </c>
      <c r="J4" s="3902"/>
      <c r="K4" s="559" t="s">
        <v>1769</v>
      </c>
      <c r="L4" s="2710"/>
      <c r="M4" s="2711"/>
      <c r="N4" s="2711"/>
      <c r="O4" s="2711"/>
      <c r="P4" s="3905" t="s">
        <v>1770</v>
      </c>
      <c r="Q4" s="3906"/>
      <c r="R4" s="3911" t="s">
        <v>1766</v>
      </c>
      <c r="S4" s="3912"/>
      <c r="T4" s="3911" t="s">
        <v>1767</v>
      </c>
      <c r="U4" s="3912"/>
      <c r="V4" s="3917" t="s">
        <v>1768</v>
      </c>
      <c r="W4" s="3917"/>
      <c r="X4" s="1352"/>
      <c r="Y4" s="3911" t="s">
        <v>1770</v>
      </c>
      <c r="Z4" s="3912"/>
      <c r="AA4" s="3898" t="s">
        <v>1766</v>
      </c>
      <c r="AB4" s="3899" t="s">
        <v>1767</v>
      </c>
      <c r="AC4" s="3898" t="s">
        <v>1768</v>
      </c>
    </row>
    <row r="5" spans="1:29" ht="15">
      <c r="A5" s="358"/>
      <c r="B5" s="359"/>
      <c r="C5" s="3920" t="s">
        <v>1668</v>
      </c>
      <c r="D5" s="3921"/>
      <c r="E5" s="3927" t="s">
        <v>1669</v>
      </c>
      <c r="F5" s="3928"/>
      <c r="G5" s="3920" t="s">
        <v>1670</v>
      </c>
      <c r="H5" s="3921"/>
      <c r="I5" s="3920" t="s">
        <v>1671</v>
      </c>
      <c r="J5" s="3921"/>
      <c r="K5" s="559"/>
      <c r="L5" s="2710"/>
      <c r="M5" s="2711"/>
      <c r="N5" s="2711"/>
      <c r="O5" s="2711"/>
      <c r="P5" s="3907"/>
      <c r="Q5" s="3908"/>
      <c r="R5" s="3913"/>
      <c r="S5" s="3914"/>
      <c r="T5" s="3913"/>
      <c r="U5" s="3914"/>
      <c r="V5" s="3917"/>
      <c r="W5" s="3917"/>
      <c r="X5" s="1352"/>
      <c r="Y5" s="3913"/>
      <c r="Z5" s="3914"/>
      <c r="AA5" s="3899"/>
      <c r="AB5" s="3899"/>
      <c r="AC5" s="3899"/>
    </row>
    <row r="6" spans="1:29" ht="15.75" thickBot="1">
      <c r="A6" s="360"/>
      <c r="B6" s="361"/>
      <c r="C6" s="3918" t="s">
        <v>1672</v>
      </c>
      <c r="D6" s="3919"/>
      <c r="E6" s="3925" t="s">
        <v>1672</v>
      </c>
      <c r="F6" s="3926"/>
      <c r="G6" s="3918" t="s">
        <v>1672</v>
      </c>
      <c r="H6" s="3919"/>
      <c r="I6" s="3918" t="s">
        <v>1672</v>
      </c>
      <c r="J6" s="3919"/>
      <c r="K6" s="559" t="s">
        <v>1673</v>
      </c>
      <c r="L6" s="2710"/>
      <c r="M6" s="2711"/>
      <c r="N6" s="2711"/>
      <c r="O6" s="2711"/>
      <c r="P6" s="3909"/>
      <c r="Q6" s="3910"/>
      <c r="R6" s="3913"/>
      <c r="S6" s="3914"/>
      <c r="T6" s="3915"/>
      <c r="U6" s="3916"/>
      <c r="V6" s="3917"/>
      <c r="W6" s="3917"/>
      <c r="X6" s="1352"/>
      <c r="Y6" s="3915"/>
      <c r="Z6" s="3916"/>
      <c r="AA6" s="3900"/>
      <c r="AB6" s="3900"/>
      <c r="AC6" s="3900"/>
    </row>
    <row r="7" spans="1:29" s="108" customFormat="1" ht="15.75" thickBot="1">
      <c r="A7" s="362" t="s">
        <v>1674</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2"/>
      <c r="M7" s="2713"/>
      <c r="N7" s="2713"/>
      <c r="O7" s="2713"/>
      <c r="P7" s="3922" t="s">
        <v>1675</v>
      </c>
      <c r="Q7" s="3924"/>
      <c r="R7" s="701" t="s">
        <v>14</v>
      </c>
      <c r="S7" s="702">
        <f t="shared" ref="S7:S14" si="0">F7</f>
        <v>0</v>
      </c>
      <c r="T7" s="701" t="s">
        <v>14</v>
      </c>
      <c r="U7" s="702">
        <f t="shared" ref="U7:U14" si="1">H7</f>
        <v>0</v>
      </c>
      <c r="V7" s="701" t="s">
        <v>14</v>
      </c>
      <c r="W7" s="702">
        <f t="shared" ref="W7:W14" si="2">J7</f>
        <v>0</v>
      </c>
      <c r="X7" s="703"/>
      <c r="Y7" s="3922" t="s">
        <v>1675</v>
      </c>
      <c r="Z7" s="3923"/>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922" t="s">
        <v>1678</v>
      </c>
      <c r="Q8" s="3923"/>
      <c r="R8" s="701" t="s">
        <v>14</v>
      </c>
      <c r="S8" s="702">
        <f t="shared" si="0"/>
        <v>100</v>
      </c>
      <c r="T8" s="701" t="s">
        <v>14</v>
      </c>
      <c r="U8" s="702">
        <f t="shared" si="1"/>
        <v>100</v>
      </c>
      <c r="V8" s="701" t="s">
        <v>14</v>
      </c>
      <c r="W8" s="702">
        <f t="shared" si="2"/>
        <v>100</v>
      </c>
      <c r="X8" s="703"/>
      <c r="Y8" s="3922" t="s">
        <v>1678</v>
      </c>
      <c r="Z8" s="3923"/>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86" t="s">
        <v>1681</v>
      </c>
      <c r="Q9" s="1340" t="str">
        <f t="shared" ref="Q9:Q14" si="6">B9</f>
        <v>用途</v>
      </c>
      <c r="R9" s="701" t="s">
        <v>14</v>
      </c>
      <c r="S9" s="702">
        <f t="shared" si="0"/>
        <v>100</v>
      </c>
      <c r="T9" s="701" t="s">
        <v>14</v>
      </c>
      <c r="U9" s="702">
        <f t="shared" si="1"/>
        <v>100</v>
      </c>
      <c r="V9" s="701" t="s">
        <v>14</v>
      </c>
      <c r="W9" s="702">
        <f t="shared" si="2"/>
        <v>100</v>
      </c>
      <c r="X9" s="703"/>
      <c r="Y9" s="3742"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886"/>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86"/>
      <c r="Q11" s="1340">
        <f t="shared" si="6"/>
        <v>111</v>
      </c>
      <c r="R11" s="701" t="s">
        <v>14</v>
      </c>
      <c r="S11" s="702">
        <f t="shared" si="0"/>
        <v>100</v>
      </c>
      <c r="T11" s="701" t="s">
        <v>14</v>
      </c>
      <c r="U11" s="702">
        <f t="shared" si="1"/>
        <v>100</v>
      </c>
      <c r="V11" s="701" t="s">
        <v>14</v>
      </c>
      <c r="W11" s="702">
        <f t="shared" si="2"/>
        <v>100</v>
      </c>
      <c r="X11" s="703"/>
      <c r="Y11" s="37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86"/>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86"/>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704">
        <f t="shared" si="5"/>
        <v>1</v>
      </c>
    </row>
    <row r="14" spans="1:29" ht="85.5">
      <c r="A14" s="355" t="s">
        <v>1685</v>
      </c>
      <c r="B14" s="577" t="s">
        <v>1828</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88" t="s">
        <v>1686</v>
      </c>
      <c r="Q14" s="1349" t="str">
        <f t="shared" si="6"/>
        <v>交通便捷度</v>
      </c>
      <c r="R14" s="705" t="s">
        <v>14</v>
      </c>
      <c r="S14" s="706">
        <f t="shared" si="0"/>
        <v>100</v>
      </c>
      <c r="T14" s="705" t="s">
        <v>14</v>
      </c>
      <c r="U14" s="706">
        <f t="shared" si="1"/>
        <v>100</v>
      </c>
      <c r="V14" s="705" t="s">
        <v>14</v>
      </c>
      <c r="W14" s="706">
        <f t="shared" si="2"/>
        <v>100</v>
      </c>
      <c r="X14" s="1352"/>
      <c r="Y14" s="3888" t="s">
        <v>1686</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7"/>
      <c r="M15" s="2711"/>
      <c r="N15" s="2711"/>
      <c r="O15" s="2711"/>
      <c r="P15" s="3889"/>
      <c r="Q15" s="1349"/>
      <c r="R15" s="705"/>
      <c r="S15" s="706"/>
      <c r="T15" s="705"/>
      <c r="U15" s="706"/>
      <c r="V15" s="705"/>
      <c r="W15" s="706"/>
      <c r="X15" s="1352"/>
      <c r="Y15" s="3889"/>
      <c r="Z15" s="1353"/>
      <c r="AA15" s="1350">
        <v>1</v>
      </c>
      <c r="AB15" s="1350">
        <v>1</v>
      </c>
      <c r="AC15" s="1350">
        <v>1</v>
      </c>
    </row>
    <row r="16" spans="1:29" ht="42.75">
      <c r="A16" s="358"/>
      <c r="B16" s="579" t="s">
        <v>1807</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89"/>
      <c r="Q16" s="1349" t="str">
        <f>B16</f>
        <v>公共配套设施</v>
      </c>
      <c r="R16" s="705" t="s">
        <v>14</v>
      </c>
      <c r="S16" s="706">
        <f>F16</f>
        <v>100</v>
      </c>
      <c r="T16" s="705" t="s">
        <v>14</v>
      </c>
      <c r="U16" s="706">
        <f>H16</f>
        <v>100</v>
      </c>
      <c r="V16" s="705" t="s">
        <v>14</v>
      </c>
      <c r="W16" s="706">
        <f>J16</f>
        <v>100</v>
      </c>
      <c r="X16" s="1352"/>
      <c r="Y16" s="388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7"/>
      <c r="M17" s="2711"/>
      <c r="N17" s="2711"/>
      <c r="O17" s="2711"/>
      <c r="P17" s="3889"/>
      <c r="Q17" s="1349"/>
      <c r="R17" s="705"/>
      <c r="S17" s="706"/>
      <c r="T17" s="705"/>
      <c r="U17" s="706"/>
      <c r="V17" s="705"/>
      <c r="W17" s="706"/>
      <c r="X17" s="1352"/>
      <c r="Y17" s="3889"/>
      <c r="Z17" s="1353"/>
      <c r="AA17" s="1350">
        <v>1</v>
      </c>
      <c r="AB17" s="1350">
        <v>1</v>
      </c>
      <c r="AC17" s="1350">
        <v>1</v>
      </c>
    </row>
    <row r="18" spans="1:29" ht="28.5">
      <c r="A18" s="358"/>
      <c r="B18" s="581" t="s">
        <v>1808</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89"/>
      <c r="Q18" s="1349" t="str">
        <f>B18</f>
        <v>基础设施水平</v>
      </c>
      <c r="R18" s="705" t="s">
        <v>14</v>
      </c>
      <c r="S18" s="706">
        <f>F18</f>
        <v>100</v>
      </c>
      <c r="T18" s="705" t="s">
        <v>14</v>
      </c>
      <c r="U18" s="706">
        <f>H18</f>
        <v>100</v>
      </c>
      <c r="V18" s="705" t="s">
        <v>14</v>
      </c>
      <c r="W18" s="706">
        <f>J18</f>
        <v>100</v>
      </c>
      <c r="X18" s="1352"/>
      <c r="Y18" s="388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7"/>
      <c r="M19" s="2711"/>
      <c r="N19" s="2711"/>
      <c r="O19" s="2711"/>
      <c r="P19" s="3889"/>
      <c r="Q19" s="1349"/>
      <c r="R19" s="705"/>
      <c r="S19" s="706"/>
      <c r="T19" s="705"/>
      <c r="U19" s="706"/>
      <c r="V19" s="705"/>
      <c r="W19" s="706"/>
      <c r="X19" s="1352"/>
      <c r="Y19" s="3889"/>
      <c r="Z19" s="1353"/>
      <c r="AA19" s="1350">
        <v>1</v>
      </c>
      <c r="AB19" s="1350">
        <v>1</v>
      </c>
      <c r="AC19" s="1350">
        <v>1</v>
      </c>
    </row>
    <row r="20" spans="1:29" ht="57">
      <c r="A20" s="358"/>
      <c r="B20" s="579" t="s">
        <v>1829</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89"/>
      <c r="Q20" s="1349" t="str">
        <f>B20</f>
        <v>自然及人文环境</v>
      </c>
      <c r="R20" s="705" t="s">
        <v>14</v>
      </c>
      <c r="S20" s="706">
        <f>F20</f>
        <v>100</v>
      </c>
      <c r="T20" s="705" t="s">
        <v>14</v>
      </c>
      <c r="U20" s="706">
        <f>H20</f>
        <v>100</v>
      </c>
      <c r="V20" s="705" t="s">
        <v>14</v>
      </c>
      <c r="W20" s="706">
        <f>J20</f>
        <v>100</v>
      </c>
      <c r="X20" s="1352"/>
      <c r="Y20" s="388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7"/>
      <c r="M21" s="2711"/>
      <c r="N21" s="2711"/>
      <c r="O21" s="2711"/>
      <c r="P21" s="3889"/>
      <c r="Q21" s="1349"/>
      <c r="R21" s="705"/>
      <c r="S21" s="706"/>
      <c r="T21" s="705"/>
      <c r="U21" s="706"/>
      <c r="V21" s="705"/>
      <c r="W21" s="706"/>
      <c r="X21" s="1352"/>
      <c r="Y21" s="3889"/>
      <c r="Z21" s="1353"/>
      <c r="AA21" s="1350">
        <v>1</v>
      </c>
      <c r="AB21" s="1350">
        <v>1</v>
      </c>
      <c r="AC21" s="1350">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89"/>
      <c r="Q22" s="1349" t="str">
        <f>B22</f>
        <v>楼层</v>
      </c>
      <c r="R22" s="705" t="s">
        <v>14</v>
      </c>
      <c r="S22" s="706">
        <f>F22</f>
        <v>100</v>
      </c>
      <c r="T22" s="705" t="s">
        <v>14</v>
      </c>
      <c r="U22" s="706">
        <f>H22</f>
        <v>100</v>
      </c>
      <c r="V22" s="705" t="s">
        <v>14</v>
      </c>
      <c r="W22" s="706">
        <f>J22</f>
        <v>100</v>
      </c>
      <c r="X22" s="1352"/>
      <c r="Y22" s="388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89"/>
      <c r="Q23" s="1349">
        <f>B23</f>
        <v>111</v>
      </c>
      <c r="R23" s="705" t="s">
        <v>14</v>
      </c>
      <c r="S23" s="706">
        <f>F23</f>
        <v>100</v>
      </c>
      <c r="T23" s="705" t="s">
        <v>14</v>
      </c>
      <c r="U23" s="706">
        <f>H23</f>
        <v>100</v>
      </c>
      <c r="V23" s="705" t="s">
        <v>14</v>
      </c>
      <c r="W23" s="706">
        <f>J23</f>
        <v>100</v>
      </c>
      <c r="X23" s="1352"/>
      <c r="Y23" s="388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89"/>
      <c r="Q24" s="1349">
        <f t="shared" ref="Q24:Q36" si="11">B24</f>
        <v>111</v>
      </c>
      <c r="R24" s="705" t="s">
        <v>14</v>
      </c>
      <c r="S24" s="706">
        <f>F24</f>
        <v>100</v>
      </c>
      <c r="T24" s="705" t="s">
        <v>14</v>
      </c>
      <c r="U24" s="706">
        <f>H24</f>
        <v>100</v>
      </c>
      <c r="V24" s="705" t="s">
        <v>14</v>
      </c>
      <c r="W24" s="706">
        <f>J24</f>
        <v>100</v>
      </c>
      <c r="X24" s="1352"/>
      <c r="Y24" s="388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89"/>
      <c r="Q25" s="1340">
        <f t="shared" si="11"/>
        <v>111</v>
      </c>
      <c r="R25" s="701" t="s">
        <v>14</v>
      </c>
      <c r="S25" s="702">
        <f>F25</f>
        <v>100</v>
      </c>
      <c r="T25" s="701" t="s">
        <v>14</v>
      </c>
      <c r="U25" s="702">
        <f>H25</f>
        <v>100</v>
      </c>
      <c r="V25" s="701" t="s">
        <v>14</v>
      </c>
      <c r="W25" s="702">
        <f>J25</f>
        <v>100</v>
      </c>
      <c r="X25" s="703"/>
      <c r="Y25" s="3889"/>
      <c r="Z25" s="52">
        <f>Q25</f>
        <v>111</v>
      </c>
      <c r="AA25" s="1350">
        <f>D25/F25</f>
        <v>1</v>
      </c>
      <c r="AB25" s="1350">
        <f>D25/H25</f>
        <v>1</v>
      </c>
      <c r="AC25" s="1350">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944" t="s">
        <v>1691</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893" t="s">
        <v>1691</v>
      </c>
      <c r="Z26" s="1353" t="str">
        <f t="shared" ref="Z26:Z36" si="15">Q26</f>
        <v>配套类型</v>
      </c>
      <c r="AA26" s="1350" t="e">
        <f t="shared" si="3"/>
        <v>#DIV/0!</v>
      </c>
      <c r="AB26" s="1350" t="e">
        <f t="shared" si="4"/>
        <v>#DIV/0!</v>
      </c>
      <c r="AC26" s="1350"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93"/>
      <c r="Q27" s="707" t="str">
        <f t="shared" si="11"/>
        <v>项目停车位配比</v>
      </c>
      <c r="R27" s="708" t="s">
        <v>14</v>
      </c>
      <c r="S27" s="709">
        <f t="shared" si="12"/>
        <v>100</v>
      </c>
      <c r="T27" s="708" t="s">
        <v>14</v>
      </c>
      <c r="U27" s="709">
        <f t="shared" si="13"/>
        <v>100</v>
      </c>
      <c r="V27" s="708" t="s">
        <v>14</v>
      </c>
      <c r="W27" s="709">
        <f t="shared" si="14"/>
        <v>100</v>
      </c>
      <c r="X27" s="710"/>
      <c r="Y27" s="3893"/>
      <c r="Z27" s="711" t="str">
        <f t="shared" si="15"/>
        <v>项目停车位配比</v>
      </c>
      <c r="AA27" s="1350">
        <f t="shared" si="3"/>
        <v>1</v>
      </c>
      <c r="AB27" s="1350">
        <f t="shared" si="4"/>
        <v>1</v>
      </c>
      <c r="AC27" s="1350">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93"/>
      <c r="Q28" s="1349" t="str">
        <f t="shared" si="11"/>
        <v>公共部分装修</v>
      </c>
      <c r="R28" s="705" t="s">
        <v>14</v>
      </c>
      <c r="S28" s="706">
        <f t="shared" si="12"/>
        <v>100</v>
      </c>
      <c r="T28" s="705" t="s">
        <v>14</v>
      </c>
      <c r="U28" s="706">
        <f t="shared" si="13"/>
        <v>100</v>
      </c>
      <c r="V28" s="705" t="s">
        <v>14</v>
      </c>
      <c r="W28" s="706">
        <f t="shared" si="14"/>
        <v>100</v>
      </c>
      <c r="X28" s="1352"/>
      <c r="Y28" s="3893"/>
      <c r="Z28" s="1353" t="str">
        <f t="shared" si="15"/>
        <v>公共部分装修</v>
      </c>
      <c r="AA28" s="1350">
        <f t="shared" si="3"/>
        <v>1</v>
      </c>
      <c r="AB28" s="1350">
        <f t="shared" si="4"/>
        <v>1</v>
      </c>
      <c r="AC28" s="1350">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893"/>
      <c r="Q29" s="1349" t="str">
        <f t="shared" si="11"/>
        <v>成新率</v>
      </c>
      <c r="R29" s="705" t="s">
        <v>14</v>
      </c>
      <c r="S29" s="706" t="e">
        <f t="shared" si="12"/>
        <v>#N/A</v>
      </c>
      <c r="T29" s="705" t="s">
        <v>14</v>
      </c>
      <c r="U29" s="706" t="e">
        <f t="shared" si="13"/>
        <v>#N/A</v>
      </c>
      <c r="V29" s="705" t="s">
        <v>14</v>
      </c>
      <c r="W29" s="706" t="e">
        <f t="shared" si="14"/>
        <v>#N/A</v>
      </c>
      <c r="X29" s="1352"/>
      <c r="Y29" s="3893"/>
      <c r="Z29" s="1353" t="str">
        <f t="shared" si="15"/>
        <v>成新率</v>
      </c>
      <c r="AA29" s="1350" t="e">
        <f t="shared" si="3"/>
        <v>#N/A</v>
      </c>
      <c r="AB29" s="1350" t="e">
        <f t="shared" si="4"/>
        <v>#N/A</v>
      </c>
      <c r="AC29" s="1350"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93"/>
      <c r="Q30" s="1349" t="str">
        <f t="shared" si="11"/>
        <v>物业等级</v>
      </c>
      <c r="R30" s="705" t="s">
        <v>14</v>
      </c>
      <c r="S30" s="706">
        <f t="shared" si="12"/>
        <v>100</v>
      </c>
      <c r="T30" s="705" t="s">
        <v>14</v>
      </c>
      <c r="U30" s="706">
        <f t="shared" si="13"/>
        <v>100</v>
      </c>
      <c r="V30" s="705" t="s">
        <v>14</v>
      </c>
      <c r="W30" s="706">
        <f t="shared" si="14"/>
        <v>100</v>
      </c>
      <c r="X30" s="1352"/>
      <c r="Y30" s="3893"/>
      <c r="Z30" s="1353" t="str">
        <f t="shared" si="15"/>
        <v>物业等级</v>
      </c>
      <c r="AA30" s="1350">
        <f t="shared" si="3"/>
        <v>1</v>
      </c>
      <c r="AB30" s="1350">
        <f t="shared" si="4"/>
        <v>1</v>
      </c>
      <c r="AC30" s="1350">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893"/>
      <c r="Q31" s="1340" t="str">
        <f t="shared" si="11"/>
        <v>停车位面积</v>
      </c>
      <c r="R31" s="701" t="s">
        <v>14</v>
      </c>
      <c r="S31" s="702" t="e">
        <f t="shared" si="12"/>
        <v>#N/A</v>
      </c>
      <c r="T31" s="701" t="s">
        <v>14</v>
      </c>
      <c r="U31" s="702" t="e">
        <f t="shared" si="13"/>
        <v>#N/A</v>
      </c>
      <c r="V31" s="701" t="s">
        <v>14</v>
      </c>
      <c r="W31" s="702" t="e">
        <f t="shared" si="14"/>
        <v>#N/A</v>
      </c>
      <c r="X31" s="703"/>
      <c r="Y31" s="3893"/>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93" t="s">
        <v>1691</v>
      </c>
      <c r="Q32" s="1349" t="str">
        <f t="shared" si="11"/>
        <v>车位类型</v>
      </c>
      <c r="R32" s="705" t="s">
        <v>14</v>
      </c>
      <c r="S32" s="706">
        <f t="shared" si="12"/>
        <v>100</v>
      </c>
      <c r="T32" s="705" t="s">
        <v>14</v>
      </c>
      <c r="U32" s="706">
        <f t="shared" si="13"/>
        <v>100</v>
      </c>
      <c r="V32" s="705" t="s">
        <v>14</v>
      </c>
      <c r="W32" s="706">
        <f t="shared" si="14"/>
        <v>100</v>
      </c>
      <c r="X32" s="1352"/>
      <c r="Y32" s="3893" t="s">
        <v>1691</v>
      </c>
      <c r="Z32" s="1353" t="str">
        <f t="shared" si="15"/>
        <v>车位类型</v>
      </c>
      <c r="AA32" s="1350">
        <f t="shared" si="3"/>
        <v>1</v>
      </c>
      <c r="AB32" s="1350">
        <f t="shared" si="4"/>
        <v>1</v>
      </c>
      <c r="AC32" s="1350">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93"/>
      <c r="Q33" s="1349" t="str">
        <f t="shared" si="11"/>
        <v>是否直接入户</v>
      </c>
      <c r="R33" s="705" t="s">
        <v>14</v>
      </c>
      <c r="S33" s="706">
        <f t="shared" si="12"/>
        <v>100</v>
      </c>
      <c r="T33" s="705" t="s">
        <v>14</v>
      </c>
      <c r="U33" s="706">
        <f t="shared" si="13"/>
        <v>100</v>
      </c>
      <c r="V33" s="705" t="s">
        <v>14</v>
      </c>
      <c r="W33" s="706">
        <f t="shared" si="14"/>
        <v>100</v>
      </c>
      <c r="X33" s="1352"/>
      <c r="Y33" s="389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93"/>
      <c r="Q34" s="1349">
        <f t="shared" si="11"/>
        <v>111</v>
      </c>
      <c r="R34" s="705" t="s">
        <v>14</v>
      </c>
      <c r="S34" s="706">
        <f t="shared" si="12"/>
        <v>100</v>
      </c>
      <c r="T34" s="705" t="s">
        <v>14</v>
      </c>
      <c r="U34" s="706">
        <f t="shared" si="13"/>
        <v>100</v>
      </c>
      <c r="V34" s="705" t="s">
        <v>14</v>
      </c>
      <c r="W34" s="706">
        <f t="shared" si="14"/>
        <v>100</v>
      </c>
      <c r="X34" s="1352"/>
      <c r="Y34" s="389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93"/>
      <c r="Q35" s="707">
        <f t="shared" si="11"/>
        <v>111</v>
      </c>
      <c r="R35" s="708" t="s">
        <v>14</v>
      </c>
      <c r="S35" s="709">
        <f t="shared" si="12"/>
        <v>100</v>
      </c>
      <c r="T35" s="708" t="s">
        <v>14</v>
      </c>
      <c r="U35" s="709">
        <f t="shared" si="13"/>
        <v>100</v>
      </c>
      <c r="V35" s="708" t="s">
        <v>14</v>
      </c>
      <c r="W35" s="709">
        <f t="shared" si="14"/>
        <v>100</v>
      </c>
      <c r="X35" s="710"/>
      <c r="Y35" s="3893"/>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93"/>
      <c r="Q36" s="1349">
        <f t="shared" si="11"/>
        <v>111</v>
      </c>
      <c r="R36" s="705" t="s">
        <v>14</v>
      </c>
      <c r="S36" s="706">
        <f t="shared" si="12"/>
        <v>100</v>
      </c>
      <c r="T36" s="705" t="s">
        <v>14</v>
      </c>
      <c r="U36" s="706">
        <f t="shared" si="13"/>
        <v>100</v>
      </c>
      <c r="V36" s="705" t="s">
        <v>14</v>
      </c>
      <c r="W36" s="706">
        <f t="shared" si="14"/>
        <v>100</v>
      </c>
      <c r="X36" s="1352"/>
      <c r="Y36" s="3893"/>
      <c r="Z36" s="1353">
        <f t="shared" si="15"/>
        <v>111</v>
      </c>
      <c r="AA36" s="1350">
        <f t="shared" si="3"/>
        <v>1</v>
      </c>
      <c r="AB36" s="1350">
        <f t="shared" si="4"/>
        <v>1</v>
      </c>
      <c r="AC36" s="1350">
        <f t="shared" si="5"/>
        <v>1</v>
      </c>
    </row>
    <row r="37" spans="1:29" ht="15">
      <c r="A37" s="430" t="s">
        <v>1839</v>
      </c>
      <c r="B37" s="1970" t="s">
        <v>3354</v>
      </c>
      <c r="C37" s="1151" t="s">
        <v>0</v>
      </c>
      <c r="D37" s="1152"/>
      <c r="E37" s="1153"/>
      <c r="F37" s="1154"/>
      <c r="G37" s="1155"/>
      <c r="H37" s="1156"/>
      <c r="I37" s="1153"/>
      <c r="J37" s="1156"/>
      <c r="K37" s="568"/>
      <c r="L37" s="2719"/>
      <c r="M37" s="2720"/>
      <c r="N37" s="2711"/>
      <c r="O37" s="2720"/>
      <c r="P37" s="3886" t="str">
        <f>A37</f>
        <v>成交单价</v>
      </c>
      <c r="Q37" s="3886"/>
      <c r="R37" s="3887">
        <f>E37</f>
        <v>0</v>
      </c>
      <c r="S37" s="3887"/>
      <c r="T37" s="3887">
        <f>G37</f>
        <v>0</v>
      </c>
      <c r="U37" s="3887"/>
      <c r="V37" s="3887">
        <f>I37</f>
        <v>0</v>
      </c>
      <c r="W37" s="3887"/>
      <c r="X37" s="690"/>
      <c r="Y37" s="712"/>
      <c r="Z37" s="690"/>
      <c r="AA37" s="690"/>
      <c r="AB37" s="690"/>
      <c r="AC37" s="690"/>
    </row>
    <row r="38" spans="1:29" ht="15.75" thickBot="1">
      <c r="A38" s="437" t="s">
        <v>1840</v>
      </c>
      <c r="B38" s="438" t="str">
        <f>B37</f>
        <v>元/平方米</v>
      </c>
      <c r="C38" s="1157" t="e">
        <f>R39</f>
        <v>#DIV/0!</v>
      </c>
      <c r="D38" s="2314" t="s">
        <v>2133</v>
      </c>
      <c r="E38" s="1158" t="e">
        <f>R38</f>
        <v>#DIV/0!</v>
      </c>
      <c r="F38" s="2315"/>
      <c r="G38" s="1157" t="e">
        <f>T38</f>
        <v>#DIV/0!</v>
      </c>
      <c r="H38" s="2315"/>
      <c r="I38" s="1158" t="e">
        <f>V38</f>
        <v>#DIV/0!</v>
      </c>
      <c r="J38" s="2315"/>
      <c r="K38" s="2317">
        <f>F38+H38+J38</f>
        <v>0</v>
      </c>
      <c r="L38" s="2719"/>
      <c r="M38" s="2720"/>
      <c r="N38" s="2720"/>
      <c r="O38" s="2720"/>
      <c r="P38" s="3886" t="str">
        <f>A38</f>
        <v>比较价值（元/平方米）</v>
      </c>
      <c r="Q38" s="3886"/>
      <c r="R38" s="3887" t="e">
        <f>IF(F1="售价",ROUND(PRODUCT(R37,AA7:AA36),0),ROUND(PRODUCT(R37,AA7:AA36),1))</f>
        <v>#DIV/0!</v>
      </c>
      <c r="S38" s="3887"/>
      <c r="T38" s="3887" t="e">
        <f>IF(F1="售价",ROUND(PRODUCT(T37,AB7:AB36),0),ROUND(PRODUCT(T37,AB7:AB36),1))</f>
        <v>#DIV/0!</v>
      </c>
      <c r="U38" s="3887"/>
      <c r="V38" s="3887" t="e">
        <f>IF(F1="售价",ROUND(PRODUCT(V37,AC7:AC36),0),ROUND(PRODUCT(V37,AC7:AC36),1))</f>
        <v>#DIV/0!</v>
      </c>
      <c r="W38" s="3887"/>
      <c r="X38" s="690"/>
      <c r="Y38" s="690"/>
      <c r="Z38" s="690"/>
      <c r="AA38" s="690"/>
      <c r="AB38" s="690"/>
      <c r="AC38" s="690"/>
    </row>
    <row r="39" spans="1:29" ht="15.75" thickBot="1">
      <c r="A39" s="441" t="s">
        <v>1841</v>
      </c>
      <c r="B39" s="442"/>
      <c r="C39" s="1160" t="e">
        <f>R39</f>
        <v>#DIV/0!</v>
      </c>
      <c r="D39" s="1160"/>
      <c r="E39" s="1160"/>
      <c r="F39" s="1160"/>
      <c r="G39" s="1160"/>
      <c r="H39" s="1160"/>
      <c r="I39" s="1160"/>
      <c r="J39" s="1160"/>
      <c r="K39" s="569"/>
      <c r="L39" s="2719"/>
      <c r="M39" s="2720"/>
      <c r="N39" s="2720"/>
      <c r="O39" s="2720"/>
      <c r="P39" s="3883" t="str">
        <f>A39</f>
        <v>估价对象XX用房的比较价值（楼面单价，元/平方米）</v>
      </c>
      <c r="Q39" s="3884"/>
      <c r="R39" s="3945" t="e">
        <f>IF(F1="售价",ROUND(IF(D38="简单平均",AVERAGE(R38:W38),R38*F38+T38*H38+V38*J38),0),ROUND(IF(D38="简单平均",AVERAGE(R38:V38),R38*F38+T38*H38+V38*J38),1))</f>
        <v>#DIV/0!</v>
      </c>
      <c r="S39" s="3945"/>
      <c r="T39" s="3945"/>
      <c r="U39" s="3945"/>
      <c r="V39" s="3945"/>
      <c r="W39" s="3945"/>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1845</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1826</v>
      </c>
      <c r="B1" s="1220" t="s">
        <v>3335</v>
      </c>
      <c r="C1" s="1221" t="s">
        <v>1657</v>
      </c>
      <c r="D1" s="1222"/>
      <c r="E1" s="3428"/>
      <c r="F1" s="1876"/>
      <c r="G1" s="1232" t="s">
        <v>1762</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1457</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1458</v>
      </c>
      <c r="F2" s="1880"/>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1764</v>
      </c>
      <c r="B4" s="356"/>
      <c r="C4" s="3901" t="s">
        <v>1765</v>
      </c>
      <c r="D4" s="3902"/>
      <c r="E4" s="3903" t="s">
        <v>1766</v>
      </c>
      <c r="F4" s="3904"/>
      <c r="G4" s="3901" t="s">
        <v>1767</v>
      </c>
      <c r="H4" s="3902"/>
      <c r="I4" s="3901" t="s">
        <v>1768</v>
      </c>
      <c r="J4" s="3902"/>
      <c r="K4" s="559" t="s">
        <v>1769</v>
      </c>
      <c r="L4" s="2710"/>
      <c r="M4" s="2711"/>
      <c r="N4" s="2711"/>
      <c r="O4" s="2711"/>
      <c r="P4" s="3905" t="s">
        <v>1770</v>
      </c>
      <c r="Q4" s="3906"/>
      <c r="R4" s="3911" t="s">
        <v>1766</v>
      </c>
      <c r="S4" s="3912"/>
      <c r="T4" s="3911" t="s">
        <v>1767</v>
      </c>
      <c r="U4" s="3912"/>
      <c r="V4" s="3917" t="s">
        <v>1768</v>
      </c>
      <c r="W4" s="3917"/>
      <c r="X4" s="1352"/>
      <c r="Y4" s="3911" t="s">
        <v>1770</v>
      </c>
      <c r="Z4" s="3912"/>
      <c r="AA4" s="3898" t="s">
        <v>1766</v>
      </c>
      <c r="AB4" s="3899" t="s">
        <v>1767</v>
      </c>
      <c r="AC4" s="3898" t="s">
        <v>1768</v>
      </c>
    </row>
    <row r="5" spans="1:29" ht="15">
      <c r="A5" s="358"/>
      <c r="B5" s="359"/>
      <c r="C5" s="3920" t="s">
        <v>1668</v>
      </c>
      <c r="D5" s="3921"/>
      <c r="E5" s="3927" t="s">
        <v>1669</v>
      </c>
      <c r="F5" s="3928"/>
      <c r="G5" s="3920" t="s">
        <v>1670</v>
      </c>
      <c r="H5" s="3921"/>
      <c r="I5" s="3920" t="s">
        <v>1671</v>
      </c>
      <c r="J5" s="3921"/>
      <c r="K5" s="559"/>
      <c r="L5" s="2710"/>
      <c r="M5" s="2711"/>
      <c r="N5" s="2711"/>
      <c r="O5" s="2711"/>
      <c r="P5" s="3907"/>
      <c r="Q5" s="3908"/>
      <c r="R5" s="3913"/>
      <c r="S5" s="3914"/>
      <c r="T5" s="3913"/>
      <c r="U5" s="3914"/>
      <c r="V5" s="3917"/>
      <c r="W5" s="3917"/>
      <c r="X5" s="1352"/>
      <c r="Y5" s="3913"/>
      <c r="Z5" s="3914"/>
      <c r="AA5" s="3899"/>
      <c r="AB5" s="3899"/>
      <c r="AC5" s="3899"/>
    </row>
    <row r="6" spans="1:29" ht="15.75" thickBot="1">
      <c r="A6" s="360"/>
      <c r="B6" s="361"/>
      <c r="C6" s="3918" t="s">
        <v>1672</v>
      </c>
      <c r="D6" s="3919"/>
      <c r="E6" s="3925" t="s">
        <v>1672</v>
      </c>
      <c r="F6" s="3926"/>
      <c r="G6" s="3918" t="s">
        <v>1672</v>
      </c>
      <c r="H6" s="3919"/>
      <c r="I6" s="3918" t="s">
        <v>1672</v>
      </c>
      <c r="J6" s="3919"/>
      <c r="K6" s="559" t="s">
        <v>1673</v>
      </c>
      <c r="L6" s="2710"/>
      <c r="M6" s="2711"/>
      <c r="N6" s="2711"/>
      <c r="O6" s="2711"/>
      <c r="P6" s="3909"/>
      <c r="Q6" s="3910"/>
      <c r="R6" s="3913"/>
      <c r="S6" s="3914"/>
      <c r="T6" s="3915"/>
      <c r="U6" s="3916"/>
      <c r="V6" s="3917"/>
      <c r="W6" s="3917"/>
      <c r="X6" s="1352"/>
      <c r="Y6" s="3915"/>
      <c r="Z6" s="3916"/>
      <c r="AA6" s="3900"/>
      <c r="AB6" s="3900"/>
      <c r="AC6" s="3900"/>
    </row>
    <row r="7" spans="1:29" s="108" customFormat="1" ht="15.75" thickBot="1">
      <c r="A7" s="362" t="s">
        <v>1674</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922" t="s">
        <v>1675</v>
      </c>
      <c r="Q7" s="3924"/>
      <c r="R7" s="701" t="s">
        <v>14</v>
      </c>
      <c r="S7" s="702">
        <f t="shared" ref="S7:S14" si="0">F7</f>
        <v>0</v>
      </c>
      <c r="T7" s="701" t="s">
        <v>14</v>
      </c>
      <c r="U7" s="702">
        <f t="shared" ref="U7:U14" si="1">H7</f>
        <v>0</v>
      </c>
      <c r="V7" s="701" t="s">
        <v>14</v>
      </c>
      <c r="W7" s="702">
        <f t="shared" ref="W7:W14" si="2">J7</f>
        <v>0</v>
      </c>
      <c r="X7" s="703"/>
      <c r="Y7" s="3922" t="s">
        <v>1675</v>
      </c>
      <c r="Z7" s="3923"/>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922" t="s">
        <v>1678</v>
      </c>
      <c r="Q8" s="3923"/>
      <c r="R8" s="701" t="s">
        <v>14</v>
      </c>
      <c r="S8" s="702">
        <f t="shared" si="0"/>
        <v>100</v>
      </c>
      <c r="T8" s="701" t="s">
        <v>14</v>
      </c>
      <c r="U8" s="702">
        <f t="shared" si="1"/>
        <v>100</v>
      </c>
      <c r="V8" s="701" t="s">
        <v>14</v>
      </c>
      <c r="W8" s="702">
        <f t="shared" si="2"/>
        <v>100</v>
      </c>
      <c r="X8" s="703"/>
      <c r="Y8" s="3922" t="s">
        <v>1678</v>
      </c>
      <c r="Z8" s="3923"/>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86" t="s">
        <v>1681</v>
      </c>
      <c r="Q9" s="1340" t="str">
        <f t="shared" ref="Q9:Q14" si="6">B9</f>
        <v>用途</v>
      </c>
      <c r="R9" s="701" t="s">
        <v>14</v>
      </c>
      <c r="S9" s="702">
        <f t="shared" si="0"/>
        <v>100</v>
      </c>
      <c r="T9" s="701" t="s">
        <v>14</v>
      </c>
      <c r="U9" s="702">
        <f t="shared" si="1"/>
        <v>100</v>
      </c>
      <c r="V9" s="701" t="s">
        <v>14</v>
      </c>
      <c r="W9" s="702">
        <f t="shared" si="2"/>
        <v>100</v>
      </c>
      <c r="X9" s="703"/>
      <c r="Y9" s="3742"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886"/>
      <c r="Q10" s="1340" t="str">
        <f t="shared" si="6"/>
        <v>土地使用年限（年）</v>
      </c>
      <c r="R10" s="701" t="s">
        <v>14</v>
      </c>
      <c r="S10" s="702">
        <f t="shared" si="0"/>
        <v>100</v>
      </c>
      <c r="T10" s="701" t="s">
        <v>14</v>
      </c>
      <c r="U10" s="702">
        <f t="shared" si="1"/>
        <v>100</v>
      </c>
      <c r="V10" s="701" t="s">
        <v>14</v>
      </c>
      <c r="W10" s="702">
        <f t="shared" si="2"/>
        <v>100</v>
      </c>
      <c r="X10" s="703"/>
      <c r="Y10" s="3742"/>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86"/>
      <c r="Q11" s="1340">
        <f t="shared" si="6"/>
        <v>111</v>
      </c>
      <c r="R11" s="701" t="s">
        <v>14</v>
      </c>
      <c r="S11" s="702">
        <f t="shared" si="0"/>
        <v>100</v>
      </c>
      <c r="T11" s="701" t="s">
        <v>14</v>
      </c>
      <c r="U11" s="702">
        <f t="shared" si="1"/>
        <v>100</v>
      </c>
      <c r="V11" s="701" t="s">
        <v>14</v>
      </c>
      <c r="W11" s="702">
        <f t="shared" si="2"/>
        <v>100</v>
      </c>
      <c r="X11" s="703"/>
      <c r="Y11" s="3742"/>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86"/>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886"/>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704">
        <f t="shared" si="5"/>
        <v>1</v>
      </c>
    </row>
    <row r="14" spans="1:29" ht="85.5">
      <c r="A14" s="391" t="s">
        <v>1685</v>
      </c>
      <c r="B14" s="61" t="s">
        <v>1828</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88" t="s">
        <v>1686</v>
      </c>
      <c r="Q14" s="1349" t="str">
        <f t="shared" si="6"/>
        <v>交通便捷度</v>
      </c>
      <c r="R14" s="705" t="s">
        <v>14</v>
      </c>
      <c r="S14" s="706">
        <f t="shared" si="0"/>
        <v>100</v>
      </c>
      <c r="T14" s="705" t="s">
        <v>14</v>
      </c>
      <c r="U14" s="706">
        <f t="shared" si="1"/>
        <v>100</v>
      </c>
      <c r="V14" s="705" t="s">
        <v>14</v>
      </c>
      <c r="W14" s="706">
        <f t="shared" si="2"/>
        <v>100</v>
      </c>
      <c r="X14" s="1352"/>
      <c r="Y14" s="3888" t="s">
        <v>1686</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889"/>
      <c r="Q15" s="1349"/>
      <c r="R15" s="705"/>
      <c r="S15" s="706"/>
      <c r="T15" s="705"/>
      <c r="U15" s="706"/>
      <c r="V15" s="705"/>
      <c r="W15" s="706"/>
      <c r="X15" s="1352"/>
      <c r="Y15" s="3889"/>
      <c r="Z15" s="1353"/>
      <c r="AA15" s="1350">
        <v>1</v>
      </c>
      <c r="AB15" s="1350">
        <v>1</v>
      </c>
      <c r="AC15" s="1350">
        <v>1</v>
      </c>
    </row>
    <row r="16" spans="1:29" ht="42.75">
      <c r="A16" s="379"/>
      <c r="B16" s="402" t="s">
        <v>1807</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89"/>
      <c r="Q16" s="1349" t="str">
        <f>B16</f>
        <v>公共配套设施</v>
      </c>
      <c r="R16" s="705" t="s">
        <v>14</v>
      </c>
      <c r="S16" s="706">
        <f>F16</f>
        <v>100</v>
      </c>
      <c r="T16" s="705" t="s">
        <v>14</v>
      </c>
      <c r="U16" s="706">
        <f>H16</f>
        <v>100</v>
      </c>
      <c r="V16" s="705" t="s">
        <v>14</v>
      </c>
      <c r="W16" s="706">
        <f>J16</f>
        <v>100</v>
      </c>
      <c r="X16" s="1352"/>
      <c r="Y16" s="388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889"/>
      <c r="Q17" s="1349"/>
      <c r="R17" s="705"/>
      <c r="S17" s="706"/>
      <c r="T17" s="705"/>
      <c r="U17" s="706"/>
      <c r="V17" s="705"/>
      <c r="W17" s="706"/>
      <c r="X17" s="1352"/>
      <c r="Y17" s="3889"/>
      <c r="Z17" s="1353"/>
      <c r="AA17" s="1350">
        <v>1</v>
      </c>
      <c r="AB17" s="1350">
        <v>1</v>
      </c>
      <c r="AC17" s="1350">
        <v>1</v>
      </c>
    </row>
    <row r="18" spans="1:29" ht="28.5">
      <c r="A18" s="379"/>
      <c r="B18" s="1128" t="s">
        <v>1808</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89"/>
      <c r="Q18" s="1349" t="str">
        <f>B18</f>
        <v>基础设施水平</v>
      </c>
      <c r="R18" s="705" t="s">
        <v>14</v>
      </c>
      <c r="S18" s="706">
        <f>F18</f>
        <v>100</v>
      </c>
      <c r="T18" s="705" t="s">
        <v>14</v>
      </c>
      <c r="U18" s="706">
        <f>H18</f>
        <v>100</v>
      </c>
      <c r="V18" s="705" t="s">
        <v>14</v>
      </c>
      <c r="W18" s="706">
        <f>J18</f>
        <v>100</v>
      </c>
      <c r="X18" s="1352"/>
      <c r="Y18" s="3889"/>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889"/>
      <c r="Q19" s="1349"/>
      <c r="R19" s="705"/>
      <c r="S19" s="706"/>
      <c r="T19" s="705"/>
      <c r="U19" s="706"/>
      <c r="V19" s="705"/>
      <c r="W19" s="706"/>
      <c r="X19" s="1352"/>
      <c r="Y19" s="3889"/>
      <c r="Z19" s="1353"/>
      <c r="AA19" s="1350">
        <v>1</v>
      </c>
      <c r="AB19" s="1350">
        <v>1</v>
      </c>
      <c r="AC19" s="1350">
        <v>1</v>
      </c>
    </row>
    <row r="20" spans="1:29" ht="57">
      <c r="A20" s="379"/>
      <c r="B20" s="402" t="s">
        <v>1829</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89"/>
      <c r="Q20" s="1349" t="str">
        <f>B20</f>
        <v>自然及人文环境</v>
      </c>
      <c r="R20" s="705" t="s">
        <v>14</v>
      </c>
      <c r="S20" s="706">
        <f>F20</f>
        <v>100</v>
      </c>
      <c r="T20" s="705" t="s">
        <v>14</v>
      </c>
      <c r="U20" s="706">
        <f>H20</f>
        <v>100</v>
      </c>
      <c r="V20" s="705" t="s">
        <v>14</v>
      </c>
      <c r="W20" s="706">
        <f>J20</f>
        <v>100</v>
      </c>
      <c r="X20" s="1352"/>
      <c r="Y20" s="388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889"/>
      <c r="Q21" s="1349"/>
      <c r="R21" s="705"/>
      <c r="S21" s="706"/>
      <c r="T21" s="705"/>
      <c r="U21" s="706"/>
      <c r="V21" s="705"/>
      <c r="W21" s="706"/>
      <c r="X21" s="1352"/>
      <c r="Y21" s="3889"/>
      <c r="Z21" s="1353"/>
      <c r="AA21" s="1350">
        <v>1</v>
      </c>
      <c r="AB21" s="1350">
        <v>1</v>
      </c>
      <c r="AC21" s="1350">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89"/>
      <c r="Q22" s="1349" t="str">
        <f>B22</f>
        <v>楼层</v>
      </c>
      <c r="R22" s="705" t="s">
        <v>14</v>
      </c>
      <c r="S22" s="706">
        <f>F22</f>
        <v>100</v>
      </c>
      <c r="T22" s="705" t="s">
        <v>14</v>
      </c>
      <c r="U22" s="706">
        <f>H22</f>
        <v>100</v>
      </c>
      <c r="V22" s="705" t="s">
        <v>14</v>
      </c>
      <c r="W22" s="706">
        <f>J22</f>
        <v>100</v>
      </c>
      <c r="X22" s="1352"/>
      <c r="Y22" s="388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89"/>
      <c r="Q23" s="1349">
        <f>B23</f>
        <v>111</v>
      </c>
      <c r="R23" s="705" t="s">
        <v>14</v>
      </c>
      <c r="S23" s="706">
        <f>F23</f>
        <v>100</v>
      </c>
      <c r="T23" s="705" t="s">
        <v>14</v>
      </c>
      <c r="U23" s="706">
        <f>H23</f>
        <v>100</v>
      </c>
      <c r="V23" s="705" t="s">
        <v>14</v>
      </c>
      <c r="W23" s="706">
        <f>J23</f>
        <v>100</v>
      </c>
      <c r="X23" s="1352"/>
      <c r="Y23" s="388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89"/>
      <c r="Q24" s="1349">
        <f t="shared" ref="Q24:Q34" si="11">B24</f>
        <v>111</v>
      </c>
      <c r="R24" s="705" t="s">
        <v>14</v>
      </c>
      <c r="S24" s="706">
        <f>F24</f>
        <v>100</v>
      </c>
      <c r="T24" s="705" t="s">
        <v>14</v>
      </c>
      <c r="U24" s="706">
        <f>H24</f>
        <v>100</v>
      </c>
      <c r="V24" s="705" t="s">
        <v>14</v>
      </c>
      <c r="W24" s="706">
        <f>J24</f>
        <v>100</v>
      </c>
      <c r="X24" s="1352"/>
      <c r="Y24" s="388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889"/>
      <c r="Q25" s="1340">
        <f t="shared" si="11"/>
        <v>111</v>
      </c>
      <c r="R25" s="701" t="s">
        <v>14</v>
      </c>
      <c r="S25" s="702">
        <f>F25</f>
        <v>100</v>
      </c>
      <c r="T25" s="701" t="s">
        <v>14</v>
      </c>
      <c r="U25" s="702">
        <f>H25</f>
        <v>100</v>
      </c>
      <c r="V25" s="701" t="s">
        <v>14</v>
      </c>
      <c r="W25" s="702">
        <f>J25</f>
        <v>100</v>
      </c>
      <c r="X25" s="703"/>
      <c r="Y25" s="3889"/>
      <c r="Z25" s="52">
        <f>Q25</f>
        <v>111</v>
      </c>
      <c r="AA25" s="1350">
        <f>D25/F25</f>
        <v>1</v>
      </c>
      <c r="AB25" s="1350">
        <f>D25/H25</f>
        <v>1</v>
      </c>
      <c r="AC25" s="1350">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944" t="s">
        <v>1691</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893" t="s">
        <v>1691</v>
      </c>
      <c r="Z26" s="1353" t="str">
        <f t="shared" ref="Z26:Z34" si="15">Q26</f>
        <v>公共部分装修</v>
      </c>
      <c r="AA26" s="1350">
        <f t="shared" si="3"/>
        <v>1</v>
      </c>
      <c r="AB26" s="1350">
        <f t="shared" si="4"/>
        <v>1</v>
      </c>
      <c r="AC26" s="1350">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93"/>
      <c r="Q27" s="707" t="str">
        <f t="shared" si="11"/>
        <v>成新率</v>
      </c>
      <c r="R27" s="708" t="s">
        <v>14</v>
      </c>
      <c r="S27" s="709" t="e">
        <f t="shared" si="12"/>
        <v>#N/A</v>
      </c>
      <c r="T27" s="708" t="s">
        <v>14</v>
      </c>
      <c r="U27" s="709" t="e">
        <f t="shared" si="13"/>
        <v>#N/A</v>
      </c>
      <c r="V27" s="708" t="s">
        <v>14</v>
      </c>
      <c r="W27" s="709" t="e">
        <f t="shared" si="14"/>
        <v>#N/A</v>
      </c>
      <c r="X27" s="710"/>
      <c r="Y27" s="3893"/>
      <c r="Z27" s="711" t="str">
        <f t="shared" si="15"/>
        <v>成新率</v>
      </c>
      <c r="AA27" s="1350" t="e">
        <f t="shared" si="3"/>
        <v>#N/A</v>
      </c>
      <c r="AB27" s="1350" t="e">
        <f t="shared" si="4"/>
        <v>#N/A</v>
      </c>
      <c r="AC27" s="1350"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93"/>
      <c r="Q28" s="1349" t="str">
        <f t="shared" si="11"/>
        <v>物业等级</v>
      </c>
      <c r="R28" s="705" t="s">
        <v>14</v>
      </c>
      <c r="S28" s="706">
        <f t="shared" si="12"/>
        <v>100</v>
      </c>
      <c r="T28" s="705" t="s">
        <v>14</v>
      </c>
      <c r="U28" s="706">
        <f t="shared" si="13"/>
        <v>100</v>
      </c>
      <c r="V28" s="705" t="s">
        <v>14</v>
      </c>
      <c r="W28" s="706">
        <f t="shared" si="14"/>
        <v>100</v>
      </c>
      <c r="X28" s="1352"/>
      <c r="Y28" s="3893"/>
      <c r="Z28" s="1353" t="str">
        <f t="shared" si="15"/>
        <v>物业等级</v>
      </c>
      <c r="AA28" s="1350">
        <f t="shared" si="3"/>
        <v>1</v>
      </c>
      <c r="AB28" s="1350">
        <f t="shared" si="4"/>
        <v>1</v>
      </c>
      <c r="AC28" s="1350">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93"/>
      <c r="Q29" s="1349" t="str">
        <f t="shared" si="11"/>
        <v>有无电梯</v>
      </c>
      <c r="R29" s="705" t="s">
        <v>14</v>
      </c>
      <c r="S29" s="706">
        <f t="shared" si="12"/>
        <v>100</v>
      </c>
      <c r="T29" s="705" t="s">
        <v>14</v>
      </c>
      <c r="U29" s="706">
        <f t="shared" si="13"/>
        <v>100</v>
      </c>
      <c r="V29" s="705" t="s">
        <v>14</v>
      </c>
      <c r="W29" s="706">
        <f t="shared" si="14"/>
        <v>100</v>
      </c>
      <c r="X29" s="1352"/>
      <c r="Y29" s="3893"/>
      <c r="Z29" s="1353" t="str">
        <f t="shared" si="15"/>
        <v>有无电梯</v>
      </c>
      <c r="AA29" s="1350">
        <f t="shared" si="3"/>
        <v>1</v>
      </c>
      <c r="AB29" s="1350">
        <f t="shared" si="4"/>
        <v>1</v>
      </c>
      <c r="AC29" s="1350">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93"/>
      <c r="Q30" s="1349" t="str">
        <f t="shared" si="11"/>
        <v>建筑面积</v>
      </c>
      <c r="R30" s="705" t="s">
        <v>14</v>
      </c>
      <c r="S30" s="706" t="e">
        <f t="shared" si="12"/>
        <v>#N/A</v>
      </c>
      <c r="T30" s="705" t="s">
        <v>14</v>
      </c>
      <c r="U30" s="706" t="e">
        <f t="shared" si="13"/>
        <v>#N/A</v>
      </c>
      <c r="V30" s="705" t="s">
        <v>14</v>
      </c>
      <c r="W30" s="706" t="e">
        <f t="shared" si="14"/>
        <v>#N/A</v>
      </c>
      <c r="X30" s="1352"/>
      <c r="Y30" s="3893"/>
      <c r="Z30" s="1353" t="str">
        <f t="shared" si="15"/>
        <v>建筑面积</v>
      </c>
      <c r="AA30" s="1350" t="e">
        <f t="shared" si="3"/>
        <v>#N/A</v>
      </c>
      <c r="AB30" s="1350" t="e">
        <f t="shared" si="4"/>
        <v>#N/A</v>
      </c>
      <c r="AC30" s="1350"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93"/>
      <c r="Q31" s="1340" t="str">
        <f t="shared" si="11"/>
        <v>是否封闭</v>
      </c>
      <c r="R31" s="701" t="s">
        <v>14</v>
      </c>
      <c r="S31" s="702">
        <f t="shared" si="12"/>
        <v>100</v>
      </c>
      <c r="T31" s="701" t="s">
        <v>14</v>
      </c>
      <c r="U31" s="702">
        <f t="shared" si="13"/>
        <v>100</v>
      </c>
      <c r="V31" s="701" t="s">
        <v>14</v>
      </c>
      <c r="W31" s="702">
        <f t="shared" si="14"/>
        <v>100</v>
      </c>
      <c r="X31" s="703"/>
      <c r="Y31" s="389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93" t="s">
        <v>1691</v>
      </c>
      <c r="Q32" s="1349">
        <f t="shared" si="11"/>
        <v>111</v>
      </c>
      <c r="R32" s="705" t="s">
        <v>14</v>
      </c>
      <c r="S32" s="706">
        <f t="shared" si="12"/>
        <v>100</v>
      </c>
      <c r="T32" s="705" t="s">
        <v>14</v>
      </c>
      <c r="U32" s="706">
        <f t="shared" si="13"/>
        <v>100</v>
      </c>
      <c r="V32" s="705" t="s">
        <v>14</v>
      </c>
      <c r="W32" s="706">
        <f t="shared" si="14"/>
        <v>100</v>
      </c>
      <c r="X32" s="1352"/>
      <c r="Y32" s="3893" t="s">
        <v>1691</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93"/>
      <c r="Q33" s="1349">
        <f t="shared" si="11"/>
        <v>111</v>
      </c>
      <c r="R33" s="705" t="s">
        <v>14</v>
      </c>
      <c r="S33" s="706">
        <f t="shared" si="12"/>
        <v>100</v>
      </c>
      <c r="T33" s="705" t="s">
        <v>14</v>
      </c>
      <c r="U33" s="706">
        <f t="shared" si="13"/>
        <v>100</v>
      </c>
      <c r="V33" s="705" t="s">
        <v>14</v>
      </c>
      <c r="W33" s="706">
        <f t="shared" si="14"/>
        <v>100</v>
      </c>
      <c r="X33" s="1352"/>
      <c r="Y33" s="389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893"/>
      <c r="Q34" s="1349">
        <f t="shared" si="11"/>
        <v>111</v>
      </c>
      <c r="R34" s="705" t="s">
        <v>14</v>
      </c>
      <c r="S34" s="706">
        <f t="shared" si="12"/>
        <v>100</v>
      </c>
      <c r="T34" s="705" t="s">
        <v>14</v>
      </c>
      <c r="U34" s="706">
        <f t="shared" si="13"/>
        <v>100</v>
      </c>
      <c r="V34" s="705" t="s">
        <v>14</v>
      </c>
      <c r="W34" s="706">
        <f t="shared" si="14"/>
        <v>100</v>
      </c>
      <c r="X34" s="1352"/>
      <c r="Y34" s="3893"/>
      <c r="Z34" s="1353">
        <f t="shared" si="15"/>
        <v>111</v>
      </c>
      <c r="AA34" s="1350">
        <f t="shared" si="3"/>
        <v>1</v>
      </c>
      <c r="AB34" s="1350">
        <f t="shared" si="4"/>
        <v>1</v>
      </c>
      <c r="AC34" s="1350">
        <f t="shared" si="5"/>
        <v>1</v>
      </c>
    </row>
    <row r="35" spans="1:30" ht="15">
      <c r="A35" s="430" t="s">
        <v>1703</v>
      </c>
      <c r="B35" s="431"/>
      <c r="C35" s="1151" t="s">
        <v>0</v>
      </c>
      <c r="D35" s="1152"/>
      <c r="E35" s="1153"/>
      <c r="F35" s="1154"/>
      <c r="G35" s="1155"/>
      <c r="H35" s="1156"/>
      <c r="I35" s="1153"/>
      <c r="J35" s="1156"/>
      <c r="K35" s="714"/>
      <c r="L35" s="2719"/>
      <c r="M35" s="2720"/>
      <c r="N35" s="2711"/>
      <c r="O35" s="2720"/>
      <c r="P35" s="3886" t="str">
        <f>A35</f>
        <v>成交单价（元/平方米）</v>
      </c>
      <c r="Q35" s="3886"/>
      <c r="R35" s="3887">
        <f>E35</f>
        <v>0</v>
      </c>
      <c r="S35" s="3887"/>
      <c r="T35" s="3887">
        <f>G35</f>
        <v>0</v>
      </c>
      <c r="U35" s="3887"/>
      <c r="V35" s="3887">
        <f>I35</f>
        <v>0</v>
      </c>
      <c r="W35" s="3887"/>
      <c r="X35" s="690"/>
      <c r="Y35" s="712"/>
      <c r="Z35" s="690"/>
      <c r="AA35" s="690"/>
      <c r="AB35" s="690"/>
      <c r="AC35" s="690"/>
    </row>
    <row r="36" spans="1:30" ht="15.75" thickBot="1">
      <c r="A36" s="437" t="s">
        <v>1788</v>
      </c>
      <c r="B36" s="438"/>
      <c r="C36" s="1157" t="e">
        <f>R37</f>
        <v>#DIV/0!</v>
      </c>
      <c r="D36" s="2314" t="s">
        <v>2133</v>
      </c>
      <c r="E36" s="1158" t="e">
        <f>R36</f>
        <v>#DIV/0!</v>
      </c>
      <c r="F36" s="2315"/>
      <c r="G36" s="1157" t="e">
        <f>T36</f>
        <v>#DIV/0!</v>
      </c>
      <c r="H36" s="2315"/>
      <c r="I36" s="1158" t="e">
        <f>V36</f>
        <v>#DIV/0!</v>
      </c>
      <c r="J36" s="2315"/>
      <c r="K36" s="2317">
        <f>F36+H36+J36</f>
        <v>0</v>
      </c>
      <c r="L36" s="2719"/>
      <c r="M36" s="2720"/>
      <c r="N36" s="2711"/>
      <c r="O36" s="2720"/>
      <c r="P36" s="3886" t="str">
        <f>A36</f>
        <v>比较价值（元/平方米）</v>
      </c>
      <c r="Q36" s="3886"/>
      <c r="R36" s="3887" t="e">
        <f>IF(F1="售价",ROUND(PRODUCT(R35,AA7:AA34),0),ROUND(PRODUCT(R35,AA7:AA34),1))</f>
        <v>#DIV/0!</v>
      </c>
      <c r="S36" s="3887"/>
      <c r="T36" s="3887" t="e">
        <f>IF(F1="售价",ROUND(PRODUCT(T35,AB7:AB34),0),ROUND(PRODUCT(T35,AB7:AB34),1))</f>
        <v>#DIV/0!</v>
      </c>
      <c r="U36" s="3887"/>
      <c r="V36" s="3887" t="e">
        <f>IF(F1="售价",ROUND(PRODUCT(V35,AC7:AC34),0),ROUND(PRODUCT(V35,AC7:AC34),1))</f>
        <v>#DIV/0!</v>
      </c>
      <c r="W36" s="3887"/>
      <c r="X36" s="690"/>
      <c r="Y36" s="690"/>
      <c r="Z36" s="690"/>
      <c r="AA36" s="690"/>
      <c r="AB36" s="690"/>
      <c r="AC36" s="690"/>
    </row>
    <row r="37" spans="1:30" ht="15.75" thickBot="1">
      <c r="A37" s="441" t="s">
        <v>1789</v>
      </c>
      <c r="B37" s="442"/>
      <c r="C37" s="1160" t="e">
        <f>R37</f>
        <v>#DIV/0!</v>
      </c>
      <c r="D37" s="1160"/>
      <c r="E37" s="1160"/>
      <c r="F37" s="1160"/>
      <c r="G37" s="1160"/>
      <c r="H37" s="1160"/>
      <c r="I37" s="1160"/>
      <c r="J37" s="1160"/>
      <c r="K37" s="715"/>
      <c r="L37" s="2719"/>
      <c r="M37" s="2720"/>
      <c r="N37" s="2720"/>
      <c r="O37" s="2720"/>
      <c r="P37" s="3883" t="str">
        <f>A37</f>
        <v>估价对象XX用房的比较价值（楼面单价，元/平方米）</v>
      </c>
      <c r="Q37" s="3884"/>
      <c r="R37" s="3945" t="e">
        <f>IF(F1="售价",ROUND(IF(D36="简单平均",AVERAGE(R36:W36),R36*F36+T36*H36+V36*J36),0),ROUND(IF(D36="简单平均",AVERAGE(R36:V36),R36*F36+T36*H36+V36*J36),1))</f>
        <v>#DIV/0!</v>
      </c>
      <c r="S37" s="3945"/>
      <c r="T37" s="3945"/>
      <c r="U37" s="3945"/>
      <c r="V37" s="3945"/>
      <c r="W37" s="3945"/>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4"/>
      <c r="D2" s="904"/>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30" ht="15">
      <c r="A4" s="355" t="s">
        <v>1764</v>
      </c>
      <c r="B4" s="356"/>
      <c r="C4" s="3901" t="s">
        <v>1765</v>
      </c>
      <c r="D4" s="3902"/>
      <c r="E4" s="3903" t="s">
        <v>1766</v>
      </c>
      <c r="F4" s="3904"/>
      <c r="G4" s="3901" t="s">
        <v>1767</v>
      </c>
      <c r="H4" s="3902"/>
      <c r="I4" s="3901" t="s">
        <v>1768</v>
      </c>
      <c r="J4" s="3902"/>
      <c r="K4" s="559" t="s">
        <v>1769</v>
      </c>
      <c r="L4" s="2710"/>
      <c r="M4" s="2711"/>
      <c r="N4" s="2711"/>
      <c r="O4" s="2711"/>
      <c r="P4" s="3905" t="s">
        <v>1770</v>
      </c>
      <c r="Q4" s="3906"/>
      <c r="R4" s="3911" t="s">
        <v>1766</v>
      </c>
      <c r="S4" s="3912"/>
      <c r="T4" s="3911" t="s">
        <v>1767</v>
      </c>
      <c r="U4" s="3912"/>
      <c r="V4" s="3917" t="s">
        <v>1768</v>
      </c>
      <c r="W4" s="3917"/>
      <c r="X4" s="1352"/>
      <c r="Y4" s="3911" t="s">
        <v>1770</v>
      </c>
      <c r="Z4" s="3912"/>
      <c r="AA4" s="3898" t="s">
        <v>1766</v>
      </c>
      <c r="AB4" s="3899" t="s">
        <v>1767</v>
      </c>
      <c r="AC4" s="3898" t="s">
        <v>1768</v>
      </c>
    </row>
    <row r="5" spans="1:30" ht="15">
      <c r="A5" s="358"/>
      <c r="B5" s="359"/>
      <c r="C5" s="3920" t="s">
        <v>1668</v>
      </c>
      <c r="D5" s="3921"/>
      <c r="E5" s="3927" t="s">
        <v>1669</v>
      </c>
      <c r="F5" s="3928"/>
      <c r="G5" s="3920" t="s">
        <v>1670</v>
      </c>
      <c r="H5" s="3921"/>
      <c r="I5" s="3920" t="s">
        <v>1671</v>
      </c>
      <c r="J5" s="3921"/>
      <c r="K5" s="559"/>
      <c r="L5" s="2710"/>
      <c r="M5" s="2711"/>
      <c r="N5" s="2711"/>
      <c r="O5" s="2711"/>
      <c r="P5" s="3907"/>
      <c r="Q5" s="3908"/>
      <c r="R5" s="3913"/>
      <c r="S5" s="3914"/>
      <c r="T5" s="3913"/>
      <c r="U5" s="3914"/>
      <c r="V5" s="3917"/>
      <c r="W5" s="3917"/>
      <c r="X5" s="1352"/>
      <c r="Y5" s="3913"/>
      <c r="Z5" s="3914"/>
      <c r="AA5" s="3899"/>
      <c r="AB5" s="3899"/>
      <c r="AC5" s="3899"/>
    </row>
    <row r="6" spans="1:30" ht="15.75" thickBot="1">
      <c r="A6" s="360"/>
      <c r="B6" s="361"/>
      <c r="C6" s="3918" t="s">
        <v>1672</v>
      </c>
      <c r="D6" s="3919"/>
      <c r="E6" s="3925" t="s">
        <v>1672</v>
      </c>
      <c r="F6" s="3926"/>
      <c r="G6" s="3918" t="s">
        <v>1672</v>
      </c>
      <c r="H6" s="3919"/>
      <c r="I6" s="3918" t="s">
        <v>1672</v>
      </c>
      <c r="J6" s="3919"/>
      <c r="K6" s="559" t="s">
        <v>1673</v>
      </c>
      <c r="L6" s="2710"/>
      <c r="M6" s="2711"/>
      <c r="N6" s="2711"/>
      <c r="O6" s="2711"/>
      <c r="P6" s="3909"/>
      <c r="Q6" s="3910"/>
      <c r="R6" s="3913"/>
      <c r="S6" s="3914"/>
      <c r="T6" s="3915"/>
      <c r="U6" s="3916"/>
      <c r="V6" s="3917"/>
      <c r="W6" s="3917"/>
      <c r="X6" s="1352"/>
      <c r="Y6" s="3915"/>
      <c r="Z6" s="3916"/>
      <c r="AA6" s="3900"/>
      <c r="AB6" s="3900"/>
      <c r="AC6" s="3900"/>
    </row>
    <row r="7" spans="1:30" s="108" customFormat="1" ht="15.75" thickBot="1">
      <c r="A7" s="362" t="s">
        <v>1674</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922" t="s">
        <v>1675</v>
      </c>
      <c r="Q7" s="3924"/>
      <c r="R7" s="701" t="s">
        <v>14</v>
      </c>
      <c r="S7" s="702">
        <f t="shared" ref="S7:S15" si="0">F7</f>
        <v>0</v>
      </c>
      <c r="T7" s="701" t="s">
        <v>14</v>
      </c>
      <c r="U7" s="702">
        <f t="shared" ref="U7:U15" si="1">H7</f>
        <v>0</v>
      </c>
      <c r="V7" s="701" t="s">
        <v>14</v>
      </c>
      <c r="W7" s="702">
        <f t="shared" ref="W7:W15" si="2">J7</f>
        <v>0</v>
      </c>
      <c r="X7" s="703"/>
      <c r="Y7" s="3922" t="s">
        <v>1675</v>
      </c>
      <c r="Z7" s="3923"/>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922" t="s">
        <v>1678</v>
      </c>
      <c r="Q8" s="3923"/>
      <c r="R8" s="701" t="s">
        <v>14</v>
      </c>
      <c r="S8" s="702">
        <f t="shared" si="0"/>
        <v>0</v>
      </c>
      <c r="T8" s="701" t="s">
        <v>14</v>
      </c>
      <c r="U8" s="702">
        <f t="shared" si="1"/>
        <v>0</v>
      </c>
      <c r="V8" s="701" t="s">
        <v>14</v>
      </c>
      <c r="W8" s="702">
        <f t="shared" si="2"/>
        <v>0</v>
      </c>
      <c r="X8" s="703"/>
      <c r="Y8" s="3922" t="s">
        <v>1678</v>
      </c>
      <c r="Z8" s="3923"/>
      <c r="AA8" s="704" t="e">
        <f t="shared" ref="AA8:AA45" si="3">D8/F8</f>
        <v>#DIV/0!</v>
      </c>
      <c r="AB8" s="704" t="e">
        <f t="shared" ref="AB8:AB45" si="4">D8/H8</f>
        <v>#DIV/0!</v>
      </c>
      <c r="AC8" s="704"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886"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115</v>
      </c>
      <c r="G10" s="414"/>
      <c r="H10" s="127">
        <f>ROUND(100/'数据-取费表'!G16,0)</f>
        <v>115</v>
      </c>
      <c r="I10" s="414"/>
      <c r="J10" s="127">
        <f>ROUND(100/'数据-取费表'!G16,0)</f>
        <v>115</v>
      </c>
      <c r="K10" s="620"/>
      <c r="L10" s="2714"/>
      <c r="M10" s="2715"/>
      <c r="N10" s="2715"/>
      <c r="O10" s="2768"/>
      <c r="P10" s="3886"/>
      <c r="Q10" s="1340" t="str">
        <f t="shared" si="6"/>
        <v>土地使用年限（年）</v>
      </c>
      <c r="R10" s="701" t="s">
        <v>14</v>
      </c>
      <c r="S10" s="702">
        <f t="shared" si="0"/>
        <v>115</v>
      </c>
      <c r="T10" s="701" t="s">
        <v>14</v>
      </c>
      <c r="U10" s="702">
        <f t="shared" si="1"/>
        <v>115</v>
      </c>
      <c r="V10" s="701" t="s">
        <v>14</v>
      </c>
      <c r="W10" s="702">
        <f t="shared" si="2"/>
        <v>115</v>
      </c>
      <c r="X10" s="703"/>
      <c r="Y10" s="3742"/>
      <c r="Z10" s="52" t="str">
        <f t="shared" si="7"/>
        <v>土地使用年限（年）</v>
      </c>
      <c r="AA10" s="704">
        <f t="shared" si="3"/>
        <v>0.86956521739130432</v>
      </c>
      <c r="AB10" s="704">
        <f t="shared" si="4"/>
        <v>0.86956521739130432</v>
      </c>
      <c r="AC10" s="704">
        <f t="shared" si="5"/>
        <v>0.86956521739130432</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86"/>
      <c r="Q11" s="1340" t="str">
        <f t="shared" si="6"/>
        <v>容积率</v>
      </c>
      <c r="R11" s="701" t="s">
        <v>14</v>
      </c>
      <c r="S11" s="702" t="e">
        <f t="shared" si="0"/>
        <v>#N/A</v>
      </c>
      <c r="T11" s="701" t="s">
        <v>14</v>
      </c>
      <c r="U11" s="702" t="e">
        <f t="shared" si="1"/>
        <v>#N/A</v>
      </c>
      <c r="V11" s="701" t="s">
        <v>14</v>
      </c>
      <c r="W11" s="702" t="e">
        <f t="shared" si="2"/>
        <v>#N/A</v>
      </c>
      <c r="X11" s="703"/>
      <c r="Y11" s="3742"/>
      <c r="Z11" s="52" t="str">
        <f t="shared" si="7"/>
        <v>容积率</v>
      </c>
      <c r="AA11" s="704" t="e">
        <f t="shared" si="3"/>
        <v>#N/A</v>
      </c>
      <c r="AB11" s="704" t="e">
        <f t="shared" si="4"/>
        <v>#N/A</v>
      </c>
      <c r="AC11" s="704" t="e">
        <f t="shared" si="5"/>
        <v>#N/A</v>
      </c>
    </row>
    <row r="12" spans="1:30" s="108" customFormat="1" ht="15">
      <c r="A12" s="382"/>
      <c r="B12" s="1890"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86"/>
      <c r="Q12" s="1340" t="str">
        <f t="shared" si="6"/>
        <v>配建</v>
      </c>
      <c r="R12" s="701" t="s">
        <v>14</v>
      </c>
      <c r="S12" s="702">
        <f t="shared" si="0"/>
        <v>100</v>
      </c>
      <c r="T12" s="701" t="s">
        <v>14</v>
      </c>
      <c r="U12" s="702">
        <f t="shared" si="1"/>
        <v>100</v>
      </c>
      <c r="V12" s="701" t="s">
        <v>14</v>
      </c>
      <c r="W12" s="702">
        <f t="shared" si="2"/>
        <v>100</v>
      </c>
      <c r="X12" s="703"/>
      <c r="Y12" s="3742"/>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86"/>
      <c r="Q13" s="1340">
        <f t="shared" si="6"/>
        <v>111</v>
      </c>
      <c r="R13" s="701" t="s">
        <v>14</v>
      </c>
      <c r="S13" s="702">
        <f t="shared" si="0"/>
        <v>100</v>
      </c>
      <c r="T13" s="701" t="s">
        <v>14</v>
      </c>
      <c r="U13" s="702">
        <f t="shared" si="1"/>
        <v>100</v>
      </c>
      <c r="V13" s="701" t="s">
        <v>14</v>
      </c>
      <c r="W13" s="702">
        <f t="shared" si="2"/>
        <v>100</v>
      </c>
      <c r="X13" s="703"/>
      <c r="Y13" s="3742"/>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86"/>
      <c r="Q14" s="1340">
        <f t="shared" si="6"/>
        <v>111</v>
      </c>
      <c r="R14" s="701" t="s">
        <v>14</v>
      </c>
      <c r="S14" s="702">
        <f t="shared" si="0"/>
        <v>100</v>
      </c>
      <c r="T14" s="701" t="s">
        <v>14</v>
      </c>
      <c r="U14" s="702">
        <f t="shared" si="1"/>
        <v>100</v>
      </c>
      <c r="V14" s="701" t="s">
        <v>14</v>
      </c>
      <c r="W14" s="702">
        <f t="shared" si="2"/>
        <v>100</v>
      </c>
      <c r="X14" s="703"/>
      <c r="Y14" s="3742"/>
      <c r="Z14" s="52">
        <f t="shared" si="7"/>
        <v>111</v>
      </c>
      <c r="AA14" s="704">
        <f>D14/F14</f>
        <v>1</v>
      </c>
      <c r="AB14" s="704">
        <f>D14/H14</f>
        <v>1</v>
      </c>
      <c r="AC14" s="704">
        <f>D14/J14</f>
        <v>1</v>
      </c>
    </row>
    <row r="15" spans="1:30" ht="99.75">
      <c r="A15" s="391" t="s">
        <v>1685</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88" t="s">
        <v>1686</v>
      </c>
      <c r="Q15" s="1349" t="str">
        <f t="shared" si="6"/>
        <v>居住社区成熟度</v>
      </c>
      <c r="R15" s="705" t="s">
        <v>14</v>
      </c>
      <c r="S15" s="706">
        <f t="shared" si="0"/>
        <v>100</v>
      </c>
      <c r="T15" s="705" t="s">
        <v>14</v>
      </c>
      <c r="U15" s="706">
        <f t="shared" si="1"/>
        <v>100</v>
      </c>
      <c r="V15" s="705" t="s">
        <v>14</v>
      </c>
      <c r="W15" s="706">
        <f t="shared" si="2"/>
        <v>100</v>
      </c>
      <c r="X15" s="1352"/>
      <c r="Y15" s="3888" t="s">
        <v>1686</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7"/>
      <c r="M16" s="2711"/>
      <c r="N16" s="2711"/>
      <c r="O16" s="2769"/>
      <c r="P16" s="3889"/>
      <c r="Q16" s="1349"/>
      <c r="R16" s="705"/>
      <c r="S16" s="706"/>
      <c r="T16" s="705"/>
      <c r="U16" s="706"/>
      <c r="V16" s="705"/>
      <c r="W16" s="706"/>
      <c r="X16" s="1352"/>
      <c r="Y16" s="3889"/>
      <c r="Z16" s="1353"/>
      <c r="AA16" s="1350">
        <v>1</v>
      </c>
      <c r="AB16" s="1350">
        <v>1</v>
      </c>
      <c r="AC16" s="1350">
        <v>1</v>
      </c>
    </row>
    <row r="17" spans="1:29" ht="71.25">
      <c r="A17" s="379"/>
      <c r="B17" s="402" t="s">
        <v>1772</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89"/>
      <c r="Q17" s="1349" t="str">
        <f>B17</f>
        <v>商业繁华度</v>
      </c>
      <c r="R17" s="705" t="s">
        <v>14</v>
      </c>
      <c r="S17" s="706">
        <f>F17</f>
        <v>100</v>
      </c>
      <c r="T17" s="705" t="s">
        <v>14</v>
      </c>
      <c r="U17" s="706">
        <f>H17</f>
        <v>100</v>
      </c>
      <c r="V17" s="705" t="s">
        <v>14</v>
      </c>
      <c r="W17" s="706">
        <f>J17</f>
        <v>100</v>
      </c>
      <c r="X17" s="1352"/>
      <c r="Y17" s="388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7"/>
      <c r="M18" s="2711"/>
      <c r="N18" s="2711"/>
      <c r="O18" s="2769"/>
      <c r="P18" s="3889"/>
      <c r="Q18" s="1349"/>
      <c r="R18" s="705"/>
      <c r="S18" s="706"/>
      <c r="T18" s="705"/>
      <c r="U18" s="706"/>
      <c r="V18" s="705"/>
      <c r="W18" s="706"/>
      <c r="X18" s="1352"/>
      <c r="Y18" s="3889"/>
      <c r="Z18" s="1353"/>
      <c r="AA18" s="1350">
        <v>1</v>
      </c>
      <c r="AB18" s="1350">
        <v>1</v>
      </c>
      <c r="AC18" s="1350">
        <v>1</v>
      </c>
    </row>
    <row r="19" spans="1:29" ht="71.25">
      <c r="A19" s="379"/>
      <c r="B19" s="402" t="s">
        <v>1806</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89"/>
      <c r="Q19" s="1349" t="str">
        <f>B19</f>
        <v>办公集聚程度</v>
      </c>
      <c r="R19" s="705" t="s">
        <v>14</v>
      </c>
      <c r="S19" s="706">
        <f>F19</f>
        <v>100</v>
      </c>
      <c r="T19" s="705" t="s">
        <v>14</v>
      </c>
      <c r="U19" s="706">
        <f>H19</f>
        <v>100</v>
      </c>
      <c r="V19" s="705" t="s">
        <v>14</v>
      </c>
      <c r="W19" s="706">
        <f>J19</f>
        <v>100</v>
      </c>
      <c r="X19" s="1352"/>
      <c r="Y19" s="388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7"/>
      <c r="M20" s="2711"/>
      <c r="N20" s="2711"/>
      <c r="O20" s="2769"/>
      <c r="P20" s="3889"/>
      <c r="Q20" s="1349"/>
      <c r="R20" s="705"/>
      <c r="S20" s="706"/>
      <c r="T20" s="705"/>
      <c r="U20" s="706"/>
      <c r="V20" s="705"/>
      <c r="W20" s="706"/>
      <c r="X20" s="1352"/>
      <c r="Y20" s="3889"/>
      <c r="Z20" s="1353"/>
      <c r="AA20" s="1350">
        <v>1</v>
      </c>
      <c r="AB20" s="1350">
        <v>1</v>
      </c>
      <c r="AC20" s="1350">
        <v>1</v>
      </c>
    </row>
    <row r="21" spans="1:29" ht="85.5">
      <c r="A21" s="379"/>
      <c r="B21" s="402" t="s">
        <v>1828</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89"/>
      <c r="Q21" s="1349" t="str">
        <f>B21</f>
        <v>交通便捷度</v>
      </c>
      <c r="R21" s="705" t="s">
        <v>14</v>
      </c>
      <c r="S21" s="706">
        <f>F21</f>
        <v>100</v>
      </c>
      <c r="T21" s="705" t="s">
        <v>14</v>
      </c>
      <c r="U21" s="706">
        <f>H21</f>
        <v>100</v>
      </c>
      <c r="V21" s="705" t="s">
        <v>14</v>
      </c>
      <c r="W21" s="706">
        <f>J21</f>
        <v>100</v>
      </c>
      <c r="X21" s="1352"/>
      <c r="Y21" s="388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7"/>
      <c r="M22" s="2711"/>
      <c r="N22" s="2711"/>
      <c r="O22" s="2769"/>
      <c r="P22" s="3889"/>
      <c r="Q22" s="1349"/>
      <c r="R22" s="705"/>
      <c r="S22" s="706"/>
      <c r="T22" s="705"/>
      <c r="U22" s="706"/>
      <c r="V22" s="705"/>
      <c r="W22" s="706"/>
      <c r="X22" s="1352"/>
      <c r="Y22" s="3889"/>
      <c r="Z22" s="1353"/>
      <c r="AA22" s="1350">
        <v>1</v>
      </c>
      <c r="AB22" s="1350">
        <v>1</v>
      </c>
      <c r="AC22" s="1350">
        <v>1</v>
      </c>
    </row>
    <row r="23" spans="1:29" ht="15">
      <c r="A23" s="358"/>
      <c r="B23" s="402" t="s">
        <v>1866</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89"/>
      <c r="Q23" s="1349" t="str">
        <f t="shared" ref="Q23:Q37" si="8">B23</f>
        <v>区域土地利用方向</v>
      </c>
      <c r="R23" s="705" t="s">
        <v>14</v>
      </c>
      <c r="S23" s="706">
        <f>F23</f>
        <v>100</v>
      </c>
      <c r="T23" s="705" t="s">
        <v>14</v>
      </c>
      <c r="U23" s="706">
        <f>H23</f>
        <v>100</v>
      </c>
      <c r="V23" s="705" t="s">
        <v>14</v>
      </c>
      <c r="W23" s="706">
        <f>J23</f>
        <v>100</v>
      </c>
      <c r="X23" s="1352"/>
      <c r="Y23" s="388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889"/>
      <c r="Q24" s="1349"/>
      <c r="R24" s="705"/>
      <c r="S24" s="706"/>
      <c r="T24" s="705"/>
      <c r="U24" s="706"/>
      <c r="V24" s="705"/>
      <c r="W24" s="706"/>
      <c r="X24" s="1352"/>
      <c r="Y24" s="3889"/>
      <c r="Z24" s="1353"/>
      <c r="AA24" s="1350"/>
      <c r="AB24" s="1350"/>
      <c r="AC24" s="1350"/>
    </row>
    <row r="25" spans="1:29" ht="57">
      <c r="A25" s="358"/>
      <c r="B25" s="1128" t="s">
        <v>1867</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89"/>
      <c r="Q25" s="1349" t="str">
        <f t="shared" si="8"/>
        <v>自然及人文环境状况</v>
      </c>
      <c r="R25" s="705" t="s">
        <v>14</v>
      </c>
      <c r="S25" s="706">
        <f>F25</f>
        <v>100</v>
      </c>
      <c r="T25" s="705" t="s">
        <v>14</v>
      </c>
      <c r="U25" s="706">
        <f>H25</f>
        <v>100</v>
      </c>
      <c r="V25" s="705" t="s">
        <v>14</v>
      </c>
      <c r="W25" s="706">
        <f>J25</f>
        <v>100</v>
      </c>
      <c r="X25" s="1352"/>
      <c r="Y25" s="388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7"/>
      <c r="M26" s="2711"/>
      <c r="N26" s="2711"/>
      <c r="O26" s="2769"/>
      <c r="P26" s="3889"/>
      <c r="Q26" s="1349"/>
      <c r="R26" s="705"/>
      <c r="S26" s="706"/>
      <c r="T26" s="705"/>
      <c r="U26" s="706"/>
      <c r="V26" s="705"/>
      <c r="W26" s="706"/>
      <c r="X26" s="1352"/>
      <c r="Y26" s="3889"/>
      <c r="Z26" s="1353"/>
      <c r="AA26" s="1350">
        <v>1</v>
      </c>
      <c r="AB26" s="1350">
        <v>1</v>
      </c>
      <c r="AC26" s="1350">
        <v>1</v>
      </c>
    </row>
    <row r="27" spans="1:29" s="108" customFormat="1" ht="42.75">
      <c r="A27" s="597"/>
      <c r="B27" s="1128" t="s">
        <v>1773</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89"/>
      <c r="Q27" s="1340" t="str">
        <f t="shared" si="8"/>
        <v>公共配套设施</v>
      </c>
      <c r="R27" s="701" t="s">
        <v>14</v>
      </c>
      <c r="S27" s="702">
        <f>F27</f>
        <v>100</v>
      </c>
      <c r="T27" s="701" t="s">
        <v>14</v>
      </c>
      <c r="U27" s="702">
        <f>H27</f>
        <v>100</v>
      </c>
      <c r="V27" s="701" t="s">
        <v>14</v>
      </c>
      <c r="W27" s="702">
        <f>J27</f>
        <v>100</v>
      </c>
      <c r="X27" s="703"/>
      <c r="Y27" s="388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2"/>
      <c r="M28" s="2713"/>
      <c r="N28" s="2713"/>
      <c r="O28" s="2767"/>
      <c r="P28" s="3889"/>
      <c r="Q28" s="1340"/>
      <c r="R28" s="701"/>
      <c r="S28" s="702"/>
      <c r="T28" s="701"/>
      <c r="U28" s="702"/>
      <c r="V28" s="701"/>
      <c r="W28" s="702"/>
      <c r="X28" s="703"/>
      <c r="Y28" s="3889"/>
      <c r="Z28" s="52"/>
      <c r="AA28" s="1350">
        <v>1</v>
      </c>
      <c r="AB28" s="1350">
        <v>1</v>
      </c>
      <c r="AC28" s="1350">
        <v>1</v>
      </c>
    </row>
    <row r="29" spans="1:29" s="108" customFormat="1" ht="28.5">
      <c r="A29" s="597"/>
      <c r="B29" s="1128" t="s">
        <v>1774</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89"/>
      <c r="Q29" s="1340" t="str">
        <f t="shared" ref="Q29" si="9">B29</f>
        <v>基础设施水平</v>
      </c>
      <c r="R29" s="701" t="s">
        <v>14</v>
      </c>
      <c r="S29" s="702">
        <f>F29</f>
        <v>100</v>
      </c>
      <c r="T29" s="701" t="s">
        <v>14</v>
      </c>
      <c r="U29" s="702">
        <f>H29</f>
        <v>100</v>
      </c>
      <c r="V29" s="701" t="s">
        <v>14</v>
      </c>
      <c r="W29" s="702">
        <f>J29</f>
        <v>100</v>
      </c>
      <c r="X29" s="703"/>
      <c r="Y29" s="388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2"/>
      <c r="M30" s="2713"/>
      <c r="N30" s="2713"/>
      <c r="O30" s="2767"/>
      <c r="P30" s="3889"/>
      <c r="Q30" s="1340"/>
      <c r="R30" s="701"/>
      <c r="S30" s="702"/>
      <c r="T30" s="701"/>
      <c r="U30" s="702"/>
      <c r="V30" s="701"/>
      <c r="W30" s="702"/>
      <c r="X30" s="703"/>
      <c r="Y30" s="3889"/>
      <c r="Z30" s="52"/>
      <c r="AA30" s="1350">
        <v>1</v>
      </c>
      <c r="AB30" s="1350">
        <v>1</v>
      </c>
      <c r="AC30" s="1350">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8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889"/>
      <c r="Z31" s="1353" t="str">
        <f t="shared" ref="Z31:Z45" si="13">Q31</f>
        <v>临街状况</v>
      </c>
      <c r="AA31" s="1350">
        <f t="shared" si="3"/>
        <v>1</v>
      </c>
      <c r="AB31" s="1350">
        <f t="shared" si="4"/>
        <v>1</v>
      </c>
      <c r="AC31" s="1350">
        <f t="shared" si="5"/>
        <v>1</v>
      </c>
    </row>
    <row r="32" spans="1:29" ht="27">
      <c r="A32" s="379"/>
      <c r="B32" s="1128"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89"/>
      <c r="Q32" s="1349" t="str">
        <f t="shared" si="8"/>
        <v>毗邻道路的类型与等级</v>
      </c>
      <c r="R32" s="705" t="s">
        <v>14</v>
      </c>
      <c r="S32" s="706">
        <f t="shared" si="10"/>
        <v>100</v>
      </c>
      <c r="T32" s="705" t="s">
        <v>14</v>
      </c>
      <c r="U32" s="706">
        <f t="shared" si="11"/>
        <v>100</v>
      </c>
      <c r="V32" s="705" t="s">
        <v>14</v>
      </c>
      <c r="W32" s="706">
        <f t="shared" si="12"/>
        <v>100</v>
      </c>
      <c r="X32" s="1352"/>
      <c r="Y32" s="388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889"/>
      <c r="Q33" s="1349"/>
      <c r="R33" s="705"/>
      <c r="S33" s="706"/>
      <c r="T33" s="705"/>
      <c r="U33" s="706"/>
      <c r="V33" s="705"/>
      <c r="W33" s="706"/>
      <c r="X33" s="1352"/>
      <c r="Y33" s="3889"/>
      <c r="Z33" s="1353"/>
      <c r="AA33" s="1350">
        <v>1</v>
      </c>
      <c r="AB33" s="1350">
        <v>1</v>
      </c>
      <c r="AC33" s="1350">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89"/>
      <c r="Q34" s="1349" t="str">
        <f t="shared" si="8"/>
        <v>土地级别</v>
      </c>
      <c r="R34" s="705" t="s">
        <v>14</v>
      </c>
      <c r="S34" s="706">
        <f t="shared" si="10"/>
        <v>100</v>
      </c>
      <c r="T34" s="705" t="s">
        <v>14</v>
      </c>
      <c r="U34" s="706">
        <f t="shared" si="11"/>
        <v>100</v>
      </c>
      <c r="V34" s="705" t="s">
        <v>14</v>
      </c>
      <c r="W34" s="706">
        <f t="shared" si="12"/>
        <v>100</v>
      </c>
      <c r="X34" s="1352"/>
      <c r="Y34" s="3889"/>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89"/>
      <c r="Q35" s="1349">
        <f t="shared" si="8"/>
        <v>111</v>
      </c>
      <c r="R35" s="705" t="s">
        <v>14</v>
      </c>
      <c r="S35" s="706">
        <f t="shared" si="10"/>
        <v>100</v>
      </c>
      <c r="T35" s="705" t="s">
        <v>14</v>
      </c>
      <c r="U35" s="706">
        <f t="shared" si="11"/>
        <v>100</v>
      </c>
      <c r="V35" s="705" t="s">
        <v>14</v>
      </c>
      <c r="W35" s="706">
        <f t="shared" si="12"/>
        <v>100</v>
      </c>
      <c r="X35" s="1352"/>
      <c r="Y35" s="3889"/>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944" t="s">
        <v>1691</v>
      </c>
      <c r="Q36" s="1349">
        <f t="shared" si="8"/>
        <v>111</v>
      </c>
      <c r="R36" s="705" t="s">
        <v>14</v>
      </c>
      <c r="S36" s="706">
        <f t="shared" si="10"/>
        <v>100</v>
      </c>
      <c r="T36" s="705" t="s">
        <v>14</v>
      </c>
      <c r="U36" s="706">
        <f t="shared" si="11"/>
        <v>100</v>
      </c>
      <c r="V36" s="705" t="s">
        <v>14</v>
      </c>
      <c r="W36" s="706">
        <f t="shared" si="12"/>
        <v>100</v>
      </c>
      <c r="X36" s="1352"/>
      <c r="Y36" s="3893" t="s">
        <v>1691</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93"/>
      <c r="Q37" s="1349">
        <f t="shared" si="8"/>
        <v>111</v>
      </c>
      <c r="R37" s="708" t="s">
        <v>14</v>
      </c>
      <c r="S37" s="709">
        <f t="shared" si="10"/>
        <v>100</v>
      </c>
      <c r="T37" s="708" t="s">
        <v>14</v>
      </c>
      <c r="U37" s="709">
        <f t="shared" si="11"/>
        <v>100</v>
      </c>
      <c r="V37" s="708" t="s">
        <v>14</v>
      </c>
      <c r="W37" s="709">
        <f t="shared" si="12"/>
        <v>100</v>
      </c>
      <c r="X37" s="710"/>
      <c r="Y37" s="3893"/>
      <c r="Z37" s="711">
        <f t="shared" si="13"/>
        <v>111</v>
      </c>
      <c r="AA37" s="1350">
        <f t="shared" si="3"/>
        <v>1</v>
      </c>
      <c r="AB37" s="1350">
        <f t="shared" si="4"/>
        <v>1</v>
      </c>
      <c r="AC37" s="1350">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93"/>
      <c r="Q38" s="1349" t="str">
        <f>B38</f>
        <v>宗地面积</v>
      </c>
      <c r="R38" s="705" t="s">
        <v>14</v>
      </c>
      <c r="S38" s="706" t="e">
        <f t="shared" si="10"/>
        <v>#N/A</v>
      </c>
      <c r="T38" s="705" t="s">
        <v>14</v>
      </c>
      <c r="U38" s="706" t="e">
        <f t="shared" si="11"/>
        <v>#N/A</v>
      </c>
      <c r="V38" s="705" t="s">
        <v>14</v>
      </c>
      <c r="W38" s="706" t="e">
        <f t="shared" si="12"/>
        <v>#N/A</v>
      </c>
      <c r="X38" s="1352"/>
      <c r="Y38" s="3893"/>
      <c r="Z38" s="1353" t="str">
        <f t="shared" si="13"/>
        <v>宗地面积</v>
      </c>
      <c r="AA38" s="1350" t="e">
        <f t="shared" si="3"/>
        <v>#N/A</v>
      </c>
      <c r="AB38" s="1350" t="e">
        <f t="shared" si="4"/>
        <v>#N/A</v>
      </c>
      <c r="AC38" s="1350" t="e">
        <f t="shared" si="5"/>
        <v>#N/A</v>
      </c>
    </row>
    <row r="39" spans="1:29" ht="15">
      <c r="A39" s="423"/>
      <c r="B39" s="375" t="s">
        <v>1870</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893"/>
      <c r="Q39" s="1349" t="str">
        <f t="shared" ref="Q39:Q45" si="14">B39</f>
        <v>宗地形状</v>
      </c>
      <c r="R39" s="705" t="s">
        <v>14</v>
      </c>
      <c r="S39" s="706">
        <f t="shared" si="10"/>
        <v>100</v>
      </c>
      <c r="T39" s="705" t="s">
        <v>14</v>
      </c>
      <c r="U39" s="706">
        <f t="shared" si="11"/>
        <v>100</v>
      </c>
      <c r="V39" s="705" t="s">
        <v>14</v>
      </c>
      <c r="W39" s="706">
        <f t="shared" si="12"/>
        <v>100</v>
      </c>
      <c r="X39" s="1352"/>
      <c r="Y39" s="3893"/>
      <c r="Z39" s="1353" t="str">
        <f t="shared" si="13"/>
        <v>宗地形状</v>
      </c>
      <c r="AA39" s="1350">
        <f t="shared" si="3"/>
        <v>1</v>
      </c>
      <c r="AB39" s="1350">
        <f t="shared" si="4"/>
        <v>1</v>
      </c>
      <c r="AC39" s="1350">
        <f t="shared" si="5"/>
        <v>1</v>
      </c>
    </row>
    <row r="40" spans="1:29" ht="15">
      <c r="A40" s="423"/>
      <c r="B40" s="375" t="s">
        <v>1871</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893"/>
      <c r="Q40" s="1349" t="str">
        <f t="shared" si="14"/>
        <v>临街宽度及深度</v>
      </c>
      <c r="R40" s="705" t="s">
        <v>14</v>
      </c>
      <c r="S40" s="706">
        <f t="shared" si="10"/>
        <v>100</v>
      </c>
      <c r="T40" s="705" t="s">
        <v>14</v>
      </c>
      <c r="U40" s="706">
        <f t="shared" si="11"/>
        <v>100</v>
      </c>
      <c r="V40" s="705" t="s">
        <v>14</v>
      </c>
      <c r="W40" s="706">
        <f t="shared" si="12"/>
        <v>100</v>
      </c>
      <c r="X40" s="1352"/>
      <c r="Y40" s="3893"/>
      <c r="Z40" s="1353" t="str">
        <f t="shared" si="13"/>
        <v>临街宽度及深度</v>
      </c>
      <c r="AA40" s="1350">
        <f t="shared" si="3"/>
        <v>1</v>
      </c>
      <c r="AB40" s="1350">
        <f t="shared" si="4"/>
        <v>1</v>
      </c>
      <c r="AC40" s="1350">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893"/>
      <c r="Q41" s="1349" t="str">
        <f t="shared" si="14"/>
        <v>宗地开发程度</v>
      </c>
      <c r="R41" s="701" t="s">
        <v>14</v>
      </c>
      <c r="S41" s="702">
        <f t="shared" si="10"/>
        <v>100</v>
      </c>
      <c r="T41" s="701" t="s">
        <v>14</v>
      </c>
      <c r="U41" s="702">
        <f t="shared" si="11"/>
        <v>100</v>
      </c>
      <c r="V41" s="701" t="s">
        <v>14</v>
      </c>
      <c r="W41" s="702">
        <f t="shared" si="12"/>
        <v>100</v>
      </c>
      <c r="X41" s="703"/>
      <c r="Y41" s="3893"/>
      <c r="Z41" s="52" t="str">
        <f t="shared" si="13"/>
        <v>宗地开发程度</v>
      </c>
      <c r="AA41" s="704">
        <f t="shared" si="3"/>
        <v>1</v>
      </c>
      <c r="AB41" s="704">
        <f t="shared" si="4"/>
        <v>1</v>
      </c>
      <c r="AC41" s="704">
        <f t="shared" si="5"/>
        <v>1</v>
      </c>
    </row>
    <row r="42" spans="1:29" ht="15">
      <c r="A42" s="423"/>
      <c r="B42" s="375" t="s">
        <v>1873</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893" t="s">
        <v>1691</v>
      </c>
      <c r="Q42" s="1349" t="str">
        <f t="shared" si="14"/>
        <v>工程地质条件</v>
      </c>
      <c r="R42" s="705" t="s">
        <v>14</v>
      </c>
      <c r="S42" s="706">
        <f t="shared" si="10"/>
        <v>100</v>
      </c>
      <c r="T42" s="705" t="s">
        <v>14</v>
      </c>
      <c r="U42" s="706">
        <f t="shared" si="11"/>
        <v>100</v>
      </c>
      <c r="V42" s="705" t="s">
        <v>14</v>
      </c>
      <c r="W42" s="706">
        <f t="shared" si="12"/>
        <v>100</v>
      </c>
      <c r="X42" s="1352"/>
      <c r="Y42" s="3893" t="s">
        <v>1691</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93"/>
      <c r="Q43" s="1349">
        <f t="shared" si="14"/>
        <v>111</v>
      </c>
      <c r="R43" s="705" t="s">
        <v>14</v>
      </c>
      <c r="S43" s="706">
        <f t="shared" si="10"/>
        <v>100</v>
      </c>
      <c r="T43" s="705" t="s">
        <v>14</v>
      </c>
      <c r="U43" s="706">
        <f t="shared" si="11"/>
        <v>100</v>
      </c>
      <c r="V43" s="705" t="s">
        <v>14</v>
      </c>
      <c r="W43" s="706">
        <f t="shared" si="12"/>
        <v>100</v>
      </c>
      <c r="X43" s="1352"/>
      <c r="Y43" s="3893"/>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93"/>
      <c r="Q44" s="1349">
        <f t="shared" si="14"/>
        <v>111</v>
      </c>
      <c r="R44" s="705" t="s">
        <v>14</v>
      </c>
      <c r="S44" s="706">
        <f t="shared" si="10"/>
        <v>100</v>
      </c>
      <c r="T44" s="705" t="s">
        <v>14</v>
      </c>
      <c r="U44" s="706">
        <f t="shared" si="11"/>
        <v>100</v>
      </c>
      <c r="V44" s="705" t="s">
        <v>14</v>
      </c>
      <c r="W44" s="706">
        <f t="shared" si="12"/>
        <v>100</v>
      </c>
      <c r="X44" s="1352"/>
      <c r="Y44" s="3893"/>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93"/>
      <c r="Q45" s="1349">
        <f t="shared" si="14"/>
        <v>111</v>
      </c>
      <c r="R45" s="708" t="s">
        <v>14</v>
      </c>
      <c r="S45" s="709">
        <f t="shared" si="10"/>
        <v>100</v>
      </c>
      <c r="T45" s="708" t="s">
        <v>14</v>
      </c>
      <c r="U45" s="709">
        <f t="shared" si="11"/>
        <v>100</v>
      </c>
      <c r="V45" s="708" t="s">
        <v>14</v>
      </c>
      <c r="W45" s="709">
        <f t="shared" si="12"/>
        <v>100</v>
      </c>
      <c r="X45" s="710"/>
      <c r="Y45" s="3893"/>
      <c r="Z45" s="711">
        <f t="shared" si="13"/>
        <v>111</v>
      </c>
      <c r="AA45" s="1350">
        <f t="shared" si="3"/>
        <v>1</v>
      </c>
      <c r="AB45" s="1350">
        <f t="shared" si="4"/>
        <v>1</v>
      </c>
      <c r="AC45" s="1350">
        <f t="shared" si="5"/>
        <v>1</v>
      </c>
    </row>
    <row r="46" spans="1:29" ht="15">
      <c r="A46" s="430" t="s">
        <v>1839</v>
      </c>
      <c r="B46" s="1979" t="s">
        <v>1874</v>
      </c>
      <c r="C46" s="630" t="s">
        <v>0</v>
      </c>
      <c r="D46" s="432"/>
      <c r="E46" s="433"/>
      <c r="F46" s="434"/>
      <c r="G46" s="435"/>
      <c r="H46" s="436"/>
      <c r="I46" s="433"/>
      <c r="J46" s="436"/>
      <c r="K46" s="714"/>
      <c r="L46" s="2719"/>
      <c r="M46" s="2720"/>
      <c r="N46" s="2711"/>
      <c r="O46" s="2720"/>
      <c r="P46" s="3886" t="str">
        <f>A46</f>
        <v>成交单价</v>
      </c>
      <c r="Q46" s="3886"/>
      <c r="R46" s="3917">
        <f>E46</f>
        <v>0</v>
      </c>
      <c r="S46" s="3917"/>
      <c r="T46" s="3917">
        <f>G46</f>
        <v>0</v>
      </c>
      <c r="U46" s="3917"/>
      <c r="V46" s="3917">
        <f>I46</f>
        <v>0</v>
      </c>
      <c r="W46" s="3917"/>
      <c r="X46" s="690"/>
      <c r="Y46" s="712"/>
      <c r="Z46" s="690"/>
      <c r="AA46" s="690"/>
      <c r="AB46" s="690"/>
      <c r="AC46" s="690"/>
    </row>
    <row r="47" spans="1:29" ht="15.75" thickBot="1">
      <c r="A47" s="437" t="s">
        <v>1788</v>
      </c>
      <c r="B47" s="631"/>
      <c r="C47" s="440" t="e">
        <f>R48</f>
        <v>#DIV/0!</v>
      </c>
      <c r="D47" s="2314" t="s">
        <v>2133</v>
      </c>
      <c r="E47" s="440" t="e">
        <f>R47</f>
        <v>#DIV/0!</v>
      </c>
      <c r="F47" s="2315"/>
      <c r="G47" s="439" t="e">
        <f>T47</f>
        <v>#DIV/0!</v>
      </c>
      <c r="H47" s="2315"/>
      <c r="I47" s="440" t="e">
        <f>V47</f>
        <v>#DIV/0!</v>
      </c>
      <c r="J47" s="2315"/>
      <c r="K47" s="2317">
        <f>F47+H47+J47</f>
        <v>0</v>
      </c>
      <c r="L47" s="2719"/>
      <c r="M47" s="2720"/>
      <c r="N47" s="2720"/>
      <c r="O47" s="2720"/>
      <c r="P47" s="3886" t="str">
        <f>A47</f>
        <v>比较价值（元/平方米）</v>
      </c>
      <c r="Q47" s="3886"/>
      <c r="R47" s="3946" t="e">
        <f>ROUND(PRODUCT(R46,AA7:AA45),0)</f>
        <v>#DIV/0!</v>
      </c>
      <c r="S47" s="3946"/>
      <c r="T47" s="3946" t="e">
        <f>ROUND(PRODUCT(T46,AB7:AB45),0)</f>
        <v>#DIV/0!</v>
      </c>
      <c r="U47" s="3946"/>
      <c r="V47" s="3946" t="e">
        <f>ROUND(PRODUCT(V46,AC7:AC45),0)</f>
        <v>#DIV/0!</v>
      </c>
      <c r="W47" s="3946"/>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83" t="str">
        <f>A48</f>
        <v>估价对象XX用房的比较价值（楼面单价，元/平方米）</v>
      </c>
      <c r="Q48" s="3884"/>
      <c r="R48" s="3947" t="e">
        <f>ROUND(IF(D47="简单平均",AVERAGE(R47:W47),R47*F47+T47*H47+V47*J47),0)</f>
        <v>#DIV/0!</v>
      </c>
      <c r="S48" s="3947"/>
      <c r="T48" s="3947"/>
      <c r="U48" s="3947"/>
      <c r="V48" s="3947"/>
      <c r="W48" s="3947"/>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80" t="s">
        <v>1878</v>
      </c>
      <c r="D55" s="1981" t="s">
        <v>1879</v>
      </c>
      <c r="E55" s="634" t="s">
        <v>1880</v>
      </c>
      <c r="F55" s="887" t="s">
        <v>1881</v>
      </c>
      <c r="G55" s="3901" t="s">
        <v>1882</v>
      </c>
      <c r="H55" s="3948"/>
      <c r="I55" s="135" t="s">
        <v>1883</v>
      </c>
      <c r="J55" s="1982" t="str">
        <f>项目基本情况!F35</f>
        <v>北京市</v>
      </c>
      <c r="K55" s="1983"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1">
        <v>1</v>
      </c>
      <c r="E56" s="638">
        <f>'数据-汇总表'!E8+'数据-汇总表'!E9</f>
        <v>0</v>
      </c>
      <c r="F56" s="883" t="e">
        <f t="shared" ref="F56:F64" si="15">ROUND(B56*E56/10000,0)</f>
        <v>#DIV/0!</v>
      </c>
      <c r="G56" s="3897"/>
      <c r="H56" s="3886"/>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6">IF($C$55="北京市系数",I57,J57)</f>
        <v>0.6</v>
      </c>
      <c r="D57" s="942">
        <v>0.25</v>
      </c>
      <c r="E57" s="642"/>
      <c r="F57" s="883" t="e">
        <f t="shared" si="15"/>
        <v>#DIV/0!</v>
      </c>
      <c r="G57" s="3001" t="s">
        <v>1887</v>
      </c>
      <c r="H57" s="884" t="str">
        <f>项目基本情况!B37</f>
        <v>五级</v>
      </c>
      <c r="I57" s="888">
        <f>SUMIF(修正!A57:A68,H57,修正!B57:B68)</f>
        <v>0.6</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7">ROUND($C$48*C58*D58,0)</f>
        <v>#DIV/0!</v>
      </c>
      <c r="C58" s="171">
        <f t="shared" si="16"/>
        <v>0.3</v>
      </c>
      <c r="D58" s="942">
        <v>0.25</v>
      </c>
      <c r="E58" s="642"/>
      <c r="F58" s="883" t="e">
        <f t="shared" si="15"/>
        <v>#DIV/0!</v>
      </c>
      <c r="G58" s="3002"/>
      <c r="H58" s="884" t="str">
        <f>项目基本情况!B37</f>
        <v>五级</v>
      </c>
      <c r="I58" s="888">
        <f>SUMIF(修正!A57:A68,H58,修正!C57:C68)</f>
        <v>0.3</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7"/>
        <v>#DIV/0!</v>
      </c>
      <c r="C59" s="171">
        <f t="shared" si="16"/>
        <v>0.25</v>
      </c>
      <c r="D59" s="942">
        <v>0.25</v>
      </c>
      <c r="E59" s="642"/>
      <c r="F59" s="883" t="e">
        <f t="shared" si="15"/>
        <v>#DIV/0!</v>
      </c>
      <c r="G59" s="3002"/>
      <c r="H59" s="884" t="str">
        <f>项目基本情况!B37</f>
        <v>五级</v>
      </c>
      <c r="I59" s="888">
        <f>SUMIF(修正!A57:A68,H59,修正!D57:D68)</f>
        <v>0.25</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7"/>
        <v>#DIV/0!</v>
      </c>
      <c r="C60" s="171">
        <f t="shared" si="16"/>
        <v>0</v>
      </c>
      <c r="D60" s="942">
        <v>0.25</v>
      </c>
      <c r="E60" s="217">
        <f>'数据-汇总表'!E11</f>
        <v>0</v>
      </c>
      <c r="F60" s="883" t="e">
        <f t="shared" si="15"/>
        <v>#DIV/0!</v>
      </c>
      <c r="G60" s="1984" t="s">
        <v>1891</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7"/>
        <v>#DIV/0!</v>
      </c>
      <c r="C61" s="171">
        <f t="shared" si="16"/>
        <v>0</v>
      </c>
      <c r="D61" s="942">
        <v>0.25</v>
      </c>
      <c r="E61" s="217">
        <f>'数据-汇总表'!E12</f>
        <v>0</v>
      </c>
      <c r="F61" s="883" t="e">
        <f t="shared" si="15"/>
        <v>#DIV/0!</v>
      </c>
      <c r="G61" s="889" t="s">
        <v>1893</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7"/>
        <v>#DIV/0!</v>
      </c>
      <c r="C62" s="171">
        <f t="shared" si="16"/>
        <v>0</v>
      </c>
      <c r="D62" s="942">
        <v>0.25</v>
      </c>
      <c r="E62" s="217">
        <f>'数据-汇总表'!E13</f>
        <v>0</v>
      </c>
      <c r="F62" s="883" t="e">
        <f t="shared" si="15"/>
        <v>#DIV/0!</v>
      </c>
      <c r="G62" s="889" t="s">
        <v>1895</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7"/>
        <v>#DIV/0!</v>
      </c>
      <c r="C63" s="171">
        <f t="shared" si="16"/>
        <v>0.15</v>
      </c>
      <c r="D63" s="942">
        <v>0.25</v>
      </c>
      <c r="E63" s="217">
        <f>'数据-汇总表'!E14</f>
        <v>0</v>
      </c>
      <c r="F63" s="883" t="e">
        <f t="shared" si="15"/>
        <v>#DIV/0!</v>
      </c>
      <c r="G63" s="1984" t="s">
        <v>1887</v>
      </c>
      <c r="H63" s="884" t="str">
        <f>项目基本情况!B37</f>
        <v>五级</v>
      </c>
      <c r="I63" s="888">
        <f>SUMIF(修正!A57:A68,H63,修正!G57:G68)</f>
        <v>0.15</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7"/>
        <v>#DIV/0!</v>
      </c>
      <c r="C64" s="171">
        <f t="shared" si="16"/>
        <v>0</v>
      </c>
      <c r="D64" s="942">
        <v>0.25</v>
      </c>
      <c r="E64" s="217">
        <f>'数据-汇总表'!E15</f>
        <v>0</v>
      </c>
      <c r="F64" s="883" t="e">
        <f t="shared" si="15"/>
        <v>#DIV/0!</v>
      </c>
      <c r="G64" s="1985" t="s">
        <v>1891</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0</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1899</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1900</v>
      </c>
      <c r="B70" s="288" t="str">
        <f>"北京市平均增长率"&amp;TEXT(SUMIF('基准地价修正-商业'!N25:N29,A70,'基准地价修正-商业'!P25:P29),"0.00%")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5"/>
      <c r="D2" s="905"/>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1764</v>
      </c>
      <c r="B4" s="356"/>
      <c r="C4" s="3901" t="s">
        <v>1765</v>
      </c>
      <c r="D4" s="3902"/>
      <c r="E4" s="3903" t="s">
        <v>1766</v>
      </c>
      <c r="F4" s="3904"/>
      <c r="G4" s="3901" t="s">
        <v>1767</v>
      </c>
      <c r="H4" s="3902"/>
      <c r="I4" s="3901" t="s">
        <v>1768</v>
      </c>
      <c r="J4" s="3902"/>
      <c r="K4" s="559" t="s">
        <v>1769</v>
      </c>
      <c r="L4" s="2710"/>
      <c r="M4" s="2711"/>
      <c r="N4" s="2711"/>
      <c r="O4" s="2711"/>
      <c r="P4" s="3905" t="s">
        <v>1770</v>
      </c>
      <c r="Q4" s="3906"/>
      <c r="R4" s="3911" t="s">
        <v>1766</v>
      </c>
      <c r="S4" s="3912"/>
      <c r="T4" s="3911" t="s">
        <v>1767</v>
      </c>
      <c r="U4" s="3912"/>
      <c r="V4" s="3917" t="s">
        <v>1768</v>
      </c>
      <c r="W4" s="3917"/>
      <c r="X4" s="1352"/>
      <c r="Y4" s="3911" t="s">
        <v>1770</v>
      </c>
      <c r="Z4" s="3912"/>
      <c r="AA4" s="3898" t="s">
        <v>1766</v>
      </c>
      <c r="AB4" s="3899" t="s">
        <v>1767</v>
      </c>
      <c r="AC4" s="3898" t="s">
        <v>1768</v>
      </c>
    </row>
    <row r="5" spans="1:29" ht="15">
      <c r="A5" s="358"/>
      <c r="B5" s="359"/>
      <c r="C5" s="3920" t="s">
        <v>1668</v>
      </c>
      <c r="D5" s="3921"/>
      <c r="E5" s="3927" t="s">
        <v>1669</v>
      </c>
      <c r="F5" s="3928"/>
      <c r="G5" s="3920" t="s">
        <v>1670</v>
      </c>
      <c r="H5" s="3921"/>
      <c r="I5" s="3920" t="s">
        <v>1671</v>
      </c>
      <c r="J5" s="3921"/>
      <c r="K5" s="559"/>
      <c r="L5" s="2710"/>
      <c r="M5" s="2711"/>
      <c r="N5" s="2711"/>
      <c r="O5" s="2711"/>
      <c r="P5" s="3907"/>
      <c r="Q5" s="3908"/>
      <c r="R5" s="3913"/>
      <c r="S5" s="3914"/>
      <c r="T5" s="3913"/>
      <c r="U5" s="3914"/>
      <c r="V5" s="3917"/>
      <c r="W5" s="3917"/>
      <c r="X5" s="1352"/>
      <c r="Y5" s="3913"/>
      <c r="Z5" s="3914"/>
      <c r="AA5" s="3899"/>
      <c r="AB5" s="3899"/>
      <c r="AC5" s="3899"/>
    </row>
    <row r="6" spans="1:29" ht="15.75" thickBot="1">
      <c r="A6" s="360"/>
      <c r="B6" s="361"/>
      <c r="C6" s="3949" t="s">
        <v>1914</v>
      </c>
      <c r="D6" s="3950"/>
      <c r="E6" s="3951" t="s">
        <v>1914</v>
      </c>
      <c r="F6" s="3952"/>
      <c r="G6" s="3949" t="s">
        <v>1914</v>
      </c>
      <c r="H6" s="3950"/>
      <c r="I6" s="3949" t="s">
        <v>1914</v>
      </c>
      <c r="J6" s="3950"/>
      <c r="K6" s="559" t="s">
        <v>1673</v>
      </c>
      <c r="L6" s="2710"/>
      <c r="M6" s="2711"/>
      <c r="N6" s="2711"/>
      <c r="O6" s="2711"/>
      <c r="P6" s="3909"/>
      <c r="Q6" s="3910"/>
      <c r="R6" s="3913"/>
      <c r="S6" s="3914"/>
      <c r="T6" s="3915"/>
      <c r="U6" s="3916"/>
      <c r="V6" s="3917"/>
      <c r="W6" s="3917"/>
      <c r="X6" s="1352"/>
      <c r="Y6" s="3915"/>
      <c r="Z6" s="3916"/>
      <c r="AA6" s="3900"/>
      <c r="AB6" s="3900"/>
      <c r="AC6" s="3900"/>
    </row>
    <row r="7" spans="1:29" s="108" customFormat="1" ht="15.75" thickBot="1">
      <c r="A7" s="362" t="s">
        <v>1674</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922" t="s">
        <v>1675</v>
      </c>
      <c r="Q7" s="3924"/>
      <c r="R7" s="701" t="s">
        <v>14</v>
      </c>
      <c r="S7" s="702">
        <f t="shared" ref="S7:S15" si="0">F7</f>
        <v>0</v>
      </c>
      <c r="T7" s="701" t="s">
        <v>14</v>
      </c>
      <c r="U7" s="702">
        <f t="shared" ref="U7:U15" si="1">H7</f>
        <v>0</v>
      </c>
      <c r="V7" s="701" t="s">
        <v>14</v>
      </c>
      <c r="W7" s="702">
        <f t="shared" ref="W7:W15" si="2">J7</f>
        <v>0</v>
      </c>
      <c r="X7" s="703"/>
      <c r="Y7" s="3922" t="s">
        <v>1675</v>
      </c>
      <c r="Z7" s="3923"/>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922" t="s">
        <v>1678</v>
      </c>
      <c r="Q8" s="3923"/>
      <c r="R8" s="701" t="s">
        <v>14</v>
      </c>
      <c r="S8" s="702">
        <f t="shared" si="0"/>
        <v>0</v>
      </c>
      <c r="T8" s="701" t="s">
        <v>14</v>
      </c>
      <c r="U8" s="702">
        <f t="shared" si="1"/>
        <v>0</v>
      </c>
      <c r="V8" s="701" t="s">
        <v>14</v>
      </c>
      <c r="W8" s="702">
        <f t="shared" si="2"/>
        <v>0</v>
      </c>
      <c r="X8" s="703"/>
      <c r="Y8" s="3922" t="s">
        <v>1678</v>
      </c>
      <c r="Z8" s="3923"/>
      <c r="AA8" s="704" t="e">
        <f t="shared" ref="AA8:AA40" si="3">D8/F8</f>
        <v>#DIV/0!</v>
      </c>
      <c r="AB8" s="704" t="e">
        <f t="shared" ref="AB8:AB40" si="4">D8/H8</f>
        <v>#DIV/0!</v>
      </c>
      <c r="AC8" s="704"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886" t="s">
        <v>1681</v>
      </c>
      <c r="Q9" s="1340" t="str">
        <f t="shared" ref="Q9:Q15" si="6">B9</f>
        <v>用途</v>
      </c>
      <c r="R9" s="701" t="s">
        <v>14</v>
      </c>
      <c r="S9" s="702">
        <f t="shared" si="0"/>
        <v>100</v>
      </c>
      <c r="T9" s="701" t="s">
        <v>14</v>
      </c>
      <c r="U9" s="702">
        <f t="shared" si="1"/>
        <v>100</v>
      </c>
      <c r="V9" s="701" t="s">
        <v>14</v>
      </c>
      <c r="W9" s="702">
        <f t="shared" si="2"/>
        <v>100</v>
      </c>
      <c r="X9" s="703"/>
      <c r="Y9" s="3742"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115</v>
      </c>
      <c r="G10" s="383"/>
      <c r="H10" s="127">
        <f>ROUND(100/'数据-取费表'!G16,0)</f>
        <v>115</v>
      </c>
      <c r="I10" s="383"/>
      <c r="J10" s="127">
        <f>ROUND(100/'数据-取费表'!G16,0)</f>
        <v>115</v>
      </c>
      <c r="K10" s="620"/>
      <c r="L10" s="2714"/>
      <c r="M10" s="2715"/>
      <c r="N10" s="2715"/>
      <c r="O10" s="2768"/>
      <c r="P10" s="3886"/>
      <c r="Q10" s="1340" t="str">
        <f t="shared" si="6"/>
        <v>土地使用年限（年）</v>
      </c>
      <c r="R10" s="701" t="s">
        <v>14</v>
      </c>
      <c r="S10" s="702">
        <f t="shared" si="0"/>
        <v>115</v>
      </c>
      <c r="T10" s="701" t="s">
        <v>14</v>
      </c>
      <c r="U10" s="702">
        <f t="shared" si="1"/>
        <v>115</v>
      </c>
      <c r="V10" s="701" t="s">
        <v>14</v>
      </c>
      <c r="W10" s="702">
        <f t="shared" si="2"/>
        <v>115</v>
      </c>
      <c r="X10" s="703"/>
      <c r="Y10" s="3742"/>
      <c r="Z10" s="52" t="str">
        <f t="shared" si="7"/>
        <v>土地使用年限（年）</v>
      </c>
      <c r="AA10" s="704">
        <f t="shared" si="3"/>
        <v>0.86956521739130432</v>
      </c>
      <c r="AB10" s="704">
        <f t="shared" si="4"/>
        <v>0.86956521739130432</v>
      </c>
      <c r="AC10" s="704">
        <f t="shared" si="5"/>
        <v>0.86956521739130432</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86"/>
      <c r="Q11" s="1340" t="str">
        <f t="shared" si="6"/>
        <v>容积率</v>
      </c>
      <c r="R11" s="701" t="s">
        <v>14</v>
      </c>
      <c r="S11" s="702" t="e">
        <f t="shared" si="0"/>
        <v>#N/A</v>
      </c>
      <c r="T11" s="701" t="s">
        <v>14</v>
      </c>
      <c r="U11" s="702" t="e">
        <f t="shared" si="1"/>
        <v>#N/A</v>
      </c>
      <c r="V11" s="701" t="s">
        <v>14</v>
      </c>
      <c r="W11" s="702" t="e">
        <f t="shared" si="2"/>
        <v>#N/A</v>
      </c>
      <c r="X11" s="703"/>
      <c r="Y11" s="3742"/>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86"/>
      <c r="Q12" s="1340">
        <f t="shared" si="6"/>
        <v>111</v>
      </c>
      <c r="R12" s="701" t="s">
        <v>14</v>
      </c>
      <c r="S12" s="702">
        <f t="shared" si="0"/>
        <v>100</v>
      </c>
      <c r="T12" s="701" t="s">
        <v>14</v>
      </c>
      <c r="U12" s="702">
        <f t="shared" si="1"/>
        <v>100</v>
      </c>
      <c r="V12" s="701" t="s">
        <v>14</v>
      </c>
      <c r="W12" s="702">
        <f t="shared" si="2"/>
        <v>100</v>
      </c>
      <c r="X12" s="703"/>
      <c r="Y12" s="3742"/>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86"/>
      <c r="Q13" s="1340">
        <f t="shared" si="6"/>
        <v>111</v>
      </c>
      <c r="R13" s="701" t="s">
        <v>14</v>
      </c>
      <c r="S13" s="702">
        <f t="shared" si="0"/>
        <v>100</v>
      </c>
      <c r="T13" s="701" t="s">
        <v>14</v>
      </c>
      <c r="U13" s="702">
        <f t="shared" si="1"/>
        <v>100</v>
      </c>
      <c r="V13" s="701" t="s">
        <v>14</v>
      </c>
      <c r="W13" s="702">
        <f t="shared" si="2"/>
        <v>100</v>
      </c>
      <c r="X13" s="703"/>
      <c r="Y13" s="3742"/>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86"/>
      <c r="Q14" s="1340">
        <f t="shared" si="6"/>
        <v>111</v>
      </c>
      <c r="R14" s="701" t="s">
        <v>14</v>
      </c>
      <c r="S14" s="702">
        <f t="shared" si="0"/>
        <v>100</v>
      </c>
      <c r="T14" s="701" t="s">
        <v>14</v>
      </c>
      <c r="U14" s="702">
        <f t="shared" si="1"/>
        <v>100</v>
      </c>
      <c r="V14" s="701" t="s">
        <v>14</v>
      </c>
      <c r="W14" s="702">
        <f t="shared" si="2"/>
        <v>100</v>
      </c>
      <c r="X14" s="703"/>
      <c r="Y14" s="3742"/>
      <c r="Z14" s="52">
        <f t="shared" si="7"/>
        <v>111</v>
      </c>
      <c r="AA14" s="704">
        <f t="shared" si="3"/>
        <v>1</v>
      </c>
      <c r="AB14" s="704">
        <f t="shared" si="4"/>
        <v>1</v>
      </c>
      <c r="AC14" s="704">
        <f t="shared" si="5"/>
        <v>1</v>
      </c>
    </row>
    <row r="15" spans="1:29" ht="57">
      <c r="A15" s="391" t="s">
        <v>1685</v>
      </c>
      <c r="B15" s="577" t="s">
        <v>1915</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88" t="s">
        <v>1686</v>
      </c>
      <c r="Q15" s="1349" t="str">
        <f t="shared" si="6"/>
        <v>产业集聚程度</v>
      </c>
      <c r="R15" s="705" t="s">
        <v>14</v>
      </c>
      <c r="S15" s="706">
        <f t="shared" si="0"/>
        <v>100</v>
      </c>
      <c r="T15" s="705" t="s">
        <v>14</v>
      </c>
      <c r="U15" s="706">
        <f t="shared" si="1"/>
        <v>100</v>
      </c>
      <c r="V15" s="705" t="s">
        <v>14</v>
      </c>
      <c r="W15" s="706">
        <f t="shared" si="2"/>
        <v>100</v>
      </c>
      <c r="X15" s="1352"/>
      <c r="Y15" s="3888" t="s">
        <v>1686</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7"/>
      <c r="M16" s="2711"/>
      <c r="N16" s="2711"/>
      <c r="O16" s="2769"/>
      <c r="P16" s="3889"/>
      <c r="Q16" s="1349"/>
      <c r="R16" s="705"/>
      <c r="S16" s="706"/>
      <c r="T16" s="705"/>
      <c r="U16" s="706"/>
      <c r="V16" s="705"/>
      <c r="W16" s="706"/>
      <c r="X16" s="1352"/>
      <c r="Y16" s="3889"/>
      <c r="Z16" s="1353"/>
      <c r="AA16" s="1350">
        <v>1</v>
      </c>
      <c r="AB16" s="1350">
        <v>1</v>
      </c>
      <c r="AC16" s="1350">
        <v>1</v>
      </c>
    </row>
    <row r="17" spans="1:29" ht="85.5">
      <c r="A17" s="379"/>
      <c r="B17" s="579" t="s">
        <v>1828</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89"/>
      <c r="Q17" s="1349" t="str">
        <f>B17</f>
        <v>交通便捷度</v>
      </c>
      <c r="R17" s="705" t="s">
        <v>14</v>
      </c>
      <c r="S17" s="706">
        <f>F17</f>
        <v>100</v>
      </c>
      <c r="T17" s="705" t="s">
        <v>14</v>
      </c>
      <c r="U17" s="706">
        <f>H17</f>
        <v>100</v>
      </c>
      <c r="V17" s="705" t="s">
        <v>14</v>
      </c>
      <c r="W17" s="706">
        <f>J17</f>
        <v>100</v>
      </c>
      <c r="X17" s="1352"/>
      <c r="Y17" s="3889"/>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7"/>
      <c r="M18" s="2711"/>
      <c r="N18" s="2711"/>
      <c r="O18" s="2769"/>
      <c r="P18" s="3889"/>
      <c r="Q18" s="1349"/>
      <c r="R18" s="705"/>
      <c r="S18" s="706"/>
      <c r="T18" s="705"/>
      <c r="U18" s="706"/>
      <c r="V18" s="705"/>
      <c r="W18" s="706"/>
      <c r="X18" s="1352"/>
      <c r="Y18" s="3889"/>
      <c r="Z18" s="1353"/>
      <c r="AA18" s="1350">
        <v>1</v>
      </c>
      <c r="AB18" s="1350">
        <v>1</v>
      </c>
      <c r="AC18" s="1350">
        <v>1</v>
      </c>
    </row>
    <row r="19" spans="1:29" ht="15">
      <c r="A19" s="379"/>
      <c r="B19" s="579" t="s">
        <v>1866</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89"/>
      <c r="Q19" s="1349" t="str">
        <f t="shared" ref="Q19:Q33" si="8">B19</f>
        <v>区域土地利用方向</v>
      </c>
      <c r="R19" s="705" t="s">
        <v>14</v>
      </c>
      <c r="S19" s="706">
        <f>F19</f>
        <v>100</v>
      </c>
      <c r="T19" s="705" t="s">
        <v>14</v>
      </c>
      <c r="U19" s="706">
        <f>H19</f>
        <v>100</v>
      </c>
      <c r="V19" s="705" t="s">
        <v>14</v>
      </c>
      <c r="W19" s="706">
        <f>J19</f>
        <v>100</v>
      </c>
      <c r="X19" s="1352"/>
      <c r="Y19" s="3889"/>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7"/>
      <c r="M20" s="2711"/>
      <c r="N20" s="2711"/>
      <c r="O20" s="2769"/>
      <c r="P20" s="3889"/>
      <c r="Q20" s="1349"/>
      <c r="R20" s="705"/>
      <c r="S20" s="706"/>
      <c r="T20" s="705"/>
      <c r="U20" s="706"/>
      <c r="V20" s="705"/>
      <c r="W20" s="706"/>
      <c r="X20" s="1352"/>
      <c r="Y20" s="3889"/>
      <c r="Z20" s="1353"/>
      <c r="AA20" s="1350"/>
      <c r="AB20" s="1350"/>
      <c r="AC20" s="1350"/>
    </row>
    <row r="21" spans="1:29" ht="71.25">
      <c r="A21" s="358"/>
      <c r="B21" s="579" t="s">
        <v>1916</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89"/>
      <c r="Q21" s="1349" t="str">
        <f t="shared" si="8"/>
        <v>环境状况</v>
      </c>
      <c r="R21" s="705" t="s">
        <v>14</v>
      </c>
      <c r="S21" s="706">
        <f>F21</f>
        <v>100</v>
      </c>
      <c r="T21" s="705" t="s">
        <v>14</v>
      </c>
      <c r="U21" s="706">
        <f>H21</f>
        <v>100</v>
      </c>
      <c r="V21" s="705" t="s">
        <v>14</v>
      </c>
      <c r="W21" s="706">
        <f>J21</f>
        <v>100</v>
      </c>
      <c r="X21" s="1352"/>
      <c r="Y21" s="3889"/>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7"/>
      <c r="M22" s="2711"/>
      <c r="N22" s="2711"/>
      <c r="O22" s="2769"/>
      <c r="P22" s="3889"/>
      <c r="Q22" s="1349"/>
      <c r="R22" s="705"/>
      <c r="S22" s="706"/>
      <c r="T22" s="705"/>
      <c r="U22" s="706"/>
      <c r="V22" s="705"/>
      <c r="W22" s="706"/>
      <c r="X22" s="1352"/>
      <c r="Y22" s="3889"/>
      <c r="Z22" s="1353"/>
      <c r="AA22" s="1350">
        <v>1</v>
      </c>
      <c r="AB22" s="1350">
        <v>1</v>
      </c>
      <c r="AC22" s="1350">
        <v>1</v>
      </c>
    </row>
    <row r="23" spans="1:29" s="108" customFormat="1" ht="42.75">
      <c r="A23" s="597"/>
      <c r="B23" s="581" t="s">
        <v>1773</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89"/>
      <c r="Q23" s="1340" t="str">
        <f t="shared" si="8"/>
        <v>公共配套设施</v>
      </c>
      <c r="R23" s="701" t="s">
        <v>14</v>
      </c>
      <c r="S23" s="702">
        <f>F23</f>
        <v>100</v>
      </c>
      <c r="T23" s="701" t="s">
        <v>14</v>
      </c>
      <c r="U23" s="702">
        <f>H23</f>
        <v>100</v>
      </c>
      <c r="V23" s="701" t="s">
        <v>14</v>
      </c>
      <c r="W23" s="702">
        <f>J23</f>
        <v>100</v>
      </c>
      <c r="X23" s="703"/>
      <c r="Y23" s="3889"/>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2"/>
      <c r="M24" s="2713"/>
      <c r="N24" s="2713"/>
      <c r="O24" s="2767"/>
      <c r="P24" s="3889"/>
      <c r="Q24" s="1340"/>
      <c r="R24" s="701"/>
      <c r="S24" s="702"/>
      <c r="T24" s="701"/>
      <c r="U24" s="702"/>
      <c r="V24" s="701"/>
      <c r="W24" s="702"/>
      <c r="X24" s="703"/>
      <c r="Y24" s="3889"/>
      <c r="Z24" s="52"/>
      <c r="AA24" s="704">
        <v>1</v>
      </c>
      <c r="AB24" s="704">
        <v>1</v>
      </c>
      <c r="AC24" s="704">
        <v>1</v>
      </c>
    </row>
    <row r="25" spans="1:29" s="108" customFormat="1" ht="28.5">
      <c r="A25" s="597"/>
      <c r="B25" s="581" t="s">
        <v>1774</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89"/>
      <c r="Q25" s="1340" t="str">
        <f t="shared" ref="Q25" si="9">B25</f>
        <v>基础设施水平</v>
      </c>
      <c r="R25" s="701" t="s">
        <v>14</v>
      </c>
      <c r="S25" s="702">
        <f>F25</f>
        <v>100</v>
      </c>
      <c r="T25" s="701" t="s">
        <v>14</v>
      </c>
      <c r="U25" s="702">
        <f>H25</f>
        <v>100</v>
      </c>
      <c r="V25" s="701" t="s">
        <v>14</v>
      </c>
      <c r="W25" s="702">
        <f>J25</f>
        <v>100</v>
      </c>
      <c r="X25" s="703"/>
      <c r="Y25" s="3889"/>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2"/>
      <c r="M26" s="2713"/>
      <c r="N26" s="2713"/>
      <c r="O26" s="2767"/>
      <c r="P26" s="3889"/>
      <c r="Q26" s="1340"/>
      <c r="R26" s="701"/>
      <c r="S26" s="702"/>
      <c r="T26" s="701"/>
      <c r="U26" s="702"/>
      <c r="V26" s="701"/>
      <c r="W26" s="702"/>
      <c r="X26" s="703"/>
      <c r="Y26" s="3889"/>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8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889"/>
      <c r="Z27" s="1353" t="str">
        <f t="shared" ref="Z27:Z40" si="13">Q27</f>
        <v>临街状况</v>
      </c>
      <c r="AA27" s="1350">
        <f t="shared" si="3"/>
        <v>1</v>
      </c>
      <c r="AB27" s="1350">
        <f t="shared" si="4"/>
        <v>1</v>
      </c>
      <c r="AC27" s="1350">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89"/>
      <c r="Q28" s="1349" t="str">
        <f t="shared" si="8"/>
        <v>毗邻道路的类型与等级</v>
      </c>
      <c r="R28" s="705" t="s">
        <v>14</v>
      </c>
      <c r="S28" s="706">
        <f t="shared" si="10"/>
        <v>100</v>
      </c>
      <c r="T28" s="705" t="s">
        <v>14</v>
      </c>
      <c r="U28" s="706">
        <f t="shared" si="11"/>
        <v>100</v>
      </c>
      <c r="V28" s="705" t="s">
        <v>14</v>
      </c>
      <c r="W28" s="706">
        <f t="shared" si="12"/>
        <v>100</v>
      </c>
      <c r="X28" s="1352"/>
      <c r="Y28" s="388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7"/>
      <c r="M29" s="2711"/>
      <c r="N29" s="2711"/>
      <c r="O29" s="2769"/>
      <c r="P29" s="3889"/>
      <c r="Q29" s="1349"/>
      <c r="R29" s="705"/>
      <c r="S29" s="706"/>
      <c r="T29" s="705"/>
      <c r="U29" s="706"/>
      <c r="V29" s="705"/>
      <c r="W29" s="706"/>
      <c r="X29" s="1352"/>
      <c r="Y29" s="3889"/>
      <c r="Z29" s="1353"/>
      <c r="AA29" s="1350">
        <v>1</v>
      </c>
      <c r="AB29" s="1350">
        <v>1</v>
      </c>
      <c r="AC29" s="1350">
        <v>1</v>
      </c>
    </row>
    <row r="30" spans="1:29" ht="15">
      <c r="A30" s="379"/>
      <c r="B30" s="602" t="s">
        <v>1868</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89"/>
      <c r="Q30" s="1349" t="str">
        <f t="shared" si="8"/>
        <v>土地级别</v>
      </c>
      <c r="R30" s="705" t="s">
        <v>14</v>
      </c>
      <c r="S30" s="706">
        <f t="shared" si="10"/>
        <v>100</v>
      </c>
      <c r="T30" s="705" t="s">
        <v>14</v>
      </c>
      <c r="U30" s="706">
        <f t="shared" si="11"/>
        <v>100</v>
      </c>
      <c r="V30" s="705" t="s">
        <v>14</v>
      </c>
      <c r="W30" s="706">
        <f t="shared" si="12"/>
        <v>100</v>
      </c>
      <c r="X30" s="1352"/>
      <c r="Y30" s="388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89"/>
      <c r="Q31" s="1349">
        <f t="shared" si="8"/>
        <v>111</v>
      </c>
      <c r="R31" s="705" t="s">
        <v>14</v>
      </c>
      <c r="S31" s="706">
        <f t="shared" si="10"/>
        <v>100</v>
      </c>
      <c r="T31" s="705" t="s">
        <v>14</v>
      </c>
      <c r="U31" s="706">
        <f t="shared" si="11"/>
        <v>100</v>
      </c>
      <c r="V31" s="705" t="s">
        <v>14</v>
      </c>
      <c r="W31" s="706">
        <f t="shared" si="12"/>
        <v>100</v>
      </c>
      <c r="X31" s="1352"/>
      <c r="Y31" s="388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944" t="s">
        <v>1691</v>
      </c>
      <c r="Q32" s="1349">
        <f t="shared" si="8"/>
        <v>111</v>
      </c>
      <c r="R32" s="705" t="s">
        <v>14</v>
      </c>
      <c r="S32" s="706">
        <f t="shared" si="10"/>
        <v>100</v>
      </c>
      <c r="T32" s="705" t="s">
        <v>14</v>
      </c>
      <c r="U32" s="706">
        <f t="shared" si="11"/>
        <v>100</v>
      </c>
      <c r="V32" s="705" t="s">
        <v>14</v>
      </c>
      <c r="W32" s="706">
        <f t="shared" si="12"/>
        <v>100</v>
      </c>
      <c r="X32" s="1352"/>
      <c r="Y32" s="3893" t="s">
        <v>1691</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93"/>
      <c r="Q33" s="1349">
        <f t="shared" si="8"/>
        <v>111</v>
      </c>
      <c r="R33" s="708" t="s">
        <v>14</v>
      </c>
      <c r="S33" s="709">
        <f t="shared" si="10"/>
        <v>100</v>
      </c>
      <c r="T33" s="708" t="s">
        <v>14</v>
      </c>
      <c r="U33" s="709">
        <f t="shared" si="11"/>
        <v>100</v>
      </c>
      <c r="V33" s="708" t="s">
        <v>14</v>
      </c>
      <c r="W33" s="709">
        <f t="shared" si="12"/>
        <v>100</v>
      </c>
      <c r="X33" s="710"/>
      <c r="Y33" s="3893"/>
      <c r="Z33" s="711">
        <f t="shared" si="13"/>
        <v>111</v>
      </c>
      <c r="AA33" s="1350">
        <f t="shared" si="3"/>
        <v>1</v>
      </c>
      <c r="AB33" s="1350">
        <f t="shared" si="4"/>
        <v>1</v>
      </c>
      <c r="AC33" s="1350">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93"/>
      <c r="Q34" s="1349" t="str">
        <f>B34</f>
        <v>宗地面积</v>
      </c>
      <c r="R34" s="705" t="s">
        <v>14</v>
      </c>
      <c r="S34" s="706" t="e">
        <f t="shared" si="10"/>
        <v>#N/A</v>
      </c>
      <c r="T34" s="705" t="s">
        <v>14</v>
      </c>
      <c r="U34" s="706" t="e">
        <f t="shared" si="11"/>
        <v>#N/A</v>
      </c>
      <c r="V34" s="705" t="s">
        <v>14</v>
      </c>
      <c r="W34" s="706" t="e">
        <f t="shared" si="12"/>
        <v>#N/A</v>
      </c>
      <c r="X34" s="1352"/>
      <c r="Y34" s="3893"/>
      <c r="Z34" s="1353" t="str">
        <f t="shared" si="13"/>
        <v>宗地面积</v>
      </c>
      <c r="AA34" s="1350" t="e">
        <f t="shared" si="3"/>
        <v>#N/A</v>
      </c>
      <c r="AB34" s="1350" t="e">
        <f t="shared" si="4"/>
        <v>#N/A</v>
      </c>
      <c r="AC34" s="1350" t="e">
        <f t="shared" si="5"/>
        <v>#N/A</v>
      </c>
    </row>
    <row r="35" spans="1:31" ht="15">
      <c r="A35" s="423"/>
      <c r="B35" s="375" t="s">
        <v>1870</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893"/>
      <c r="Q35" s="1349" t="str">
        <f t="shared" ref="Q35:Q40" si="14">B35</f>
        <v>宗地形状</v>
      </c>
      <c r="R35" s="705" t="s">
        <v>14</v>
      </c>
      <c r="S35" s="706">
        <f t="shared" si="10"/>
        <v>100</v>
      </c>
      <c r="T35" s="705" t="s">
        <v>14</v>
      </c>
      <c r="U35" s="706">
        <f t="shared" si="11"/>
        <v>100</v>
      </c>
      <c r="V35" s="705" t="s">
        <v>14</v>
      </c>
      <c r="W35" s="706">
        <f t="shared" si="12"/>
        <v>100</v>
      </c>
      <c r="X35" s="1352"/>
      <c r="Y35" s="3893"/>
      <c r="Z35" s="1353" t="str">
        <f t="shared" si="13"/>
        <v>宗地形状</v>
      </c>
      <c r="AA35" s="1350">
        <f t="shared" si="3"/>
        <v>1</v>
      </c>
      <c r="AB35" s="1350">
        <f t="shared" si="4"/>
        <v>1</v>
      </c>
      <c r="AC35" s="1350">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893"/>
      <c r="Q36" s="1349" t="str">
        <f t="shared" si="14"/>
        <v>宗地开发程度</v>
      </c>
      <c r="R36" s="701" t="s">
        <v>14</v>
      </c>
      <c r="S36" s="702">
        <f t="shared" si="10"/>
        <v>100</v>
      </c>
      <c r="T36" s="701" t="s">
        <v>14</v>
      </c>
      <c r="U36" s="702">
        <f t="shared" si="11"/>
        <v>100</v>
      </c>
      <c r="V36" s="701" t="s">
        <v>14</v>
      </c>
      <c r="W36" s="702">
        <f t="shared" si="12"/>
        <v>100</v>
      </c>
      <c r="X36" s="703"/>
      <c r="Y36" s="3893"/>
      <c r="Z36" s="52" t="str">
        <f t="shared" si="13"/>
        <v>宗地开发程度</v>
      </c>
      <c r="AA36" s="704">
        <f t="shared" si="3"/>
        <v>1</v>
      </c>
      <c r="AB36" s="704">
        <f t="shared" si="4"/>
        <v>1</v>
      </c>
      <c r="AC36" s="704">
        <f t="shared" si="5"/>
        <v>1</v>
      </c>
    </row>
    <row r="37" spans="1:31" ht="15">
      <c r="A37" s="423"/>
      <c r="B37" s="375" t="s">
        <v>1873</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893" t="s">
        <v>1691</v>
      </c>
      <c r="Q37" s="1349" t="str">
        <f t="shared" si="14"/>
        <v>工程地质条件</v>
      </c>
      <c r="R37" s="705" t="s">
        <v>14</v>
      </c>
      <c r="S37" s="706">
        <f t="shared" si="10"/>
        <v>100</v>
      </c>
      <c r="T37" s="705" t="s">
        <v>14</v>
      </c>
      <c r="U37" s="706">
        <f t="shared" si="11"/>
        <v>100</v>
      </c>
      <c r="V37" s="705" t="s">
        <v>14</v>
      </c>
      <c r="W37" s="706">
        <f t="shared" si="12"/>
        <v>100</v>
      </c>
      <c r="X37" s="1352"/>
      <c r="Y37" s="3893" t="s">
        <v>1691</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93"/>
      <c r="Q38" s="1349">
        <f t="shared" si="14"/>
        <v>111</v>
      </c>
      <c r="R38" s="705" t="s">
        <v>14</v>
      </c>
      <c r="S38" s="706">
        <f t="shared" si="10"/>
        <v>100</v>
      </c>
      <c r="T38" s="705" t="s">
        <v>14</v>
      </c>
      <c r="U38" s="706">
        <f t="shared" si="11"/>
        <v>100</v>
      </c>
      <c r="V38" s="705" t="s">
        <v>14</v>
      </c>
      <c r="W38" s="706">
        <f t="shared" si="12"/>
        <v>100</v>
      </c>
      <c r="X38" s="1352"/>
      <c r="Y38" s="3893"/>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93"/>
      <c r="Q39" s="1349">
        <f t="shared" si="14"/>
        <v>111</v>
      </c>
      <c r="R39" s="705" t="s">
        <v>14</v>
      </c>
      <c r="S39" s="706">
        <f t="shared" si="10"/>
        <v>100</v>
      </c>
      <c r="T39" s="705" t="s">
        <v>14</v>
      </c>
      <c r="U39" s="706">
        <f t="shared" si="11"/>
        <v>100</v>
      </c>
      <c r="V39" s="705" t="s">
        <v>14</v>
      </c>
      <c r="W39" s="706">
        <f t="shared" si="12"/>
        <v>100</v>
      </c>
      <c r="X39" s="1352"/>
      <c r="Y39" s="3893"/>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93"/>
      <c r="Q40" s="1349">
        <f t="shared" si="14"/>
        <v>111</v>
      </c>
      <c r="R40" s="708" t="s">
        <v>14</v>
      </c>
      <c r="S40" s="709">
        <f t="shared" si="10"/>
        <v>100</v>
      </c>
      <c r="T40" s="708" t="s">
        <v>14</v>
      </c>
      <c r="U40" s="709">
        <f t="shared" si="11"/>
        <v>100</v>
      </c>
      <c r="V40" s="708" t="s">
        <v>14</v>
      </c>
      <c r="W40" s="709">
        <f t="shared" si="12"/>
        <v>100</v>
      </c>
      <c r="X40" s="710"/>
      <c r="Y40" s="3893"/>
      <c r="Z40" s="711">
        <f t="shared" si="13"/>
        <v>111</v>
      </c>
      <c r="AA40" s="1350">
        <f t="shared" si="3"/>
        <v>1</v>
      </c>
      <c r="AB40" s="1350">
        <f t="shared" si="4"/>
        <v>1</v>
      </c>
      <c r="AC40" s="1350">
        <f t="shared" si="5"/>
        <v>1</v>
      </c>
    </row>
    <row r="41" spans="1:31" ht="15">
      <c r="A41" s="430" t="s">
        <v>1839</v>
      </c>
      <c r="B41" s="1979" t="s">
        <v>1917</v>
      </c>
      <c r="C41" s="630" t="s">
        <v>0</v>
      </c>
      <c r="D41" s="432"/>
      <c r="E41" s="433"/>
      <c r="F41" s="434"/>
      <c r="G41" s="435"/>
      <c r="H41" s="436"/>
      <c r="I41" s="433"/>
      <c r="J41" s="436"/>
      <c r="K41" s="714"/>
      <c r="L41" s="2719"/>
      <c r="M41" s="2711"/>
      <c r="N41" s="2711"/>
      <c r="O41" s="2720"/>
      <c r="P41" s="3886" t="str">
        <f>A41</f>
        <v>成交单价</v>
      </c>
      <c r="Q41" s="3886"/>
      <c r="R41" s="3917">
        <f>E41</f>
        <v>0</v>
      </c>
      <c r="S41" s="3917"/>
      <c r="T41" s="3917">
        <f>G41</f>
        <v>0</v>
      </c>
      <c r="U41" s="3917"/>
      <c r="V41" s="3917">
        <f>I41</f>
        <v>0</v>
      </c>
      <c r="W41" s="3917"/>
      <c r="X41" s="690"/>
      <c r="Y41" s="712"/>
      <c r="Z41" s="690"/>
      <c r="AA41" s="690"/>
      <c r="AB41" s="690"/>
      <c r="AC41" s="690"/>
    </row>
    <row r="42" spans="1:31" ht="15.75" thickBot="1">
      <c r="A42" s="437" t="s">
        <v>1788</v>
      </c>
      <c r="B42" s="631"/>
      <c r="C42" s="440" t="e">
        <f>R43</f>
        <v>#DIV/0!</v>
      </c>
      <c r="D42" s="2314" t="s">
        <v>2133</v>
      </c>
      <c r="E42" s="440" t="e">
        <f>R42</f>
        <v>#DIV/0!</v>
      </c>
      <c r="F42" s="2315"/>
      <c r="G42" s="439" t="e">
        <f>T42</f>
        <v>#DIV/0!</v>
      </c>
      <c r="H42" s="2315"/>
      <c r="I42" s="440" t="e">
        <f>V42</f>
        <v>#DIV/0!</v>
      </c>
      <c r="J42" s="2315"/>
      <c r="K42" s="2317">
        <f>F42+H42+J42</f>
        <v>0</v>
      </c>
      <c r="L42" s="2719"/>
      <c r="M42" s="2711"/>
      <c r="N42" s="2711"/>
      <c r="O42" s="2720"/>
      <c r="P42" s="3886" t="str">
        <f>A42</f>
        <v>比较价值（元/平方米）</v>
      </c>
      <c r="Q42" s="3886"/>
      <c r="R42" s="3946" t="e">
        <f>ROUND(PRODUCT(R41,AA7:AA40),0)</f>
        <v>#DIV/0!</v>
      </c>
      <c r="S42" s="3946"/>
      <c r="T42" s="3946" t="e">
        <f>ROUND(PRODUCT(T41,AB7:AB40),0)</f>
        <v>#DIV/0!</v>
      </c>
      <c r="U42" s="3946"/>
      <c r="V42" s="3946" t="e">
        <f>ROUND(PRODUCT(V41,AC7:AC40),0)</f>
        <v>#DIV/0!</v>
      </c>
      <c r="W42" s="3946"/>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83" t="str">
        <f>A43</f>
        <v>估价对象XX用房的比较价值（楼面单价，元/平方米）</v>
      </c>
      <c r="Q43" s="3884"/>
      <c r="R43" s="3947" t="e">
        <f>ROUND(IF(D42="简单平均",AVERAGE(R42:W42),R42*F42+T42*H42+V42*J42),0)</f>
        <v>#DIV/0!</v>
      </c>
      <c r="S43" s="3947"/>
      <c r="T43" s="3947"/>
      <c r="U43" s="3947"/>
      <c r="V43" s="3947"/>
      <c r="W43" s="3947"/>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80" t="s">
        <v>1878</v>
      </c>
      <c r="D50" s="1981" t="s">
        <v>1879</v>
      </c>
      <c r="E50" s="634" t="s">
        <v>1880</v>
      </c>
      <c r="F50" s="635" t="s">
        <v>1881</v>
      </c>
      <c r="G50" s="3901" t="s">
        <v>1882</v>
      </c>
      <c r="H50" s="3948"/>
      <c r="I50" s="1353" t="s">
        <v>1918</v>
      </c>
      <c r="J50" s="1353" t="str">
        <f>项目基本情况!F35</f>
        <v>北京市</v>
      </c>
      <c r="K50" s="1983"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1">
        <v>1</v>
      </c>
      <c r="E51" s="638">
        <f>'数据-汇总表'!E8+'数据-汇总表'!E9</f>
        <v>0</v>
      </c>
      <c r="F51" s="639" t="e">
        <f t="shared" ref="F51:F60" si="15">ROUND(B51*E51/10000,0)</f>
        <v>#DIV/0!</v>
      </c>
      <c r="G51" s="3897"/>
      <c r="H51" s="3886"/>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6">IF($C$50="北京市系数",I52,J52)</f>
        <v>0.6</v>
      </c>
      <c r="D52" s="942">
        <v>0.25</v>
      </c>
      <c r="E52" s="642"/>
      <c r="F52" s="639" t="e">
        <f t="shared" si="15"/>
        <v>#DIV/0!</v>
      </c>
      <c r="G52" s="3001" t="s">
        <v>1887</v>
      </c>
      <c r="H52" s="884" t="str">
        <f>项目基本情况!B37</f>
        <v>五级</v>
      </c>
      <c r="I52" s="770">
        <f>SUMIF(修正!A57:A68,H52,修正!B57:B68)</f>
        <v>0.6</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7">ROUND($C$43*C53*D53,0)</f>
        <v>#DIV/0!</v>
      </c>
      <c r="C53" s="171">
        <f t="shared" si="16"/>
        <v>0.3</v>
      </c>
      <c r="D53" s="942">
        <v>0.25</v>
      </c>
      <c r="E53" s="642"/>
      <c r="F53" s="639" t="e">
        <f t="shared" si="15"/>
        <v>#DIV/0!</v>
      </c>
      <c r="G53" s="3002"/>
      <c r="H53" s="884" t="str">
        <f>项目基本情况!B37</f>
        <v>五级</v>
      </c>
      <c r="I53" s="770">
        <f>SUMIF(修正!A57:A68,H53,修正!C57:C68)</f>
        <v>0.3</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7"/>
        <v>#DIV/0!</v>
      </c>
      <c r="C54" s="171">
        <f t="shared" si="16"/>
        <v>0.25</v>
      </c>
      <c r="D54" s="942">
        <v>0.25</v>
      </c>
      <c r="E54" s="642"/>
      <c r="F54" s="639" t="e">
        <f t="shared" si="15"/>
        <v>#DIV/0!</v>
      </c>
      <c r="G54" s="3002"/>
      <c r="H54" s="884" t="str">
        <f>项目基本情况!B37</f>
        <v>五级</v>
      </c>
      <c r="I54" s="770">
        <f>SUMIF(修正!A57:A68,H54,修正!D57:D68)</f>
        <v>0.25</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2"/>
      <c r="E55" s="642"/>
      <c r="F55" s="639"/>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7"/>
        <v>#DIV/0!</v>
      </c>
      <c r="C56" s="171">
        <f t="shared" si="16"/>
        <v>0</v>
      </c>
      <c r="D56" s="942">
        <v>0.25</v>
      </c>
      <c r="E56" s="217">
        <f>'数据-汇总表'!E11</f>
        <v>0</v>
      </c>
      <c r="F56" s="639" t="e">
        <f t="shared" si="15"/>
        <v>#DIV/0!</v>
      </c>
      <c r="G56" s="1984" t="s">
        <v>1891</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7"/>
        <v>#DIV/0!</v>
      </c>
      <c r="C57" s="171">
        <f t="shared" si="16"/>
        <v>0</v>
      </c>
      <c r="D57" s="942">
        <v>0.25</v>
      </c>
      <c r="E57" s="217">
        <f>'数据-汇总表'!E12</f>
        <v>0</v>
      </c>
      <c r="F57" s="639" t="e">
        <f t="shared" si="15"/>
        <v>#DIV/0!</v>
      </c>
      <c r="G57" s="889" t="s">
        <v>1893</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7"/>
        <v>#DIV/0!</v>
      </c>
      <c r="C58" s="171">
        <f t="shared" si="16"/>
        <v>0</v>
      </c>
      <c r="D58" s="942">
        <v>0.25</v>
      </c>
      <c r="E58" s="217">
        <f>'数据-汇总表'!E13</f>
        <v>0</v>
      </c>
      <c r="F58" s="639" t="e">
        <f t="shared" si="15"/>
        <v>#DIV/0!</v>
      </c>
      <c r="G58" s="889" t="s">
        <v>1895</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7"/>
        <v>#DIV/0!</v>
      </c>
      <c r="C59" s="171">
        <f t="shared" si="16"/>
        <v>0.15</v>
      </c>
      <c r="D59" s="942">
        <v>0.25</v>
      </c>
      <c r="E59" s="217">
        <f>'数据-汇总表'!E14</f>
        <v>0</v>
      </c>
      <c r="F59" s="639" t="e">
        <f t="shared" si="15"/>
        <v>#DIV/0!</v>
      </c>
      <c r="G59" s="1984" t="s">
        <v>1887</v>
      </c>
      <c r="H59" s="884" t="str">
        <f>项目基本情况!B37</f>
        <v>五级</v>
      </c>
      <c r="I59" s="770">
        <f>SUMIF(修正!A57:A68,H59,修正!G57:G68)</f>
        <v>0.15</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7"/>
        <v>#DIV/0!</v>
      </c>
      <c r="C60" s="171">
        <f t="shared" si="16"/>
        <v>0</v>
      </c>
      <c r="D60" s="942">
        <v>0.25</v>
      </c>
      <c r="E60" s="217">
        <f>'数据-汇总表'!E15</f>
        <v>0</v>
      </c>
      <c r="F60" s="639" t="e">
        <f t="shared" si="15"/>
        <v>#DIV/0!</v>
      </c>
      <c r="G60" s="1985" t="s">
        <v>1891</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755.66</v>
      </c>
      <c r="F61" s="645"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1899</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1919</v>
      </c>
      <c r="B66" s="288" t="str">
        <f>"北京市平均增长率"&amp;TEXT('基准地价修正-商业'!P28,"0.00%")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2078</v>
      </c>
      <c r="C1" s="3956" t="s">
        <v>2079</v>
      </c>
      <c r="D1" s="3957"/>
      <c r="E1" s="3957"/>
      <c r="F1" s="3957"/>
      <c r="G1" s="3957"/>
      <c r="H1" s="3957"/>
      <c r="I1" s="3957"/>
      <c r="J1" s="3957"/>
      <c r="K1" s="3957"/>
      <c r="L1" s="3957"/>
      <c r="M1" s="3957"/>
      <c r="N1" s="3957"/>
      <c r="O1" s="3957"/>
      <c r="P1" s="3957"/>
      <c r="Q1" s="3957"/>
      <c r="R1" s="3957"/>
      <c r="S1" s="3958"/>
      <c r="T1" s="980" t="s">
        <v>2080</v>
      </c>
    </row>
    <row r="2" spans="1:45" s="655" customFormat="1">
      <c r="A2" s="981"/>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2082</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2083</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2084</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2085</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2086</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2087</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2090</v>
      </c>
      <c r="E19" s="1337"/>
      <c r="F19" s="1337"/>
      <c r="G19" s="1337"/>
      <c r="H19" s="1056"/>
      <c r="I19" s="159"/>
      <c r="J19" s="159"/>
      <c r="K19" s="159"/>
      <c r="L19" s="159"/>
      <c r="M19" s="159"/>
      <c r="N19" s="159"/>
      <c r="O19" s="159"/>
      <c r="P19" s="159"/>
      <c r="Q19" s="159"/>
      <c r="R19" s="718"/>
      <c r="S19" s="129"/>
    </row>
    <row r="20" spans="1:45" ht="16.5" thickBot="1">
      <c r="A20" s="662" t="s">
        <v>2091</v>
      </c>
      <c r="B20" s="294" t="e">
        <f ca="1">IF(D20="——",S22,S22-F20)</f>
        <v>#REF!</v>
      </c>
      <c r="C20" s="159"/>
      <c r="D20" s="2148"/>
      <c r="E20" s="1338"/>
      <c r="F20" s="980" t="e">
        <f ca="1">SUMIF(INDIRECT("'"&amp;H20&amp;"'"&amp;"!A:A"),"承租人权益价值",INDIRECT("'"&amp;H20&amp;"'"&amp;"!c:c"))</f>
        <v>#REF!</v>
      </c>
      <c r="G20" s="980" t="s">
        <v>2092</v>
      </c>
      <c r="H20" s="2149"/>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953" t="s">
        <v>27</v>
      </c>
      <c r="D22" s="3954"/>
      <c r="E22" s="3954"/>
      <c r="F22" s="3954"/>
      <c r="G22" s="3954"/>
      <c r="H22" s="3954"/>
      <c r="I22" s="3954"/>
      <c r="J22" s="3954"/>
      <c r="K22" s="3954"/>
      <c r="L22" s="3954"/>
      <c r="M22" s="3954"/>
      <c r="N22" s="3954"/>
      <c r="O22" s="3954"/>
      <c r="P22" s="3954"/>
      <c r="Q22" s="3955"/>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4"/>
      <c r="C1" s="2144"/>
      <c r="D1" s="2144"/>
      <c r="E1" s="2144"/>
      <c r="F1" s="2788"/>
      <c r="G1" s="2788"/>
      <c r="H1" s="2788"/>
      <c r="I1" s="2788"/>
      <c r="J1" s="2788"/>
      <c r="K1" s="2788"/>
      <c r="L1" s="2788"/>
      <c r="M1" s="2788"/>
      <c r="N1" s="2788"/>
      <c r="O1" s="2788"/>
      <c r="P1" s="2788"/>
    </row>
    <row r="2" spans="1:16" ht="15.75">
      <c r="A2" s="2142" t="s">
        <v>2068</v>
      </c>
      <c r="B2" s="2597">
        <f ca="1">SUMIF(B6:B13,"&lt;&gt;#ref!",B6:B13)</f>
        <v>0</v>
      </c>
      <c r="C2" s="2142" t="s">
        <v>2069</v>
      </c>
      <c r="D2" s="2142" t="s">
        <v>2070</v>
      </c>
      <c r="E2" s="2607">
        <f ca="1">SUMIF(E6:E13,"&lt;&gt;#ref!",E6:E13)</f>
        <v>0</v>
      </c>
      <c r="F2" s="2788"/>
      <c r="G2" s="2788"/>
      <c r="H2" s="2788"/>
      <c r="I2" s="2788"/>
      <c r="J2" s="2788"/>
      <c r="K2" s="2788"/>
      <c r="L2" s="2788"/>
      <c r="M2" s="2788"/>
      <c r="N2" s="2788"/>
      <c r="O2" s="2788"/>
      <c r="P2" s="2788"/>
    </row>
    <row r="3" spans="1:16" ht="15.75">
      <c r="A3" s="2142" t="s">
        <v>2071</v>
      </c>
      <c r="B3" s="2597" t="e">
        <f ca="1">ROUND(B2*10000/E2,0)</f>
        <v>#DIV/0!</v>
      </c>
      <c r="C3" s="2142"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3"/>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#REF!</v>
      </c>
      <c r="C6" s="2142" t="s">
        <v>2069</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2"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968" t="s">
        <v>2606</v>
      </c>
      <c r="B20" s="3963" t="s">
        <v>2627</v>
      </c>
      <c r="C20" s="3098" t="s">
        <v>2438</v>
      </c>
      <c r="D20" s="3099"/>
      <c r="E20" s="3100">
        <v>1</v>
      </c>
      <c r="F20" s="3101" t="s">
        <v>2439</v>
      </c>
      <c r="G20" s="3101"/>
    </row>
    <row r="21" spans="1:13" ht="19.5" customHeight="1">
      <c r="A21" s="3969"/>
      <c r="B21" s="3962"/>
      <c r="C21" s="3102" t="s">
        <v>2440</v>
      </c>
      <c r="D21" s="3103"/>
      <c r="E21" s="3104">
        <v>1</v>
      </c>
      <c r="F21" s="3101" t="s">
        <v>2441</v>
      </c>
      <c r="G21" s="3101"/>
    </row>
    <row r="22" spans="1:13" ht="19.5" customHeight="1">
      <c r="A22" s="3969"/>
      <c r="B22" s="3962"/>
      <c r="C22" s="3102" t="s">
        <v>2442</v>
      </c>
      <c r="D22" s="3103"/>
      <c r="E22" s="3104">
        <v>0.9</v>
      </c>
      <c r="F22" s="3101" t="s">
        <v>2443</v>
      </c>
      <c r="G22" s="3101"/>
    </row>
    <row r="23" spans="1:13" ht="19.5" customHeight="1">
      <c r="A23" s="3969"/>
      <c r="B23" s="3962"/>
      <c r="C23" s="3102" t="s">
        <v>2444</v>
      </c>
      <c r="D23" s="3103"/>
      <c r="E23" s="3104">
        <v>0.9</v>
      </c>
      <c r="F23" s="3101" t="s">
        <v>2445</v>
      </c>
      <c r="G23" s="3101"/>
    </row>
    <row r="24" spans="1:13" ht="19.5" customHeight="1">
      <c r="A24" s="3969"/>
      <c r="B24" s="3962"/>
      <c r="C24" s="3102" t="s">
        <v>2446</v>
      </c>
      <c r="D24" s="3103"/>
      <c r="E24" s="3104">
        <v>0.8</v>
      </c>
      <c r="F24" s="3101" t="s">
        <v>2447</v>
      </c>
      <c r="G24" s="3101"/>
    </row>
    <row r="25" spans="1:13" ht="19.5" customHeight="1" thickBot="1">
      <c r="A25" s="3970"/>
      <c r="B25" s="3964"/>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965" t="s">
        <v>2630</v>
      </c>
      <c r="B27" s="3963" t="s">
        <v>2611</v>
      </c>
      <c r="C27" s="3098" t="s">
        <v>2451</v>
      </c>
      <c r="D27" s="3099"/>
      <c r="E27" s="3100">
        <v>1</v>
      </c>
      <c r="F27" s="3101" t="s">
        <v>2452</v>
      </c>
      <c r="G27" s="3101"/>
    </row>
    <row r="28" spans="1:13" ht="19.5" customHeight="1">
      <c r="A28" s="3966"/>
      <c r="B28" s="3962"/>
      <c r="C28" s="3102" t="s">
        <v>2453</v>
      </c>
      <c r="D28" s="3103"/>
      <c r="E28" s="3104">
        <v>1</v>
      </c>
      <c r="F28" s="3101" t="s">
        <v>2454</v>
      </c>
      <c r="G28" s="3101"/>
    </row>
    <row r="29" spans="1:13" ht="19.5" customHeight="1">
      <c r="A29" s="3966"/>
      <c r="B29" s="3962"/>
      <c r="C29" s="3102" t="s">
        <v>2455</v>
      </c>
      <c r="D29" s="3103"/>
      <c r="E29" s="3104">
        <v>0.8</v>
      </c>
      <c r="F29" s="3101" t="s">
        <v>2456</v>
      </c>
      <c r="G29" s="3101"/>
    </row>
    <row r="30" spans="1:13" ht="19.5" customHeight="1">
      <c r="A30" s="3966"/>
      <c r="B30" s="3962"/>
      <c r="C30" s="3102" t="s">
        <v>2457</v>
      </c>
      <c r="D30" s="3103"/>
      <c r="E30" s="3104">
        <v>0.8</v>
      </c>
      <c r="F30" s="3101" t="s">
        <v>2458</v>
      </c>
      <c r="G30" s="3101"/>
    </row>
    <row r="31" spans="1:13" ht="19.5" customHeight="1">
      <c r="A31" s="3966"/>
      <c r="B31" s="3962"/>
      <c r="C31" s="3102" t="s">
        <v>2459</v>
      </c>
      <c r="D31" s="3103"/>
      <c r="E31" s="3104">
        <v>0.8</v>
      </c>
      <c r="F31" s="3101" t="s">
        <v>2460</v>
      </c>
      <c r="G31" s="3101"/>
    </row>
    <row r="32" spans="1:13" ht="19.5" customHeight="1">
      <c r="A32" s="3966"/>
      <c r="B32" s="3962"/>
      <c r="C32" s="3102" t="s">
        <v>2461</v>
      </c>
      <c r="D32" s="3103"/>
      <c r="E32" s="3104">
        <v>0.7</v>
      </c>
      <c r="F32" s="3101" t="s">
        <v>2462</v>
      </c>
      <c r="G32" s="3101"/>
    </row>
    <row r="33" spans="1:7" ht="19.5" customHeight="1">
      <c r="A33" s="3966"/>
      <c r="B33" s="3962"/>
      <c r="C33" s="3102" t="s">
        <v>2463</v>
      </c>
      <c r="D33" s="3103"/>
      <c r="E33" s="3104">
        <v>0.8</v>
      </c>
      <c r="F33" s="3101" t="s">
        <v>2464</v>
      </c>
      <c r="G33" s="3101"/>
    </row>
    <row r="34" spans="1:7" ht="19.5" customHeight="1">
      <c r="A34" s="3966"/>
      <c r="B34" s="3962"/>
      <c r="C34" s="3102" t="s">
        <v>2465</v>
      </c>
      <c r="D34" s="3103"/>
      <c r="E34" s="3104">
        <v>0.6</v>
      </c>
      <c r="F34" s="3101" t="s">
        <v>2466</v>
      </c>
      <c r="G34" s="3101"/>
    </row>
    <row r="35" spans="1:7" ht="19.5" customHeight="1">
      <c r="A35" s="3966"/>
      <c r="B35" s="3962"/>
      <c r="C35" s="3102" t="s">
        <v>2467</v>
      </c>
      <c r="D35" s="3103"/>
      <c r="E35" s="3104">
        <v>0.2</v>
      </c>
      <c r="F35" s="3101" t="s">
        <v>2468</v>
      </c>
      <c r="G35" s="3101"/>
    </row>
    <row r="36" spans="1:7" ht="19.5" customHeight="1">
      <c r="A36" s="3966"/>
      <c r="B36" s="3962"/>
      <c r="C36" s="3102" t="s">
        <v>2469</v>
      </c>
      <c r="D36" s="3103"/>
      <c r="E36" s="3104">
        <v>0.2</v>
      </c>
      <c r="F36" s="3101" t="s">
        <v>2470</v>
      </c>
      <c r="G36" s="3101"/>
    </row>
    <row r="37" spans="1:7" ht="19.5" customHeight="1">
      <c r="A37" s="3966"/>
      <c r="B37" s="3960" t="s">
        <v>2631</v>
      </c>
      <c r="C37" s="3102" t="s">
        <v>2471</v>
      </c>
      <c r="D37" s="3103"/>
      <c r="E37" s="3104">
        <v>0.6</v>
      </c>
      <c r="F37" s="3101" t="s">
        <v>2472</v>
      </c>
      <c r="G37" s="3101"/>
    </row>
    <row r="38" spans="1:7" ht="19.5" customHeight="1">
      <c r="A38" s="3966"/>
      <c r="B38" s="3962"/>
      <c r="C38" s="3102" t="s">
        <v>2473</v>
      </c>
      <c r="D38" s="3103"/>
      <c r="E38" s="3104">
        <v>0.6</v>
      </c>
      <c r="F38" s="3101" t="s">
        <v>2474</v>
      </c>
      <c r="G38" s="3101"/>
    </row>
    <row r="39" spans="1:7" ht="19.5" customHeight="1" thickBot="1">
      <c r="A39" s="3967"/>
      <c r="B39" s="3964"/>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968" t="s">
        <v>2609</v>
      </c>
      <c r="B41" s="3963" t="s">
        <v>2633</v>
      </c>
      <c r="C41" s="3098" t="s">
        <v>2478</v>
      </c>
      <c r="D41" s="3099"/>
      <c r="E41" s="3100">
        <v>1</v>
      </c>
      <c r="F41" s="3101" t="s">
        <v>2479</v>
      </c>
      <c r="G41" s="3101"/>
    </row>
    <row r="42" spans="1:7" ht="19.5" customHeight="1">
      <c r="A42" s="3969"/>
      <c r="B42" s="3962"/>
      <c r="C42" s="3102" t="s">
        <v>2480</v>
      </c>
      <c r="D42" s="3103"/>
      <c r="E42" s="3104">
        <v>1</v>
      </c>
      <c r="F42" s="3101" t="s">
        <v>2481</v>
      </c>
      <c r="G42" s="3101"/>
    </row>
    <row r="43" spans="1:7" ht="19.5" customHeight="1">
      <c r="A43" s="3969"/>
      <c r="B43" s="3961"/>
      <c r="C43" s="3102" t="s">
        <v>2482</v>
      </c>
      <c r="D43" s="3103"/>
      <c r="E43" s="3104">
        <v>1.5</v>
      </c>
      <c r="F43" s="3101" t="s">
        <v>2483</v>
      </c>
      <c r="G43" s="3101"/>
    </row>
    <row r="44" spans="1:7" ht="19.5" customHeight="1">
      <c r="A44" s="3969"/>
      <c r="B44" s="3113" t="s">
        <v>2634</v>
      </c>
      <c r="C44" s="3102" t="s">
        <v>2635</v>
      </c>
      <c r="D44" s="3103"/>
      <c r="E44" s="3104">
        <v>2</v>
      </c>
      <c r="F44" s="3101" t="s">
        <v>2484</v>
      </c>
      <c r="G44" s="3101"/>
    </row>
    <row r="45" spans="1:7" ht="19.5" customHeight="1">
      <c r="A45" s="3969"/>
      <c r="B45" s="3960" t="s">
        <v>2636</v>
      </c>
      <c r="C45" s="3102" t="s">
        <v>2485</v>
      </c>
      <c r="D45" s="3103"/>
      <c r="E45" s="3104">
        <v>1</v>
      </c>
      <c r="F45" s="3101" t="s">
        <v>2486</v>
      </c>
      <c r="G45" s="3101"/>
    </row>
    <row r="46" spans="1:7" ht="19.5" customHeight="1">
      <c r="A46" s="3969"/>
      <c r="B46" s="3962"/>
      <c r="C46" s="3102" t="s">
        <v>2487</v>
      </c>
      <c r="D46" s="3103"/>
      <c r="E46" s="3104">
        <v>1</v>
      </c>
      <c r="F46" s="3101" t="s">
        <v>2488</v>
      </c>
      <c r="G46" s="3101"/>
    </row>
    <row r="47" spans="1:7" ht="19.5" customHeight="1">
      <c r="A47" s="3969"/>
      <c r="B47" s="3962"/>
      <c r="C47" s="3102" t="s">
        <v>2489</v>
      </c>
      <c r="D47" s="3103"/>
      <c r="E47" s="3104">
        <v>1</v>
      </c>
      <c r="F47" s="3101" t="s">
        <v>2490</v>
      </c>
      <c r="G47" s="3101"/>
    </row>
    <row r="48" spans="1:7" ht="19.5" customHeight="1">
      <c r="A48" s="3969"/>
      <c r="B48" s="3962"/>
      <c r="C48" s="3102" t="s">
        <v>2491</v>
      </c>
      <c r="D48" s="3103"/>
      <c r="E48" s="3104">
        <v>1</v>
      </c>
      <c r="F48" s="3101" t="s">
        <v>2492</v>
      </c>
      <c r="G48" s="3101"/>
    </row>
    <row r="49" spans="1:7" ht="19.5" customHeight="1">
      <c r="A49" s="3969"/>
      <c r="B49" s="3962"/>
      <c r="C49" s="3102" t="s">
        <v>2493</v>
      </c>
      <c r="D49" s="3103"/>
      <c r="E49" s="3104">
        <v>1</v>
      </c>
      <c r="F49" s="3101" t="s">
        <v>2494</v>
      </c>
      <c r="G49" s="3101"/>
    </row>
    <row r="50" spans="1:7" ht="19.5" customHeight="1">
      <c r="A50" s="3969"/>
      <c r="B50" s="3962"/>
      <c r="C50" s="3102" t="s">
        <v>2495</v>
      </c>
      <c r="D50" s="3103"/>
      <c r="E50" s="3104">
        <v>1</v>
      </c>
      <c r="F50" s="3101" t="s">
        <v>2496</v>
      </c>
      <c r="G50" s="3101"/>
    </row>
    <row r="51" spans="1:7" ht="19.5" customHeight="1" thickBot="1">
      <c r="A51" s="3970"/>
      <c r="B51" s="3964"/>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960" t="s">
        <v>2650</v>
      </c>
      <c r="C73" s="3087" t="s">
        <v>2651</v>
      </c>
      <c r="D73" s="3087" t="s">
        <v>2652</v>
      </c>
      <c r="E73" s="3113">
        <v>0.2</v>
      </c>
      <c r="F73" s="3113">
        <v>25</v>
      </c>
    </row>
    <row r="74" spans="1:7" ht="24">
      <c r="A74" s="3113">
        <v>2</v>
      </c>
      <c r="B74" s="3962"/>
      <c r="C74" s="3087" t="s">
        <v>2653</v>
      </c>
      <c r="D74" s="3087" t="s">
        <v>2654</v>
      </c>
      <c r="E74" s="3113">
        <v>0.2</v>
      </c>
      <c r="F74" s="3113">
        <v>25</v>
      </c>
    </row>
    <row r="75" spans="1:7" ht="24">
      <c r="A75" s="3113">
        <v>3</v>
      </c>
      <c r="B75" s="3962"/>
      <c r="C75" s="3087" t="s">
        <v>2655</v>
      </c>
      <c r="D75" s="3087" t="s">
        <v>2656</v>
      </c>
      <c r="E75" s="3113">
        <v>0.2</v>
      </c>
      <c r="F75" s="3113">
        <v>25</v>
      </c>
    </row>
    <row r="76" spans="1:7" ht="13.5">
      <c r="A76" s="3113">
        <v>4</v>
      </c>
      <c r="B76" s="3962"/>
      <c r="C76" s="3087" t="s">
        <v>2657</v>
      </c>
      <c r="D76" s="3087" t="s">
        <v>2658</v>
      </c>
      <c r="E76" s="3113">
        <v>0.15</v>
      </c>
      <c r="F76" s="3113">
        <v>20</v>
      </c>
    </row>
    <row r="77" spans="1:7" ht="24">
      <c r="A77" s="3113">
        <v>5</v>
      </c>
      <c r="B77" s="3962"/>
      <c r="C77" s="3087" t="s">
        <v>2659</v>
      </c>
      <c r="D77" s="3087" t="s">
        <v>2660</v>
      </c>
      <c r="E77" s="3113">
        <v>0.15</v>
      </c>
      <c r="F77" s="3113">
        <v>20</v>
      </c>
    </row>
    <row r="78" spans="1:7" ht="24">
      <c r="A78" s="3113">
        <v>6</v>
      </c>
      <c r="B78" s="3962"/>
      <c r="C78" s="3087" t="s">
        <v>2661</v>
      </c>
      <c r="D78" s="3087" t="s">
        <v>2662</v>
      </c>
      <c r="E78" s="3113">
        <v>0.15</v>
      </c>
      <c r="F78" s="3113">
        <v>20</v>
      </c>
    </row>
    <row r="79" spans="1:7" ht="24">
      <c r="A79" s="3113">
        <v>7</v>
      </c>
      <c r="B79" s="3962"/>
      <c r="C79" s="3087" t="s">
        <v>2663</v>
      </c>
      <c r="D79" s="3087" t="s">
        <v>2664</v>
      </c>
      <c r="E79" s="3113">
        <v>0.15</v>
      </c>
      <c r="F79" s="3113">
        <v>20</v>
      </c>
    </row>
    <row r="80" spans="1:7" ht="24">
      <c r="A80" s="3113">
        <v>8</v>
      </c>
      <c r="B80" s="3962"/>
      <c r="C80" s="3087" t="s">
        <v>2665</v>
      </c>
      <c r="D80" s="3087" t="s">
        <v>2666</v>
      </c>
      <c r="E80" s="3113">
        <v>0.1</v>
      </c>
      <c r="F80" s="3113">
        <v>15</v>
      </c>
    </row>
    <row r="81" spans="1:6" ht="24">
      <c r="A81" s="3113">
        <v>9</v>
      </c>
      <c r="B81" s="3962"/>
      <c r="C81" s="3087" t="s">
        <v>2667</v>
      </c>
      <c r="D81" s="3087" t="s">
        <v>2668</v>
      </c>
      <c r="E81" s="3113">
        <v>0.1</v>
      </c>
      <c r="F81" s="3113">
        <v>15</v>
      </c>
    </row>
    <row r="82" spans="1:6" ht="24">
      <c r="A82" s="3113">
        <v>10</v>
      </c>
      <c r="B82" s="3962"/>
      <c r="C82" s="3087" t="s">
        <v>2669</v>
      </c>
      <c r="D82" s="3087" t="s">
        <v>2670</v>
      </c>
      <c r="E82" s="3113">
        <v>0.1</v>
      </c>
      <c r="F82" s="3113">
        <v>15</v>
      </c>
    </row>
    <row r="83" spans="1:6" ht="24">
      <c r="A83" s="3113">
        <v>11</v>
      </c>
      <c r="B83" s="3962"/>
      <c r="C83" s="3087" t="s">
        <v>2671</v>
      </c>
      <c r="D83" s="3087" t="s">
        <v>2672</v>
      </c>
      <c r="E83" s="3113">
        <v>0.1</v>
      </c>
      <c r="F83" s="3113">
        <v>15</v>
      </c>
    </row>
    <row r="84" spans="1:6" ht="24">
      <c r="A84" s="3113">
        <v>12</v>
      </c>
      <c r="B84" s="3962"/>
      <c r="C84" s="3087" t="s">
        <v>2673</v>
      </c>
      <c r="D84" s="3087" t="s">
        <v>2674</v>
      </c>
      <c r="E84" s="3113">
        <v>0.1</v>
      </c>
      <c r="F84" s="3113">
        <v>15</v>
      </c>
    </row>
    <row r="85" spans="1:6" ht="13.5">
      <c r="A85" s="3113">
        <v>13</v>
      </c>
      <c r="B85" s="3962"/>
      <c r="C85" s="3087" t="s">
        <v>2675</v>
      </c>
      <c r="D85" s="3087" t="s">
        <v>2676</v>
      </c>
      <c r="E85" s="3113">
        <v>0.1</v>
      </c>
      <c r="F85" s="3113">
        <v>15</v>
      </c>
    </row>
    <row r="86" spans="1:6" ht="13.5">
      <c r="A86" s="3113">
        <v>14</v>
      </c>
      <c r="B86" s="3962"/>
      <c r="C86" s="3087" t="s">
        <v>2677</v>
      </c>
      <c r="D86" s="3087" t="s">
        <v>2678</v>
      </c>
      <c r="E86" s="3113">
        <v>0.1</v>
      </c>
      <c r="F86" s="3113">
        <v>15</v>
      </c>
    </row>
    <row r="87" spans="1:6" ht="13.5">
      <c r="A87" s="3113">
        <v>15</v>
      </c>
      <c r="B87" s="3962"/>
      <c r="C87" s="3087" t="s">
        <v>2679</v>
      </c>
      <c r="D87" s="3087" t="s">
        <v>2680</v>
      </c>
      <c r="E87" s="3113">
        <v>0.1</v>
      </c>
      <c r="F87" s="3113">
        <v>15</v>
      </c>
    </row>
    <row r="88" spans="1:6" ht="24">
      <c r="A88" s="3113">
        <v>16</v>
      </c>
      <c r="B88" s="3962"/>
      <c r="C88" s="3087" t="s">
        <v>2681</v>
      </c>
      <c r="D88" s="3087" t="s">
        <v>2682</v>
      </c>
      <c r="E88" s="3113">
        <v>0.1</v>
      </c>
      <c r="F88" s="3113">
        <v>15</v>
      </c>
    </row>
    <row r="89" spans="1:6" ht="24">
      <c r="A89" s="3113">
        <v>17</v>
      </c>
      <c r="B89" s="3961"/>
      <c r="C89" s="3087" t="s">
        <v>2683</v>
      </c>
      <c r="D89" s="3087" t="s">
        <v>2684</v>
      </c>
      <c r="E89" s="3113">
        <v>0.1</v>
      </c>
      <c r="F89" s="3113">
        <v>15</v>
      </c>
    </row>
    <row r="90" spans="1:6" ht="13.5">
      <c r="A90" s="3113">
        <v>18</v>
      </c>
      <c r="B90" s="3960" t="s">
        <v>2685</v>
      </c>
      <c r="C90" s="3087" t="s">
        <v>2686</v>
      </c>
      <c r="D90" s="3087" t="s">
        <v>2687</v>
      </c>
      <c r="E90" s="3113">
        <v>0.2</v>
      </c>
      <c r="F90" s="3113">
        <v>25</v>
      </c>
    </row>
    <row r="91" spans="1:6" ht="24">
      <c r="A91" s="3113">
        <v>19</v>
      </c>
      <c r="B91" s="3962"/>
      <c r="C91" s="3087" t="s">
        <v>2688</v>
      </c>
      <c r="D91" s="3087" t="s">
        <v>2689</v>
      </c>
      <c r="E91" s="3113">
        <v>0.2</v>
      </c>
      <c r="F91" s="3113">
        <v>25</v>
      </c>
    </row>
    <row r="92" spans="1:6" ht="13.5">
      <c r="A92" s="3113">
        <v>20</v>
      </c>
      <c r="B92" s="3962"/>
      <c r="C92" s="3087" t="s">
        <v>2690</v>
      </c>
      <c r="D92" s="3087" t="s">
        <v>2691</v>
      </c>
      <c r="E92" s="3113">
        <v>0.15</v>
      </c>
      <c r="F92" s="3113">
        <v>20</v>
      </c>
    </row>
    <row r="93" spans="1:6" ht="13.5">
      <c r="A93" s="3113">
        <v>21</v>
      </c>
      <c r="B93" s="3962"/>
      <c r="C93" s="3087" t="s">
        <v>2692</v>
      </c>
      <c r="D93" s="3087" t="s">
        <v>2693</v>
      </c>
      <c r="E93" s="3113">
        <v>0.15</v>
      </c>
      <c r="F93" s="3113">
        <v>20</v>
      </c>
    </row>
    <row r="94" spans="1:6" ht="13.5">
      <c r="A94" s="3113">
        <v>22</v>
      </c>
      <c r="B94" s="3962"/>
      <c r="C94" s="3087" t="s">
        <v>2694</v>
      </c>
      <c r="D94" s="3087" t="s">
        <v>2695</v>
      </c>
      <c r="E94" s="3113">
        <v>0.15</v>
      </c>
      <c r="F94" s="3113">
        <v>20</v>
      </c>
    </row>
    <row r="95" spans="1:6" ht="36">
      <c r="A95" s="3113">
        <v>23</v>
      </c>
      <c r="B95" s="3962"/>
      <c r="C95" s="3087" t="s">
        <v>2696</v>
      </c>
      <c r="D95" s="3087" t="s">
        <v>2697</v>
      </c>
      <c r="E95" s="3113">
        <v>0.15</v>
      </c>
      <c r="F95" s="3113">
        <v>20</v>
      </c>
    </row>
    <row r="96" spans="1:6" ht="13.5">
      <c r="A96" s="3113">
        <v>24</v>
      </c>
      <c r="B96" s="3962"/>
      <c r="C96" s="3087" t="s">
        <v>2698</v>
      </c>
      <c r="D96" s="3087" t="s">
        <v>2699</v>
      </c>
      <c r="E96" s="3113">
        <v>0.1</v>
      </c>
      <c r="F96" s="3113">
        <v>15</v>
      </c>
    </row>
    <row r="97" spans="1:6" ht="13.5">
      <c r="A97" s="3113">
        <v>25</v>
      </c>
      <c r="B97" s="3962"/>
      <c r="C97" s="3087" t="s">
        <v>2700</v>
      </c>
      <c r="D97" s="3087" t="s">
        <v>2701</v>
      </c>
      <c r="E97" s="3113">
        <v>0.1</v>
      </c>
      <c r="F97" s="3113">
        <v>15</v>
      </c>
    </row>
    <row r="98" spans="1:6" ht="24">
      <c r="A98" s="3113">
        <v>26</v>
      </c>
      <c r="B98" s="3962"/>
      <c r="C98" s="3087" t="s">
        <v>2702</v>
      </c>
      <c r="D98" s="3087" t="s">
        <v>2703</v>
      </c>
      <c r="E98" s="3113">
        <v>0.1</v>
      </c>
      <c r="F98" s="3113">
        <v>15</v>
      </c>
    </row>
    <row r="99" spans="1:6" ht="24">
      <c r="A99" s="3113">
        <v>27</v>
      </c>
      <c r="B99" s="3962"/>
      <c r="C99" s="3087" t="s">
        <v>2704</v>
      </c>
      <c r="D99" s="3087" t="s">
        <v>2705</v>
      </c>
      <c r="E99" s="3113">
        <v>0.1</v>
      </c>
      <c r="F99" s="3113">
        <v>15</v>
      </c>
    </row>
    <row r="100" spans="1:6" ht="13.5">
      <c r="A100" s="3113">
        <v>28</v>
      </c>
      <c r="B100" s="3962"/>
      <c r="C100" s="3087" t="s">
        <v>2706</v>
      </c>
      <c r="D100" s="3087" t="s">
        <v>2707</v>
      </c>
      <c r="E100" s="3113">
        <v>0.1</v>
      </c>
      <c r="F100" s="3113">
        <v>15</v>
      </c>
    </row>
    <row r="101" spans="1:6" ht="13.5">
      <c r="A101" s="3113">
        <v>29</v>
      </c>
      <c r="B101" s="3962"/>
      <c r="C101" s="3087" t="s">
        <v>2708</v>
      </c>
      <c r="D101" s="3087" t="s">
        <v>2709</v>
      </c>
      <c r="E101" s="3113">
        <v>0.1</v>
      </c>
      <c r="F101" s="3113">
        <v>15</v>
      </c>
    </row>
    <row r="102" spans="1:6" ht="13.5">
      <c r="A102" s="3113">
        <v>30</v>
      </c>
      <c r="B102" s="3962"/>
      <c r="C102" s="3087" t="s">
        <v>2710</v>
      </c>
      <c r="D102" s="3087" t="s">
        <v>2711</v>
      </c>
      <c r="E102" s="3113">
        <v>0.1</v>
      </c>
      <c r="F102" s="3113">
        <v>15</v>
      </c>
    </row>
    <row r="103" spans="1:6" ht="24">
      <c r="A103" s="3113">
        <v>31</v>
      </c>
      <c r="B103" s="3962"/>
      <c r="C103" s="3087" t="s">
        <v>2712</v>
      </c>
      <c r="D103" s="3087" t="s">
        <v>2713</v>
      </c>
      <c r="E103" s="3113">
        <v>0.1</v>
      </c>
      <c r="F103" s="3113">
        <v>15</v>
      </c>
    </row>
    <row r="104" spans="1:6" ht="24">
      <c r="A104" s="3113">
        <v>32</v>
      </c>
      <c r="B104" s="3962"/>
      <c r="C104" s="3087" t="s">
        <v>2714</v>
      </c>
      <c r="D104" s="3087" t="s">
        <v>2715</v>
      </c>
      <c r="E104" s="3113">
        <v>0.1</v>
      </c>
      <c r="F104" s="3113">
        <v>15</v>
      </c>
    </row>
    <row r="105" spans="1:6" ht="24">
      <c r="A105" s="3113">
        <v>33</v>
      </c>
      <c r="B105" s="3962"/>
      <c r="C105" s="3087" t="s">
        <v>2716</v>
      </c>
      <c r="D105" s="3087" t="s">
        <v>2717</v>
      </c>
      <c r="E105" s="3113">
        <v>0.1</v>
      </c>
      <c r="F105" s="3113">
        <v>15</v>
      </c>
    </row>
    <row r="106" spans="1:6" ht="24">
      <c r="A106" s="3113">
        <v>34</v>
      </c>
      <c r="B106" s="3961"/>
      <c r="C106" s="3087" t="s">
        <v>2718</v>
      </c>
      <c r="D106" s="3087" t="s">
        <v>2719</v>
      </c>
      <c r="E106" s="3113">
        <v>0.1</v>
      </c>
      <c r="F106" s="3113">
        <v>15</v>
      </c>
    </row>
    <row r="107" spans="1:6" ht="24">
      <c r="A107" s="3113">
        <v>35</v>
      </c>
      <c r="B107" s="3960" t="s">
        <v>2720</v>
      </c>
      <c r="C107" s="3113" t="s">
        <v>2721</v>
      </c>
      <c r="D107" s="3087" t="s">
        <v>2722</v>
      </c>
      <c r="E107" s="3113">
        <v>0.15</v>
      </c>
      <c r="F107" s="3113">
        <v>20</v>
      </c>
    </row>
    <row r="108" spans="1:6" ht="13.5">
      <c r="A108" s="3113">
        <v>36</v>
      </c>
      <c r="B108" s="3962"/>
      <c r="C108" s="3113" t="s">
        <v>2723</v>
      </c>
      <c r="D108" s="3087" t="s">
        <v>2724</v>
      </c>
      <c r="E108" s="3113">
        <v>0.15</v>
      </c>
      <c r="F108" s="3113">
        <v>20</v>
      </c>
    </row>
    <row r="109" spans="1:6" ht="13.5">
      <c r="A109" s="3113">
        <v>37</v>
      </c>
      <c r="B109" s="3962"/>
      <c r="C109" s="3113" t="s">
        <v>2725</v>
      </c>
      <c r="D109" s="3087" t="s">
        <v>2726</v>
      </c>
      <c r="E109" s="3113">
        <v>0.15</v>
      </c>
      <c r="F109" s="3113">
        <v>20</v>
      </c>
    </row>
    <row r="110" spans="1:6" ht="13.5">
      <c r="A110" s="3113">
        <v>38</v>
      </c>
      <c r="B110" s="3962"/>
      <c r="C110" s="3113" t="s">
        <v>2727</v>
      </c>
      <c r="D110" s="3087" t="s">
        <v>2728</v>
      </c>
      <c r="E110" s="3113">
        <v>0.1</v>
      </c>
      <c r="F110" s="3113">
        <v>15</v>
      </c>
    </row>
    <row r="111" spans="1:6" ht="24">
      <c r="A111" s="3113">
        <v>39</v>
      </c>
      <c r="B111" s="3962"/>
      <c r="C111" s="3113" t="s">
        <v>2729</v>
      </c>
      <c r="D111" s="3087" t="s">
        <v>2730</v>
      </c>
      <c r="E111" s="3113">
        <v>0.1</v>
      </c>
      <c r="F111" s="3113">
        <v>15</v>
      </c>
    </row>
    <row r="112" spans="1:6" ht="24">
      <c r="A112" s="3113">
        <v>40</v>
      </c>
      <c r="B112" s="3961"/>
      <c r="C112" s="3113" t="s">
        <v>2731</v>
      </c>
      <c r="D112" s="3087" t="s">
        <v>2732</v>
      </c>
      <c r="E112" s="3113">
        <v>0.1</v>
      </c>
      <c r="F112" s="3113">
        <v>15</v>
      </c>
    </row>
    <row r="113" spans="1:6" ht="13.5">
      <c r="A113" s="3113">
        <v>41</v>
      </c>
      <c r="B113" s="3959" t="s">
        <v>2733</v>
      </c>
      <c r="C113" s="3113" t="s">
        <v>2734</v>
      </c>
      <c r="D113" s="3087" t="s">
        <v>2735</v>
      </c>
      <c r="E113" s="3113">
        <v>0.1</v>
      </c>
      <c r="F113" s="3113">
        <v>15</v>
      </c>
    </row>
    <row r="114" spans="1:6" ht="13.5">
      <c r="A114" s="3113">
        <v>42</v>
      </c>
      <c r="B114" s="3959"/>
      <c r="C114" s="3113" t="s">
        <v>2736</v>
      </c>
      <c r="D114" s="3087" t="s">
        <v>2737</v>
      </c>
      <c r="E114" s="3113">
        <v>0.1</v>
      </c>
      <c r="F114" s="3113">
        <v>15</v>
      </c>
    </row>
    <row r="115" spans="1:6" ht="24">
      <c r="A115" s="3113">
        <v>43</v>
      </c>
      <c r="B115" s="3959"/>
      <c r="C115" s="3113" t="s">
        <v>2738</v>
      </c>
      <c r="D115" s="3087" t="s">
        <v>2739</v>
      </c>
      <c r="E115" s="3113">
        <v>0.1</v>
      </c>
      <c r="F115" s="3113">
        <v>15</v>
      </c>
    </row>
    <row r="116" spans="1:6" ht="13.5">
      <c r="A116" s="3113">
        <v>44</v>
      </c>
      <c r="B116" s="3960" t="s">
        <v>2740</v>
      </c>
      <c r="C116" s="3113" t="s">
        <v>2741</v>
      </c>
      <c r="D116" s="3087" t="s">
        <v>2742</v>
      </c>
      <c r="E116" s="3113">
        <v>0.1</v>
      </c>
      <c r="F116" s="3113">
        <v>15</v>
      </c>
    </row>
    <row r="117" spans="1:6" ht="24">
      <c r="A117" s="3113">
        <v>45</v>
      </c>
      <c r="B117" s="3961"/>
      <c r="C117" s="3087" t="s">
        <v>2743</v>
      </c>
      <c r="D117" s="3087" t="s">
        <v>2744</v>
      </c>
      <c r="E117" s="3113">
        <v>0.1</v>
      </c>
      <c r="F117" s="3113">
        <v>15</v>
      </c>
    </row>
    <row r="118" spans="1:6" ht="24">
      <c r="A118" s="3113">
        <v>46</v>
      </c>
      <c r="B118" s="3960" t="s">
        <v>2745</v>
      </c>
      <c r="C118" s="3113" t="s">
        <v>2746</v>
      </c>
      <c r="D118" s="3087" t="s">
        <v>2747</v>
      </c>
      <c r="E118" s="3113">
        <v>0.1</v>
      </c>
      <c r="F118" s="3113">
        <v>15</v>
      </c>
    </row>
    <row r="119" spans="1:6" ht="24">
      <c r="A119" s="3113">
        <v>47</v>
      </c>
      <c r="B119" s="3961"/>
      <c r="C119" s="3113" t="s">
        <v>2748</v>
      </c>
      <c r="D119" s="3087" t="s">
        <v>2749</v>
      </c>
      <c r="E119" s="3113">
        <v>0.1</v>
      </c>
      <c r="F119" s="3113">
        <v>15</v>
      </c>
    </row>
    <row r="120" spans="1:6" ht="13.5">
      <c r="A120" s="3113">
        <v>48</v>
      </c>
      <c r="B120" s="3960" t="s">
        <v>2750</v>
      </c>
      <c r="C120" s="3113" t="s">
        <v>2751</v>
      </c>
      <c r="D120" s="3087" t="s">
        <v>2752</v>
      </c>
      <c r="E120" s="3113">
        <v>0.1</v>
      </c>
      <c r="F120" s="3113">
        <v>15</v>
      </c>
    </row>
    <row r="121" spans="1:6" ht="13.5">
      <c r="A121" s="3113">
        <v>49</v>
      </c>
      <c r="B121" s="3961"/>
      <c r="C121" s="3113" t="s">
        <v>2753</v>
      </c>
      <c r="D121" s="3087" t="s">
        <v>2754</v>
      </c>
      <c r="E121" s="3113">
        <v>0.1</v>
      </c>
      <c r="F121" s="3113">
        <v>15</v>
      </c>
    </row>
    <row r="122" spans="1:6" ht="24">
      <c r="A122" s="3113">
        <v>50</v>
      </c>
      <c r="B122" s="3959" t="s">
        <v>2755</v>
      </c>
      <c r="C122" s="3113" t="s">
        <v>2756</v>
      </c>
      <c r="D122" s="3087" t="s">
        <v>2757</v>
      </c>
      <c r="E122" s="3113">
        <v>0.1</v>
      </c>
      <c r="F122" s="3113">
        <v>15</v>
      </c>
    </row>
    <row r="123" spans="1:6" ht="24">
      <c r="A123" s="3113">
        <v>51</v>
      </c>
      <c r="B123" s="3959"/>
      <c r="C123" s="3113" t="s">
        <v>2758</v>
      </c>
      <c r="D123" s="3087" t="s">
        <v>2759</v>
      </c>
      <c r="E123" s="3113">
        <v>0.1</v>
      </c>
      <c r="F123" s="3113">
        <v>15</v>
      </c>
    </row>
    <row r="124" spans="1:6" ht="24">
      <c r="A124" s="3113">
        <v>52</v>
      </c>
      <c r="B124" s="3959" t="s">
        <v>2760</v>
      </c>
      <c r="C124" s="3113" t="s">
        <v>2761</v>
      </c>
      <c r="D124" s="3087" t="s">
        <v>2762</v>
      </c>
      <c r="E124" s="3113">
        <v>0.1</v>
      </c>
      <c r="F124" s="3113">
        <v>15</v>
      </c>
    </row>
    <row r="125" spans="1:6" ht="24">
      <c r="A125" s="3113">
        <v>53</v>
      </c>
      <c r="B125" s="3959"/>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959" t="s">
        <v>2768</v>
      </c>
      <c r="C127" s="3113" t="s">
        <v>2769</v>
      </c>
      <c r="D127" s="3087" t="s">
        <v>2770</v>
      </c>
      <c r="E127" s="3113">
        <v>0.1</v>
      </c>
      <c r="F127" s="3113">
        <v>15</v>
      </c>
    </row>
    <row r="128" spans="1:6" ht="13.5">
      <c r="A128" s="3113">
        <v>56</v>
      </c>
      <c r="B128" s="3959"/>
      <c r="C128" s="3113" t="s">
        <v>2771</v>
      </c>
      <c r="D128" s="3087" t="s">
        <v>2772</v>
      </c>
      <c r="E128" s="3113">
        <v>0.1</v>
      </c>
      <c r="F128" s="3113">
        <v>15</v>
      </c>
    </row>
    <row r="129" spans="1:6" ht="24">
      <c r="A129" s="3113">
        <v>57</v>
      </c>
      <c r="B129" s="3959"/>
      <c r="C129" s="3113" t="s">
        <v>2773</v>
      </c>
      <c r="D129" s="3087" t="s">
        <v>2774</v>
      </c>
      <c r="E129" s="3113">
        <v>0.1</v>
      </c>
      <c r="F129" s="3113">
        <v>15</v>
      </c>
    </row>
    <row r="130" spans="1:6" ht="24">
      <c r="A130" s="3113">
        <v>58</v>
      </c>
      <c r="B130" s="3959" t="s">
        <v>2775</v>
      </c>
      <c r="C130" s="3113" t="s">
        <v>2776</v>
      </c>
      <c r="D130" s="3087" t="s">
        <v>2777</v>
      </c>
      <c r="E130" s="3113">
        <v>0.1</v>
      </c>
      <c r="F130" s="3113">
        <v>15</v>
      </c>
    </row>
    <row r="131" spans="1:6" ht="13.5">
      <c r="A131" s="3113">
        <v>59</v>
      </c>
      <c r="B131" s="3959"/>
      <c r="C131" s="3113" t="s">
        <v>2778</v>
      </c>
      <c r="D131" s="3087" t="s">
        <v>2779</v>
      </c>
      <c r="E131" s="3113">
        <v>0.1</v>
      </c>
      <c r="F131" s="3113">
        <v>15</v>
      </c>
    </row>
    <row r="132" spans="1:6" ht="13.5">
      <c r="A132" s="3113">
        <v>60</v>
      </c>
      <c r="B132" s="3960" t="s">
        <v>2780</v>
      </c>
      <c r="C132" s="3113" t="s">
        <v>2781</v>
      </c>
      <c r="D132" s="3087" t="s">
        <v>2782</v>
      </c>
      <c r="E132" s="3113">
        <v>0.1</v>
      </c>
      <c r="F132" s="3113">
        <v>15</v>
      </c>
    </row>
    <row r="133" spans="1:6" ht="13.5">
      <c r="A133" s="3113">
        <v>61</v>
      </c>
      <c r="B133" s="3961"/>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959" t="s">
        <v>2788</v>
      </c>
      <c r="C135" s="3113" t="s">
        <v>2789</v>
      </c>
      <c r="D135" s="3087" t="s">
        <v>2790</v>
      </c>
      <c r="E135" s="3113">
        <v>0.1</v>
      </c>
      <c r="F135" s="3113">
        <v>15</v>
      </c>
    </row>
    <row r="136" spans="1:6" ht="13.5">
      <c r="A136" s="3113">
        <v>64</v>
      </c>
      <c r="B136" s="3959"/>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SUMPRODUCT((A95:A184=ROUNDDOWN('基准地价修正-商业'!G3,1))*(B94:M94='基准地价修正-商业'!G2)*(B95:M184))</f>
        <v>1</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SUMPRODUCT((A371:A460=ROUNDDOWN('基准地价修正-商业'!G3,1))*(B370:M370='基准地价修正-商业'!G2)*(B371:M460))</f>
        <v>0.95120000000000005</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34789</v>
      </c>
      <c r="C2" s="2" t="s">
        <v>106</v>
      </c>
      <c r="D2" s="199"/>
      <c r="E2" s="199"/>
      <c r="F2" s="199"/>
      <c r="G2" s="199"/>
    </row>
    <row r="3" spans="1:7" s="200" customFormat="1" ht="18" customHeight="1" thickBot="1">
      <c r="A3" s="203" t="s">
        <v>58</v>
      </c>
      <c r="B3" s="204">
        <f ca="1">ROUND(B2*10000/'数据-汇总表'!E3,0)</f>
        <v>58180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120</v>
      </c>
      <c r="D10" s="842">
        <f>'数据-汇总表'!E6</f>
        <v>5979.5300000000007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120</v>
      </c>
      <c r="D19" s="846">
        <f>'数据-汇总表'!E3</f>
        <v>5979.5300000000007</v>
      </c>
      <c r="E19" s="211">
        <f>'数据-取费表'!B31</f>
        <v>200</v>
      </c>
      <c r="F19" s="231"/>
      <c r="G19" s="1" t="s">
        <v>436</v>
      </c>
    </row>
    <row r="20" spans="1:7" s="214" customFormat="1" ht="13.5" customHeight="1">
      <c r="A20" s="774" t="s">
        <v>419</v>
      </c>
      <c r="B20" s="210" t="s">
        <v>77</v>
      </c>
      <c r="C20" s="232">
        <f>ROUND((C5+C19)*F20,0)</f>
        <v>622</v>
      </c>
      <c r="D20" s="232"/>
      <c r="E20" s="232"/>
      <c r="F20" s="233">
        <f>'数据-取费表'!B37</f>
        <v>0.03</v>
      </c>
      <c r="G20" s="1064" t="s">
        <v>430</v>
      </c>
    </row>
    <row r="21" spans="1:7" s="214" customFormat="1" ht="13.5" customHeight="1">
      <c r="A21" s="774" t="s">
        <v>421</v>
      </c>
      <c r="B21" s="210" t="s">
        <v>78</v>
      </c>
      <c r="C21" s="235">
        <f>F21</f>
        <v>0.03</v>
      </c>
      <c r="D21" s="236" t="s">
        <v>99</v>
      </c>
      <c r="E21" s="232"/>
      <c r="F21" s="233">
        <f>'数据-取费表'!B38</f>
        <v>0.03</v>
      </c>
      <c r="G21" s="234" t="s">
        <v>79</v>
      </c>
    </row>
    <row r="22" spans="1:7" s="214" customFormat="1" ht="13.5" customHeight="1">
      <c r="A22" s="774" t="s">
        <v>341</v>
      </c>
      <c r="B22" s="210" t="s">
        <v>80</v>
      </c>
      <c r="C22" s="1101">
        <f ca="1">ROUND(SUM(C23:C25),0)</f>
        <v>2253</v>
      </c>
      <c r="D22" s="235">
        <f ca="1">C26</f>
        <v>1.6000000000000001E-3</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2208</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13</v>
      </c>
      <c r="D24" s="238"/>
      <c r="E24" s="238"/>
      <c r="F24" s="239"/>
      <c r="G24" s="240" t="s">
        <v>82</v>
      </c>
    </row>
    <row r="25" spans="1:7" s="214" customFormat="1" ht="24">
      <c r="A25" s="777" t="s">
        <v>348</v>
      </c>
      <c r="B25" s="215" t="s">
        <v>420</v>
      </c>
      <c r="C25" s="1102">
        <f ca="1">ROUND(IF('数据-取费表'!B22&lt;=1,C20*F22*'数据-取费表'!B23/2,C20*(POWER((1+F22),'数据-取费表'!B23/2)-1)),0)</f>
        <v>32</v>
      </c>
      <c r="D25" s="238"/>
      <c r="E25" s="241"/>
      <c r="F25" s="239"/>
      <c r="G25" s="242" t="s">
        <v>83</v>
      </c>
    </row>
    <row r="26" spans="1:7" s="214" customFormat="1">
      <c r="A26" s="777" t="s">
        <v>350</v>
      </c>
      <c r="B26" s="215" t="s">
        <v>422</v>
      </c>
      <c r="C26" s="238">
        <f ca="1">ROUND(IF('数据-取费表'!B22&lt;=1,F21*F22*'数据-取费表'!B23/2,F21*(POWER((1+F22),'数据-取费表'!B23/2)-1)),4)</f>
        <v>1.6000000000000001E-3</v>
      </c>
      <c r="D26" s="238"/>
      <c r="E26" s="241"/>
      <c r="F26" s="239"/>
      <c r="G26" s="243"/>
    </row>
    <row r="27" spans="1:7" s="214" customFormat="1" ht="24.75">
      <c r="A27" s="774" t="s">
        <v>342</v>
      </c>
      <c r="B27" s="244" t="s">
        <v>85</v>
      </c>
      <c r="C27" s="245">
        <f>C28</f>
        <v>4270</v>
      </c>
      <c r="D27" s="235">
        <f>C29</f>
        <v>6.0000000000000001E-3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4270</v>
      </c>
      <c r="D28" s="235"/>
      <c r="E28" s="236"/>
      <c r="F28" s="246"/>
      <c r="G28" s="247"/>
    </row>
    <row r="29" spans="1:7" s="214" customFormat="1" ht="13.5" customHeight="1">
      <c r="A29" s="777" t="s">
        <v>347</v>
      </c>
      <c r="B29" s="248" t="s">
        <v>425</v>
      </c>
      <c r="C29" s="238">
        <f>ROUND(C21*F27*'数据-取费表'!B21/'数据-取费表'!B20,4)</f>
        <v>6.0000000000000001E-3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3305</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2990</v>
      </c>
      <c r="D34" s="217"/>
      <c r="E34" s="220"/>
      <c r="F34" s="257">
        <f>IF('数据-取费表'!B24=0,1,'数据-取费表'!N16)</f>
        <v>1</v>
      </c>
      <c r="G34" s="219" t="s">
        <v>89</v>
      </c>
    </row>
    <row r="35" spans="1:7" ht="13.5" customHeight="1">
      <c r="A35" s="777" t="s">
        <v>351</v>
      </c>
      <c r="B35" s="215" t="s">
        <v>33</v>
      </c>
      <c r="C35" s="220">
        <f>ROUND(C34*F35,0)</f>
        <v>150</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120</v>
      </c>
      <c r="D37" s="217">
        <f>'数据-汇总表'!E3</f>
        <v>5979.5300000000007</v>
      </c>
      <c r="E37" s="249">
        <f>'数据-取费表'!B35</f>
        <v>200</v>
      </c>
      <c r="F37" s="259"/>
      <c r="G37" s="261" t="s">
        <v>92</v>
      </c>
    </row>
    <row r="38" spans="1:7" ht="13.5" customHeight="1">
      <c r="A38" s="777" t="s">
        <v>354</v>
      </c>
      <c r="B38" s="215" t="s">
        <v>36</v>
      </c>
      <c r="C38" s="220">
        <f>ROUND(C34*F38,0)</f>
        <v>45</v>
      </c>
      <c r="D38" s="220"/>
      <c r="E38" s="220"/>
      <c r="F38" s="259">
        <f>'数据-取费表'!B36</f>
        <v>1.4999999999999999E-2</v>
      </c>
      <c r="G38" s="219" t="s">
        <v>90</v>
      </c>
    </row>
    <row r="39" spans="1:7" s="214" customFormat="1" ht="13.5" customHeight="1">
      <c r="A39" s="774" t="s">
        <v>338</v>
      </c>
      <c r="B39" s="210" t="s">
        <v>77</v>
      </c>
      <c r="C39" s="232">
        <f>ROUND(C33*F20,0)</f>
        <v>99</v>
      </c>
      <c r="D39" s="232"/>
      <c r="E39" s="232"/>
      <c r="F39" s="233"/>
      <c r="G39" s="1064" t="s">
        <v>433</v>
      </c>
    </row>
    <row r="40" spans="1:7" s="214" customFormat="1" ht="13.5" customHeight="1">
      <c r="A40" s="774" t="s">
        <v>339</v>
      </c>
      <c r="B40" s="210" t="s">
        <v>78</v>
      </c>
      <c r="C40" s="262">
        <f>F21</f>
        <v>0.03</v>
      </c>
      <c r="D40" s="236" t="s">
        <v>102</v>
      </c>
      <c r="E40" s="232"/>
      <c r="F40" s="233"/>
      <c r="G40" s="234" t="s">
        <v>93</v>
      </c>
    </row>
    <row r="41" spans="1:7" s="214" customFormat="1" ht="13.5" customHeight="1">
      <c r="A41" s="774" t="s">
        <v>340</v>
      </c>
      <c r="B41" s="210" t="s">
        <v>80</v>
      </c>
      <c r="C41" s="232">
        <f ca="1">ROUND(SUM(C42:C43),0)</f>
        <v>178</v>
      </c>
      <c r="D41" s="235">
        <f ca="1">C44</f>
        <v>1.6000000000000001E-3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173</v>
      </c>
      <c r="D42" s="238"/>
      <c r="E42" s="238"/>
      <c r="F42" s="239"/>
      <c r="G42" s="3854" t="s">
        <v>94</v>
      </c>
    </row>
    <row r="43" spans="1:7" ht="13.5" customHeight="1">
      <c r="A43" s="777" t="s">
        <v>347</v>
      </c>
      <c r="B43" s="215" t="s">
        <v>426</v>
      </c>
      <c r="C43" s="238">
        <f ca="1">ROUND(IF('数据-取费表'!B22&lt;=1,C39*F22*'数据-取费表'!B21/2,C39*(POWER((1+F22),'数据-取费表'!B21/2)-1)),0)</f>
        <v>5</v>
      </c>
      <c r="D43" s="238"/>
      <c r="E43" s="238"/>
      <c r="F43" s="239"/>
      <c r="G43" s="3855"/>
    </row>
    <row r="44" spans="1:7" ht="13.5" customHeight="1">
      <c r="A44" s="777" t="s">
        <v>348</v>
      </c>
      <c r="B44" s="215" t="s">
        <v>428</v>
      </c>
      <c r="C44" s="238">
        <f ca="1">ROUND(IF('数据-取费表'!B22&lt;=1,C40*F22*'数据-取费表'!B21/2,C40*(POWER((1+F22),'数据-取费表'!B21/2)-1)),4)</f>
        <v>1.6000000000000001E-3</v>
      </c>
      <c r="D44" s="238"/>
      <c r="E44" s="238"/>
      <c r="F44" s="239"/>
      <c r="G44" s="3856"/>
    </row>
    <row r="45" spans="1:7" s="214" customFormat="1" ht="13.5" customHeight="1">
      <c r="A45" s="774" t="s">
        <v>341</v>
      </c>
      <c r="B45" s="244" t="s">
        <v>85</v>
      </c>
      <c r="C45" s="245">
        <f>C46</f>
        <v>681</v>
      </c>
      <c r="D45" s="235">
        <f>C47</f>
        <v>6.0000000000000001E-3</v>
      </c>
      <c r="E45" s="236" t="s">
        <v>102</v>
      </c>
      <c r="F45" s="246"/>
      <c r="G45" s="247" t="s">
        <v>434</v>
      </c>
    </row>
    <row r="46" spans="1:7" s="214" customFormat="1" ht="13.5" customHeight="1">
      <c r="A46" s="777" t="s">
        <v>349</v>
      </c>
      <c r="B46" s="248" t="s">
        <v>427</v>
      </c>
      <c r="C46" s="249">
        <f>ROUND((C33+C39)*F27,0)</f>
        <v>681</v>
      </c>
      <c r="D46" s="263"/>
      <c r="E46" s="236"/>
      <c r="F46" s="246"/>
      <c r="G46" s="247"/>
    </row>
    <row r="47" spans="1:7" s="214" customFormat="1" ht="13.5" customHeight="1">
      <c r="A47" s="777" t="s">
        <v>347</v>
      </c>
      <c r="B47" s="248" t="s">
        <v>429</v>
      </c>
      <c r="C47" s="238">
        <f>ROUND(C40*F27,4)</f>
        <v>6.0000000000000001E-3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4689</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4126</v>
      </c>
      <c r="D51" s="232"/>
      <c r="E51" s="232"/>
      <c r="F51" s="264"/>
      <c r="G51" s="234" t="s">
        <v>37</v>
      </c>
    </row>
    <row r="52" spans="1:7" s="208" customFormat="1" ht="16.5" thickBot="1">
      <c r="A52" s="265" t="s">
        <v>38</v>
      </c>
      <c r="B52" s="266"/>
      <c r="C52" s="267">
        <f ca="1">C31+C51</f>
        <v>34789</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63" t="str">
        <f>IF(项目基本情况!B9="房地产市场价值","估价结果一览表","结果表-2")</f>
        <v>结果表-2</v>
      </c>
      <c r="B1" s="3663"/>
      <c r="C1" s="3663"/>
      <c r="D1" s="3663"/>
      <c r="E1" s="3663"/>
      <c r="F1" s="3663"/>
      <c r="G1" s="3663"/>
      <c r="H1" s="3663"/>
      <c r="I1" s="3663"/>
    </row>
    <row r="2" spans="1:9" ht="30" customHeight="1" thickTop="1">
      <c r="A2" s="3664" t="s">
        <v>926</v>
      </c>
      <c r="B2" s="3664" t="s">
        <v>927</v>
      </c>
      <c r="C2" s="3664" t="s">
        <v>928</v>
      </c>
      <c r="D2" s="3664" t="str">
        <f>'结果表-负2层'!D116</f>
        <v>出让国有建设用地使用权价值</v>
      </c>
      <c r="E2" s="3664"/>
      <c r="F2" s="3664" t="str">
        <f>'结果表-负2层'!F116</f>
        <v>建筑物价值</v>
      </c>
      <c r="G2" s="3664"/>
      <c r="H2" s="3664" t="str">
        <f>IF(项目基本情况!B9="房地产市场价值","房地产市场价值","房地产价值")</f>
        <v>房地产价值</v>
      </c>
      <c r="I2" s="3664"/>
    </row>
    <row r="3" spans="1:9" ht="15">
      <c r="A3" s="3659"/>
      <c r="B3" s="3659"/>
      <c r="C3" s="3659"/>
      <c r="D3" s="851" t="s">
        <v>923</v>
      </c>
      <c r="E3" s="851" t="s">
        <v>929</v>
      </c>
      <c r="F3" s="851" t="s">
        <v>923</v>
      </c>
      <c r="G3" s="851" t="s">
        <v>924</v>
      </c>
      <c r="H3" s="851" t="s">
        <v>923</v>
      </c>
      <c r="I3" s="851" t="s">
        <v>924</v>
      </c>
    </row>
    <row r="4" spans="1:9" ht="45">
      <c r="A4" s="1502" t="str">
        <f>项目基本情况!S2</f>
        <v>北京市朝阳区清林东路4号6号楼负2层B202、负3层B302商业用房房地产</v>
      </c>
      <c r="B4" s="851">
        <f>项目基本情况!C17</f>
        <v>5979.5300000000007</v>
      </c>
      <c r="C4" s="851">
        <f>项目基本情况!C18</f>
        <v>755.66</v>
      </c>
      <c r="D4" s="851">
        <f ca="1">'结果表-负2层'!D118</f>
        <v>2183</v>
      </c>
      <c r="E4" s="851">
        <f ca="1">'结果表-负2层'!E118</f>
        <v>7653</v>
      </c>
      <c r="F4" s="851">
        <f ca="1">'结果表-负2层'!F118</f>
        <v>2228</v>
      </c>
      <c r="G4" s="851">
        <f ca="1">'结果表-负2层'!G118</f>
        <v>7811</v>
      </c>
      <c r="H4" s="851">
        <f ca="1">'结果表-负2层'!H118</f>
        <v>4411</v>
      </c>
      <c r="I4" s="851">
        <f ca="1">'结果表-负2层'!I118</f>
        <v>15464</v>
      </c>
    </row>
    <row r="5" spans="1:9" ht="30" customHeight="1">
      <c r="A5" s="3659" t="s">
        <v>925</v>
      </c>
      <c r="B5" s="3659"/>
      <c r="C5" s="3659"/>
      <c r="D5" s="3659" t="str">
        <f ca="1">'结果表-负2层'!D119</f>
        <v>贰仟壹佰捌拾叁万元整</v>
      </c>
      <c r="E5" s="3659"/>
      <c r="F5" s="3659" t="str">
        <f ca="1">'结果表-负2层'!F119</f>
        <v>贰仟贰佰贰拾捌万元整</v>
      </c>
      <c r="G5" s="3659"/>
      <c r="H5" s="3659" t="str">
        <f ca="1">'结果表-负2层'!H119</f>
        <v>肆仟肆佰壹拾壹万元整</v>
      </c>
      <c r="I5" s="3659"/>
    </row>
    <row r="6" spans="1:9" ht="15.75">
      <c r="A6" s="3658" t="str">
        <f>'结果表-负2层'!A120</f>
        <v>估价师知悉的法定优先受偿款</v>
      </c>
      <c r="B6" s="3658"/>
      <c r="C6" s="3658"/>
      <c r="D6" s="3658">
        <f>'结果表-负2层'!D120</f>
        <v>0</v>
      </c>
      <c r="E6" s="3658"/>
      <c r="F6" s="3658"/>
      <c r="G6" s="3658"/>
      <c r="H6" s="3658"/>
      <c r="I6" s="3658"/>
    </row>
    <row r="7" spans="1:9" ht="15">
      <c r="A7" s="3659" t="s">
        <v>925</v>
      </c>
      <c r="B7" s="3659"/>
      <c r="C7" s="3659"/>
      <c r="D7" s="3660" t="str">
        <f>'结果表-负2层'!D121</f>
        <v>零元整</v>
      </c>
      <c r="E7" s="3661"/>
      <c r="F7" s="3661"/>
      <c r="G7" s="3661"/>
      <c r="H7" s="3661"/>
      <c r="I7" s="3662"/>
    </row>
    <row r="8" spans="1:9" ht="15.75">
      <c r="A8" s="3658" t="str">
        <f>'结果表-负2层'!A122</f>
        <v>房地产抵押价值</v>
      </c>
      <c r="B8" s="3658"/>
      <c r="C8" s="3658"/>
      <c r="D8" s="3658">
        <f ca="1">'结果表-负2层'!D122</f>
        <v>4411</v>
      </c>
      <c r="E8" s="3658"/>
      <c r="F8" s="3658"/>
      <c r="G8" s="3658"/>
      <c r="H8" s="3658"/>
      <c r="I8" s="3658"/>
    </row>
    <row r="9" spans="1:9" ht="15">
      <c r="A9" s="3659" t="s">
        <v>925</v>
      </c>
      <c r="B9" s="3659"/>
      <c r="C9" s="3659"/>
      <c r="D9" s="3659" t="str">
        <f ca="1">'结果表-负2层'!D123</f>
        <v>肆仟肆佰壹拾壹万元整</v>
      </c>
      <c r="E9" s="3659"/>
      <c r="F9" s="3659"/>
      <c r="G9" s="3659"/>
      <c r="H9" s="3659"/>
      <c r="I9" s="3659"/>
    </row>
    <row r="10" spans="1:9" ht="15.75">
      <c r="A10" s="3658" t="str">
        <f>'结果表-负2层'!A124</f>
        <v/>
      </c>
      <c r="B10" s="3658"/>
      <c r="C10" s="3658"/>
      <c r="D10" s="3658" t="str">
        <f>'结果表-负2层'!D124</f>
        <v>——</v>
      </c>
      <c r="E10" s="3658"/>
      <c r="F10" s="3658"/>
      <c r="G10" s="3658"/>
      <c r="H10" s="3658"/>
      <c r="I10" s="3658"/>
    </row>
    <row r="11" spans="1:9" ht="15">
      <c r="A11" s="3659" t="s">
        <v>925</v>
      </c>
      <c r="B11" s="3659"/>
      <c r="C11" s="3659"/>
      <c r="D11" s="3659" t="e">
        <f>'结果表-负2层'!D125</f>
        <v>#VALUE!</v>
      </c>
      <c r="E11" s="3659"/>
      <c r="F11" s="3659"/>
      <c r="G11" s="3659"/>
      <c r="H11" s="3659"/>
      <c r="I11" s="3659"/>
    </row>
    <row r="12" spans="1:9" ht="15.75">
      <c r="A12" s="3658" t="str">
        <f>'结果表-负2层'!A126</f>
        <v/>
      </c>
      <c r="B12" s="3658"/>
      <c r="C12" s="3658"/>
      <c r="D12" s="3658" t="str">
        <f>'结果表-负2层'!D126</f>
        <v>——</v>
      </c>
      <c r="E12" s="3658"/>
      <c r="F12" s="3658"/>
      <c r="G12" s="3658"/>
      <c r="H12" s="3658"/>
      <c r="I12" s="3658"/>
    </row>
    <row r="13" spans="1:9" ht="15.75" thickBot="1">
      <c r="A13" s="3656" t="s">
        <v>925</v>
      </c>
      <c r="B13" s="3656"/>
      <c r="C13" s="3656"/>
      <c r="D13" s="3656" t="e">
        <f>'结果表-负2层'!D127</f>
        <v>#VALUE!</v>
      </c>
      <c r="E13" s="3656"/>
      <c r="F13" s="3656"/>
      <c r="G13" s="3656"/>
      <c r="H13" s="3656"/>
      <c r="I13" s="3656"/>
    </row>
    <row r="14" spans="1:9" ht="15" thickTop="1">
      <c r="A14" s="3657" t="s">
        <v>930</v>
      </c>
      <c r="B14" s="3657"/>
      <c r="C14" s="3657"/>
      <c r="D14" s="3657"/>
      <c r="E14" s="3657"/>
      <c r="F14" s="3657"/>
      <c r="G14" s="3657"/>
      <c r="H14" s="3657"/>
      <c r="I14" s="3657"/>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73" t="s">
        <v>2840</v>
      </c>
      <c r="B1" s="3973"/>
      <c r="C1" s="3973"/>
      <c r="D1" s="3973"/>
      <c r="E1" s="3973"/>
      <c r="F1" s="3973"/>
      <c r="G1" s="3974"/>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971"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972"/>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5" t="s">
        <v>3182</v>
      </c>
      <c r="B1" s="3975"/>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976" t="s">
        <v>3233</v>
      </c>
      <c r="B1" s="3976"/>
      <c r="C1" s="3976"/>
      <c r="D1" s="3976"/>
      <c r="E1" s="3976"/>
      <c r="F1" s="3977"/>
    </row>
    <row r="2" spans="1:6">
      <c r="A2" s="3286" t="s">
        <v>3234</v>
      </c>
      <c r="B2" s="3287"/>
      <c r="C2" s="3287"/>
      <c r="D2" s="3287"/>
      <c r="E2" s="3287"/>
      <c r="F2" s="3287"/>
    </row>
    <row r="3" spans="1:6">
      <c r="A3" s="3286" t="s">
        <v>3235</v>
      </c>
      <c r="B3" s="3287"/>
      <c r="C3" s="3287"/>
      <c r="D3" s="3287"/>
      <c r="E3" s="3287"/>
      <c r="F3" s="3288" t="s">
        <v>3236</v>
      </c>
    </row>
    <row r="4" spans="1:6">
      <c r="A4" s="3289" t="s">
        <v>670</v>
      </c>
      <c r="B4" s="3289" t="s">
        <v>671</v>
      </c>
      <c r="C4" s="3289" t="s">
        <v>21</v>
      </c>
      <c r="D4" s="3289" t="s">
        <v>672</v>
      </c>
      <c r="E4" s="3289" t="s">
        <v>3</v>
      </c>
      <c r="F4" s="3289" t="s">
        <v>3237</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6">
        <f>'基准地价修正-商业'!G23</f>
        <v>45189</v>
      </c>
      <c r="B1" s="3205" t="s">
        <v>2839</v>
      </c>
      <c r="C1" s="3206"/>
      <c r="D1" s="3206"/>
      <c r="E1" s="3206"/>
      <c r="F1" s="3206"/>
      <c r="G1" s="3206"/>
      <c r="H1" s="3206"/>
      <c r="I1" s="3206"/>
      <c r="J1" s="3160"/>
      <c r="K1" s="3206" t="s">
        <v>454</v>
      </c>
      <c r="L1" s="3206"/>
      <c r="M1" s="3206"/>
      <c r="N1" s="3206"/>
      <c r="O1" s="3206"/>
      <c r="P1" s="3206"/>
      <c r="Q1" s="3160"/>
      <c r="R1" s="3978" t="s">
        <v>456</v>
      </c>
      <c r="S1" s="3979"/>
      <c r="T1" s="3979"/>
      <c r="U1" s="3979"/>
      <c r="V1" s="3979"/>
      <c r="W1" s="3979"/>
      <c r="X1" s="3160"/>
      <c r="Y1" s="3978" t="s">
        <v>457</v>
      </c>
      <c r="Z1" s="3979"/>
      <c r="AA1" s="3979"/>
      <c r="AB1" s="3979"/>
      <c r="AC1" s="3979"/>
      <c r="AD1" s="3979"/>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3368</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3369</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3373</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3372</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3370</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978" t="s">
        <v>2827</v>
      </c>
      <c r="S21" s="3979"/>
      <c r="T21" s="3979"/>
      <c r="U21" s="3979"/>
      <c r="V21" s="3979"/>
      <c r="W21" s="3979"/>
      <c r="X21" s="3160"/>
      <c r="Y21" s="3978" t="s">
        <v>2828</v>
      </c>
      <c r="Z21" s="3979"/>
      <c r="AA21" s="3979"/>
      <c r="AB21" s="3979"/>
      <c r="AC21" s="3979"/>
      <c r="AD21" s="3979"/>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3368</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3369</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3371</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3372</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3370</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85" t="s">
        <v>452</v>
      </c>
      <c r="C1" s="3985"/>
      <c r="D1" s="3985"/>
      <c r="E1" s="3985"/>
      <c r="F1" s="3985"/>
      <c r="G1" s="3984" t="s">
        <v>453</v>
      </c>
      <c r="H1" s="3984"/>
      <c r="I1" s="3984"/>
      <c r="J1" s="3984"/>
      <c r="K1" s="3984"/>
      <c r="L1" s="3984"/>
      <c r="N1" s="3984" t="s">
        <v>454</v>
      </c>
      <c r="O1" s="3984"/>
      <c r="P1" s="3984"/>
      <c r="Q1" s="3984"/>
      <c r="S1" s="3984" t="s">
        <v>455</v>
      </c>
      <c r="T1" s="3984"/>
      <c r="U1" s="3984"/>
      <c r="V1" s="3984"/>
      <c r="X1" s="3983" t="s">
        <v>456</v>
      </c>
      <c r="Y1" s="3984"/>
      <c r="Z1" s="3984"/>
      <c r="AA1" s="3984"/>
      <c r="AB1" s="3984"/>
      <c r="AD1" s="3983" t="s">
        <v>457</v>
      </c>
      <c r="AE1" s="3984"/>
      <c r="AF1" s="3984"/>
      <c r="AG1" s="3984"/>
      <c r="AH1" s="3984"/>
    </row>
    <row r="2" spans="1:34" s="2169" customFormat="1" ht="14.25" thickBot="1">
      <c r="B2" s="2170" t="s">
        <v>458</v>
      </c>
      <c r="C2" s="2170" t="s">
        <v>459</v>
      </c>
      <c r="D2" s="2171" t="s">
        <v>460</v>
      </c>
      <c r="E2" s="2171" t="s">
        <v>461</v>
      </c>
      <c r="F2" s="2170" t="s">
        <v>462</v>
      </c>
      <c r="G2" s="2172"/>
      <c r="I2" s="2170" t="s">
        <v>458</v>
      </c>
      <c r="J2" s="2171" t="s">
        <v>674</v>
      </c>
      <c r="K2" s="2171" t="s">
        <v>308</v>
      </c>
      <c r="L2" s="2170" t="s">
        <v>462</v>
      </c>
      <c r="N2" s="2170" t="s">
        <v>458</v>
      </c>
      <c r="O2" s="2171" t="s">
        <v>674</v>
      </c>
      <c r="P2" s="2171" t="s">
        <v>308</v>
      </c>
      <c r="Q2" s="2170" t="s">
        <v>462</v>
      </c>
      <c r="S2" s="2170" t="s">
        <v>458</v>
      </c>
      <c r="T2" s="2171" t="s">
        <v>674</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8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8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8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9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98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8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675</v>
      </c>
      <c r="B27" s="2203">
        <f t="shared" si="232"/>
        <v>419.31181600000002</v>
      </c>
      <c r="C27" s="2203">
        <f t="shared" si="233"/>
        <v>313.95436800000004</v>
      </c>
      <c r="D27" s="2203">
        <f t="shared" si="234"/>
        <v>313.95436800000004</v>
      </c>
      <c r="E27" s="2203">
        <f t="shared" si="235"/>
        <v>596.63028431999999</v>
      </c>
      <c r="F27" s="2203">
        <f t="shared" si="236"/>
        <v>274.74220703999998</v>
      </c>
      <c r="G27" s="398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9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8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8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8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8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8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8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8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8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8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8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8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8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8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8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8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8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8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8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8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8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8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8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8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8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8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8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8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8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8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8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8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8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8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8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8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8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8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8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8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8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8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8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8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8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8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8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8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8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8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8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8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8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8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8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8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8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8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8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8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8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45189</v>
      </c>
      <c r="D1" s="1299" t="s">
        <v>603</v>
      </c>
      <c r="E1" s="1294">
        <f>'数据-取费表'!B22</f>
        <v>3</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2308</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77" t="s">
        <v>3374</v>
      </c>
    </row>
  </sheetData>
  <phoneticPr fontId="134"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55" workbookViewId="0">
      <selection activeCell="A58" sqref="A58"/>
    </sheetView>
  </sheetViews>
  <sheetFormatPr defaultRowHeight="13.5"/>
  <sheetData>
    <row r="1" spans="1:1">
      <c r="A1" s="3477" t="s">
        <v>4196</v>
      </c>
    </row>
    <row r="34" spans="1:11">
      <c r="A34" s="3477" t="s">
        <v>4191</v>
      </c>
      <c r="B34" s="3477" t="s">
        <v>4193</v>
      </c>
    </row>
    <row r="35" spans="1:11">
      <c r="B35" s="3477" t="s">
        <v>4192</v>
      </c>
    </row>
    <row r="36" spans="1:11">
      <c r="B36" s="3477"/>
    </row>
    <row r="41" spans="1:11">
      <c r="K41" s="3477" t="s">
        <v>4194</v>
      </c>
    </row>
    <row r="43" spans="1:11">
      <c r="K43" s="3477" t="s">
        <v>4195</v>
      </c>
    </row>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abSelected="1" workbookViewId="0">
      <selection activeCell="D7" sqref="D7:I7"/>
    </sheetView>
  </sheetViews>
  <sheetFormatPr defaultRowHeight="13.5"/>
  <sheetData>
    <row r="1" spans="1:9" ht="25.5" customHeight="1" thickTop="1">
      <c r="A1" s="3995" t="s">
        <v>4244</v>
      </c>
      <c r="B1" s="3995" t="s">
        <v>3685</v>
      </c>
      <c r="C1" s="3995" t="s">
        <v>3686</v>
      </c>
      <c r="D1" s="3997" t="s">
        <v>4245</v>
      </c>
      <c r="E1" s="3998"/>
      <c r="F1" s="3997" t="s">
        <v>3687</v>
      </c>
      <c r="G1" s="3998"/>
      <c r="H1" s="3997" t="s">
        <v>4246</v>
      </c>
      <c r="I1" s="3998"/>
    </row>
    <row r="2" spans="1:9">
      <c r="A2" s="3996"/>
      <c r="B2" s="3996"/>
      <c r="C2" s="3996"/>
      <c r="D2" s="3991" t="s">
        <v>3690</v>
      </c>
      <c r="E2" s="3991" t="s">
        <v>4247</v>
      </c>
      <c r="F2" s="3991" t="s">
        <v>4248</v>
      </c>
      <c r="G2" s="3991" t="s">
        <v>4247</v>
      </c>
      <c r="H2" s="3991" t="s">
        <v>4248</v>
      </c>
      <c r="I2" s="3991" t="s">
        <v>4247</v>
      </c>
    </row>
    <row r="3" spans="1:9" ht="63.75">
      <c r="A3" s="3992" t="s">
        <v>4249</v>
      </c>
      <c r="B3" s="3993">
        <v>2852.38</v>
      </c>
      <c r="C3" s="3993">
        <v>360.47</v>
      </c>
      <c r="D3" s="3993">
        <v>2183</v>
      </c>
      <c r="E3" s="3993">
        <v>7653</v>
      </c>
      <c r="F3" s="3993">
        <v>2228</v>
      </c>
      <c r="G3" s="3993">
        <v>7811</v>
      </c>
      <c r="H3" s="3993">
        <v>4411</v>
      </c>
      <c r="I3" s="3993">
        <v>15464</v>
      </c>
    </row>
    <row r="4" spans="1:9" ht="63.75">
      <c r="A4" s="3992" t="s">
        <v>4250</v>
      </c>
      <c r="B4" s="3993">
        <v>3127.15</v>
      </c>
      <c r="C4" s="3993">
        <v>395.19</v>
      </c>
      <c r="D4" s="3993">
        <v>1843</v>
      </c>
      <c r="E4" s="3993">
        <v>5893</v>
      </c>
      <c r="F4" s="3993">
        <v>2243</v>
      </c>
      <c r="G4" s="3993">
        <v>7173</v>
      </c>
      <c r="H4" s="3993">
        <v>4086</v>
      </c>
      <c r="I4" s="3993">
        <v>13066</v>
      </c>
    </row>
    <row r="5" spans="1:9" ht="89.25">
      <c r="A5" s="3992" t="s">
        <v>4251</v>
      </c>
      <c r="B5" s="3993">
        <v>11869.36</v>
      </c>
      <c r="C5" s="3993">
        <v>1499.99</v>
      </c>
      <c r="D5" s="3993">
        <v>2909</v>
      </c>
      <c r="E5" s="3993">
        <v>2451</v>
      </c>
      <c r="F5" s="3993">
        <v>5061</v>
      </c>
      <c r="G5" s="3993">
        <v>4264</v>
      </c>
      <c r="H5" s="3993">
        <v>7970</v>
      </c>
      <c r="I5" s="3993">
        <v>6715</v>
      </c>
    </row>
    <row r="6" spans="1:9">
      <c r="A6" s="3992" t="s">
        <v>3659</v>
      </c>
      <c r="B6" s="3994">
        <f>SUM(B3:B5)</f>
        <v>17848.89</v>
      </c>
      <c r="C6" s="3994">
        <f>SUM(C3:C5)</f>
        <v>2255.65</v>
      </c>
      <c r="D6" s="3999">
        <f>SUM(D3:D5)</f>
        <v>6935</v>
      </c>
      <c r="E6" s="4000"/>
      <c r="F6" s="3999">
        <f>SUM(F3:F5)</f>
        <v>9532</v>
      </c>
      <c r="G6" s="4000"/>
      <c r="H6" s="3999">
        <f>SUM(H3:H5)</f>
        <v>16467</v>
      </c>
      <c r="I6" s="4000"/>
    </row>
    <row r="7" spans="1:9" ht="25.5" customHeight="1">
      <c r="A7" s="4001" t="s">
        <v>4252</v>
      </c>
      <c r="B7" s="4002"/>
      <c r="C7" s="4003"/>
      <c r="D7" s="4011">
        <f>D6*10000</f>
        <v>69350000</v>
      </c>
      <c r="E7" s="4012"/>
      <c r="F7" s="4011">
        <f>F6*10000</f>
        <v>95320000</v>
      </c>
      <c r="G7" s="4012"/>
      <c r="H7" s="4011">
        <f>H6*10000</f>
        <v>164670000</v>
      </c>
      <c r="I7" s="4012"/>
    </row>
    <row r="8" spans="1:9">
      <c r="A8" s="4004" t="s">
        <v>4254</v>
      </c>
      <c r="B8" s="4005"/>
      <c r="C8" s="4006"/>
      <c r="D8" s="3999">
        <v>0</v>
      </c>
      <c r="E8" s="4007"/>
      <c r="F8" s="4007"/>
      <c r="G8" s="4007"/>
      <c r="H8" s="4007"/>
      <c r="I8" s="4000"/>
    </row>
    <row r="9" spans="1:9">
      <c r="A9" s="4001" t="s">
        <v>4252</v>
      </c>
      <c r="B9" s="4002"/>
      <c r="C9" s="4003"/>
      <c r="D9" s="4001" t="s">
        <v>4255</v>
      </c>
      <c r="E9" s="4002"/>
      <c r="F9" s="4002"/>
      <c r="G9" s="4002"/>
      <c r="H9" s="4002"/>
      <c r="I9" s="4003"/>
    </row>
    <row r="10" spans="1:9">
      <c r="A10" s="4004" t="s">
        <v>3376</v>
      </c>
      <c r="B10" s="4005"/>
      <c r="C10" s="4006"/>
      <c r="D10" s="3999">
        <v>186148</v>
      </c>
      <c r="E10" s="4007"/>
      <c r="F10" s="4007"/>
      <c r="G10" s="4007"/>
      <c r="H10" s="4007"/>
      <c r="I10" s="4000"/>
    </row>
    <row r="11" spans="1:9" ht="14.25" thickBot="1">
      <c r="A11" s="4008" t="s">
        <v>4252</v>
      </c>
      <c r="B11" s="4009"/>
      <c r="C11" s="4010"/>
      <c r="D11" s="4008" t="s">
        <v>4253</v>
      </c>
      <c r="E11" s="4009"/>
      <c r="F11" s="4009"/>
      <c r="G11" s="4009"/>
      <c r="H11" s="4009"/>
      <c r="I11" s="4010"/>
    </row>
    <row r="12" spans="1:9" ht="14.25" thickTop="1"/>
  </sheetData>
  <mergeCells count="21">
    <mergeCell ref="A11:C11"/>
    <mergeCell ref="D11:I11"/>
    <mergeCell ref="A8:C8"/>
    <mergeCell ref="D8:I8"/>
    <mergeCell ref="A9:C9"/>
    <mergeCell ref="D9:I9"/>
    <mergeCell ref="A10:C10"/>
    <mergeCell ref="D10:I10"/>
    <mergeCell ref="D6:E6"/>
    <mergeCell ref="F6:G6"/>
    <mergeCell ref="H6:I6"/>
    <mergeCell ref="A7:C7"/>
    <mergeCell ref="D7:E7"/>
    <mergeCell ref="F7:G7"/>
    <mergeCell ref="H7:I7"/>
    <mergeCell ref="A1:A2"/>
    <mergeCell ref="B1:B2"/>
    <mergeCell ref="C1:C2"/>
    <mergeCell ref="D1:E1"/>
    <mergeCell ref="F1:G1"/>
    <mergeCell ref="H1:I1"/>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71" t="s">
        <v>947</v>
      </c>
      <c r="B1" s="3671"/>
      <c r="C1" s="3671"/>
      <c r="D1" s="3671"/>
    </row>
    <row r="2" spans="1:4" ht="18">
      <c r="A2" s="3672" t="s">
        <v>931</v>
      </c>
      <c r="B2" s="3672"/>
      <c r="C2" s="3672"/>
      <c r="D2" s="3672"/>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672" t="s">
        <v>937</v>
      </c>
      <c r="B6" s="3672"/>
      <c r="C6" s="3672"/>
      <c r="D6" s="3672"/>
    </row>
    <row r="7" spans="1:4" ht="18.75">
      <c r="A7" s="1506" t="s">
        <v>932</v>
      </c>
      <c r="B7" s="1508" t="s">
        <v>938</v>
      </c>
      <c r="C7" s="1506" t="s">
        <v>934</v>
      </c>
      <c r="D7" s="1506" t="s">
        <v>935</v>
      </c>
    </row>
    <row r="8" spans="1:4" ht="56.25" customHeight="1">
      <c r="A8" s="1512" t="s">
        <v>390</v>
      </c>
      <c r="B8" s="1512" t="s">
        <v>0</v>
      </c>
      <c r="C8" s="1509"/>
      <c r="D8" s="1510" t="s">
        <v>936</v>
      </c>
    </row>
    <row r="9" spans="1:4">
      <c r="A9" s="675"/>
      <c r="B9" s="675"/>
      <c r="C9" s="675"/>
      <c r="D9" s="675"/>
    </row>
    <row r="10" spans="1:4" ht="18.75">
      <c r="A10" s="1513" t="s">
        <v>939</v>
      </c>
      <c r="B10" s="675"/>
      <c r="C10" s="675"/>
      <c r="D10" s="675"/>
    </row>
    <row r="11" spans="1:4" ht="30" customHeight="1">
      <c r="A11" s="3673" t="s">
        <v>940</v>
      </c>
      <c r="B11" s="3665"/>
      <c r="C11" s="3665"/>
      <c r="D11" s="3665"/>
    </row>
    <row r="12" spans="1:4" ht="15.75">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spans="1:4" ht="30" customHeight="1">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spans="1:4" ht="15.75" customHeight="1">
      <c r="A14" s="3665" t="str">
        <f>IF(项目基本情况!B8="抵押","4.本次评估估价师所知悉的法定优先受偿款情况说明如下：","——")</f>
        <v>4.本次评估估价师所知悉的法定优先受偿款情况说明如下：</v>
      </c>
      <c r="B14" s="3670"/>
      <c r="C14" s="3670"/>
      <c r="D14" s="3670"/>
    </row>
    <row r="15" spans="1:4" ht="42" customHeight="1">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spans="1:4" ht="30" customHeight="1">
      <c r="A16" s="3667" t="s">
        <v>941</v>
      </c>
      <c r="B16" s="3667"/>
      <c r="C16" s="3667"/>
      <c r="D16" s="3667"/>
    </row>
    <row r="17" spans="1:4" ht="144" customHeight="1">
      <c r="A17" s="3667" t="s">
        <v>942</v>
      </c>
      <c r="B17" s="3667"/>
      <c r="C17" s="3667"/>
      <c r="D17" s="3667"/>
    </row>
    <row r="18" spans="1:4" ht="15.75" customHeight="1">
      <c r="A18" s="3665" t="str">
        <f>IF(项目基本情况!B8="抵押",'结果表-负2层'!K120,"——")</f>
        <v>故，本次评估不存在估价师知悉的法定优先受偿款</v>
      </c>
      <c r="B18" s="3665"/>
      <c r="C18" s="3665"/>
      <c r="D18" s="3665"/>
    </row>
    <row r="19" spans="1:4" ht="46.5" customHeight="1">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spans="1:4" ht="57.75" customHeight="1">
      <c r="A20" s="3665" t="str">
        <f>IF('结果表-负2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5"/>
      <c r="C20" s="3665"/>
      <c r="D20" s="3665"/>
    </row>
    <row r="21" spans="1:4" ht="57.75" customHeight="1">
      <c r="A21" s="3668" t="str">
        <f>IF('结果表-负2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8"/>
      <c r="C21" s="3668"/>
      <c r="D21" s="3668"/>
    </row>
    <row r="22" spans="1:4" ht="18.75" customHeight="1">
      <c r="A22" s="3669" t="s">
        <v>943</v>
      </c>
      <c r="B22" s="3669"/>
      <c r="C22" s="3669"/>
      <c r="D22" s="3669"/>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666">
        <v>42551</v>
      </c>
      <c r="D31" s="36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679" t="s">
        <v>954</v>
      </c>
      <c r="B15" s="3674" t="s">
        <v>109</v>
      </c>
      <c r="C15" s="3675"/>
    </row>
    <row r="16" spans="1:7" ht="13.5">
      <c r="A16" s="3680"/>
      <c r="B16" s="3674" t="s">
        <v>42</v>
      </c>
      <c r="C16" s="3675"/>
    </row>
    <row r="17" spans="1:3" ht="13.5">
      <c r="A17" s="3680"/>
      <c r="B17" s="3677" t="s">
        <v>955</v>
      </c>
      <c r="C17" s="1529" t="s">
        <v>954</v>
      </c>
    </row>
    <row r="18" spans="1:3" ht="13.5">
      <c r="A18" s="3680"/>
      <c r="B18" s="3677"/>
      <c r="C18" s="1529" t="s">
        <v>956</v>
      </c>
    </row>
    <row r="19" spans="1:3" ht="13.5">
      <c r="A19" s="3680"/>
      <c r="B19" s="3677"/>
      <c r="C19" s="1529" t="s">
        <v>957</v>
      </c>
    </row>
    <row r="20" spans="1:3" ht="13.5">
      <c r="A20" s="3681"/>
      <c r="B20" s="3676" t="s">
        <v>958</v>
      </c>
      <c r="C20" s="3675"/>
    </row>
    <row r="21" spans="1:3" ht="13.5">
      <c r="A21" s="1530" t="s">
        <v>959</v>
      </c>
      <c r="B21" s="1531"/>
      <c r="C21" s="1532"/>
    </row>
    <row r="22" spans="1:3" ht="13.5">
      <c r="A22" s="3678" t="s">
        <v>960</v>
      </c>
      <c r="B22" s="3676" t="s">
        <v>961</v>
      </c>
      <c r="C22" s="3675"/>
    </row>
    <row r="23" spans="1:3" ht="13.5">
      <c r="A23" s="3678"/>
      <c r="B23" s="3676" t="s">
        <v>962</v>
      </c>
      <c r="C23" s="3675"/>
    </row>
    <row r="24" spans="1:3" ht="13.5">
      <c r="A24" s="3678"/>
      <c r="B24" s="3676" t="s">
        <v>963</v>
      </c>
      <c r="C24" s="3675"/>
    </row>
    <row r="25" spans="1:3" ht="13.5">
      <c r="A25" s="3678"/>
      <c r="B25" s="3677" t="s">
        <v>964</v>
      </c>
      <c r="C25" s="1529" t="s">
        <v>965</v>
      </c>
    </row>
    <row r="26" spans="1:3" ht="13.5">
      <c r="A26" s="3678"/>
      <c r="B26" s="3677"/>
      <c r="C26" s="1529" t="s">
        <v>966</v>
      </c>
    </row>
    <row r="27" spans="1:3" ht="13.5">
      <c r="A27" s="3678"/>
      <c r="B27" s="3677"/>
      <c r="C27" s="1529" t="s">
        <v>967</v>
      </c>
    </row>
    <row r="28" spans="1:3" ht="13.5">
      <c r="A28" s="3678"/>
      <c r="B28" s="3677"/>
      <c r="C28" s="1529" t="s">
        <v>968</v>
      </c>
    </row>
    <row r="29" spans="1:3" ht="13.5">
      <c r="A29" s="3678"/>
      <c r="B29" s="3677"/>
      <c r="C29" s="1529" t="s">
        <v>969</v>
      </c>
    </row>
    <row r="30" spans="1:3" ht="13.5">
      <c r="A30" s="3678"/>
      <c r="B30" s="3677"/>
      <c r="C30" s="1529" t="s">
        <v>970</v>
      </c>
    </row>
    <row r="31" spans="1:3" ht="13.5">
      <c r="A31" s="3678"/>
      <c r="B31" s="3677"/>
      <c r="C31" s="1529" t="s">
        <v>971</v>
      </c>
    </row>
    <row r="32" spans="1:3" ht="13.5">
      <c r="A32" s="3678"/>
      <c r="B32" s="3677"/>
      <c r="C32" s="1529" t="s">
        <v>972</v>
      </c>
    </row>
    <row r="33" spans="1:3" ht="13.5">
      <c r="A33" s="3678"/>
      <c r="B33" s="3677"/>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45272</v>
      </c>
      <c r="C2" s="2337" t="s">
        <v>2135</v>
      </c>
      <c r="D2" s="2337"/>
      <c r="E2" s="2337"/>
      <c r="F2" s="2333"/>
      <c r="G2" s="2333"/>
      <c r="H2" s="2333"/>
    </row>
    <row r="3" spans="1:8" ht="24" customHeight="1">
      <c r="A3" s="2338" t="s">
        <v>2136</v>
      </c>
      <c r="B3" s="2339" t="s">
        <v>2137</v>
      </c>
      <c r="C3" s="2339" t="s">
        <v>2138</v>
      </c>
      <c r="D3" s="2340" t="s">
        <v>2139</v>
      </c>
      <c r="E3" s="2341" t="s">
        <v>2140</v>
      </c>
      <c r="F3" s="1301" t="s">
        <v>2141</v>
      </c>
      <c r="G3" s="2339" t="s">
        <v>2138</v>
      </c>
      <c r="H3" s="2340" t="s">
        <v>2142</v>
      </c>
    </row>
    <row r="4" spans="1:8" ht="24" customHeight="1">
      <c r="A4" s="1301" t="s">
        <v>2143</v>
      </c>
      <c r="B4" s="1301">
        <f ca="1">IF(C4&lt;B2,"已过期",1119970066)</f>
        <v>1119970066</v>
      </c>
      <c r="C4" s="2342">
        <v>45937</v>
      </c>
      <c r="D4" s="2343" t="str">
        <f ca="1">A4&amp;"（注册号："&amp;B4&amp;"）"</f>
        <v>梁津（注册号：1119970066）</v>
      </c>
      <c r="E4" s="2344" t="s">
        <v>2143</v>
      </c>
      <c r="F4" s="1301">
        <f ca="1">IF(G4&lt;B2,"已过期",96010014)</f>
        <v>96010014</v>
      </c>
      <c r="G4" s="2345">
        <v>47118</v>
      </c>
      <c r="H4" s="2346" t="str">
        <f ca="1">E4&amp;"（注册号："&amp;F4&amp;"）"</f>
        <v>梁津（注册号：96010014）</v>
      </c>
    </row>
    <row r="5" spans="1:8" ht="24" customHeight="1">
      <c r="A5" s="1301" t="s">
        <v>2144</v>
      </c>
      <c r="B5" s="1301">
        <f ca="1">IF(C5&lt;B2,"已过期",1119970111)</f>
        <v>1119970111</v>
      </c>
      <c r="C5" s="2342">
        <v>45937</v>
      </c>
      <c r="D5" s="2343" t="str">
        <f t="shared" ref="D5:D15" ca="1" si="0">A5&amp;"（注册号："&amp;B5&amp;"）"</f>
        <v>叶凌（注册号：1119970111）</v>
      </c>
      <c r="E5" s="2344" t="s">
        <v>2144</v>
      </c>
      <c r="F5" s="1301">
        <f ca="1">IF(G5&lt;B2,"已过期",94010078)</f>
        <v>94010078</v>
      </c>
      <c r="G5" s="2345">
        <v>46387</v>
      </c>
      <c r="H5" s="2346" t="str">
        <f t="shared" ref="H5:H16" ca="1" si="1">E5&amp;"（注册号："&amp;F5&amp;"）"</f>
        <v>叶凌（注册号：94010078）</v>
      </c>
    </row>
    <row r="6" spans="1:8" ht="24" customHeight="1">
      <c r="A6" s="1301" t="s">
        <v>2145</v>
      </c>
      <c r="B6" s="1301">
        <f ca="1">IF(C6&lt;B2,"已过期",1120050019)</f>
        <v>1120050019</v>
      </c>
      <c r="C6" s="2342">
        <v>45410</v>
      </c>
      <c r="D6" s="2343" t="str">
        <f t="shared" ca="1" si="0"/>
        <v>王鹏（注册号：1120050019）</v>
      </c>
      <c r="E6" s="2344" t="s">
        <v>2145</v>
      </c>
      <c r="F6" s="1301">
        <f ca="1">IF(G6&lt;B2,"已过期",2002110030)</f>
        <v>2002110030</v>
      </c>
      <c r="G6" s="2345">
        <v>46387</v>
      </c>
      <c r="H6" s="2346" t="str">
        <f t="shared" ca="1" si="1"/>
        <v>王鹏（注册号：2002110030）</v>
      </c>
    </row>
    <row r="7" spans="1:8" ht="24" customHeight="1">
      <c r="A7" s="1301" t="s">
        <v>2146</v>
      </c>
      <c r="B7" s="1301">
        <f ca="1">IF(C7&lt;B2,"已过期",1120000080)</f>
        <v>1120000080</v>
      </c>
      <c r="C7" s="2342">
        <v>45937</v>
      </c>
      <c r="D7" s="2343" t="str">
        <f t="shared" ca="1" si="0"/>
        <v>欧红伟（注册号：1120000080）</v>
      </c>
      <c r="E7" s="2344" t="s">
        <v>2146</v>
      </c>
      <c r="F7" s="1301">
        <f ca="1">IF(G7&lt;B2,"已过期",2000110082)</f>
        <v>2000110082</v>
      </c>
      <c r="G7" s="2345">
        <v>46387</v>
      </c>
      <c r="H7" s="2346" t="str">
        <f t="shared" ca="1" si="1"/>
        <v>欧红伟（注册号：2000110082）</v>
      </c>
    </row>
    <row r="8" spans="1:8" ht="24" customHeight="1">
      <c r="A8" s="1301" t="s">
        <v>2147</v>
      </c>
      <c r="B8" s="1301">
        <f ca="1">IF(C8&lt;B2,"已过期",1419970001)</f>
        <v>1419970001</v>
      </c>
      <c r="C8" s="2342">
        <v>45937</v>
      </c>
      <c r="D8" s="2343" t="str">
        <f t="shared" ca="1" si="0"/>
        <v>吴薇（注册号：1419970001）</v>
      </c>
      <c r="E8" s="2344" t="s">
        <v>2147</v>
      </c>
      <c r="F8" s="1301">
        <f ca="1">IF(G8&lt;B2,"已过期",2002110125)</f>
        <v>2002110125</v>
      </c>
      <c r="G8" s="2345">
        <v>47118</v>
      </c>
      <c r="H8" s="2346" t="str">
        <f t="shared" ca="1" si="1"/>
        <v>吴薇（注册号：2002110125）</v>
      </c>
    </row>
    <row r="9" spans="1:8" ht="24" customHeight="1">
      <c r="A9" s="1301" t="s">
        <v>2148</v>
      </c>
      <c r="B9" s="1301">
        <f ca="1">IF(C9&lt;B2,"已过期",1120060040)</f>
        <v>1120060040</v>
      </c>
      <c r="C9" s="2347">
        <v>45592</v>
      </c>
      <c r="D9" s="2343" t="str">
        <f t="shared" ca="1" si="0"/>
        <v>陈颖（注册号：1120060040）</v>
      </c>
      <c r="E9" s="2344" t="s">
        <v>2148</v>
      </c>
      <c r="F9" s="1301">
        <f ca="1">IF(G9&lt;B2,"已过期",2004110096)</f>
        <v>2004110096</v>
      </c>
      <c r="G9" s="2345">
        <v>47118</v>
      </c>
      <c r="H9" s="2346" t="str">
        <f t="shared" ca="1" si="1"/>
        <v>陈颖（注册号：2004110096）</v>
      </c>
    </row>
    <row r="10" spans="1:8" ht="24" customHeight="1">
      <c r="A10" s="1301" t="s">
        <v>2149</v>
      </c>
      <c r="B10" s="1301">
        <f ca="1">IF(C10&lt;B2,"已过期",1120100036)</f>
        <v>1120100036</v>
      </c>
      <c r="C10" s="2347">
        <v>45752</v>
      </c>
      <c r="D10" s="2343" t="str">
        <f t="shared" ca="1" si="0"/>
        <v>崔锴（注册号：1120100036）</v>
      </c>
      <c r="E10" s="2344" t="s">
        <v>2149</v>
      </c>
      <c r="F10" s="1301">
        <f ca="1">IF(G10&lt;B2,"已过期",2010110070)</f>
        <v>2010110070</v>
      </c>
      <c r="G10" s="2345">
        <v>47907</v>
      </c>
      <c r="H10" s="2346" t="str">
        <f t="shared" ca="1" si="1"/>
        <v>崔锴（注册号：2010110070）</v>
      </c>
    </row>
    <row r="11" spans="1:8" ht="24" customHeight="1">
      <c r="A11" s="1301" t="s">
        <v>2150</v>
      </c>
      <c r="B11" s="1301">
        <f ca="1">IF(C11&lt;B2,"已过期",1120070131)</f>
        <v>1120070131</v>
      </c>
      <c r="C11" s="2342">
        <v>45937</v>
      </c>
      <c r="D11" s="2343" t="str">
        <f t="shared" ca="1" si="0"/>
        <v>郑燚（注册号：1120070131）</v>
      </c>
      <c r="E11" s="2344" t="s">
        <v>2150</v>
      </c>
      <c r="F11" s="1301">
        <f ca="1">IF(G11&lt;B2,"已过期",2014110011)</f>
        <v>2014110011</v>
      </c>
      <c r="G11" s="2345">
        <v>49302</v>
      </c>
      <c r="H11" s="2346" t="str">
        <f t="shared" ca="1" si="1"/>
        <v>郑燚（注册号：2014110011）</v>
      </c>
    </row>
    <row r="12" spans="1:8" ht="24" customHeight="1">
      <c r="A12" s="1301" t="s">
        <v>2151</v>
      </c>
      <c r="B12" s="1301">
        <f ca="1">IF(C12&lt;B2,"已过期",1120040230)</f>
        <v>1120040230</v>
      </c>
      <c r="C12" s="2347">
        <v>45937</v>
      </c>
      <c r="D12" s="2343" t="str">
        <f t="shared" ca="1" si="0"/>
        <v>苏海（注册号：1120040230）</v>
      </c>
      <c r="E12" s="2344" t="s">
        <v>2151</v>
      </c>
      <c r="F12" s="1301">
        <f ca="1">IF(G12&lt;B2,"已过期",98030020)</f>
        <v>98030020</v>
      </c>
      <c r="G12" s="2345">
        <v>47118</v>
      </c>
      <c r="H12" s="2346" t="str">
        <f t="shared" ca="1" si="1"/>
        <v>苏海（注册号：98030020）</v>
      </c>
    </row>
    <row r="13" spans="1:8" ht="24" customHeight="1">
      <c r="A13" s="1301" t="s">
        <v>2152</v>
      </c>
      <c r="B13" s="1301">
        <f ca="1">IF(C13&lt;B2,"已过期",1120020033)</f>
        <v>1120020033</v>
      </c>
      <c r="C13" s="2342">
        <v>45375</v>
      </c>
      <c r="D13" s="2343" t="str">
        <f t="shared" ca="1" si="0"/>
        <v>刘敬东（注册号：1120020033）</v>
      </c>
      <c r="E13" s="2344" t="s">
        <v>2152</v>
      </c>
      <c r="F13" s="1301">
        <f ca="1">IF(G13&lt;B2,"已过期",2000110137)</f>
        <v>2000110137</v>
      </c>
      <c r="G13" s="2345">
        <v>46387</v>
      </c>
      <c r="H13" s="2346" t="str">
        <f t="shared" ca="1" si="1"/>
        <v>刘敬东（注册号：2000110137）</v>
      </c>
    </row>
    <row r="14" spans="1:8" ht="24" customHeight="1">
      <c r="A14" s="1301" t="s">
        <v>2153</v>
      </c>
      <c r="B14" s="1301" t="str">
        <f ca="1">IF(C14&lt;B2,"已过期",1119980106)</f>
        <v>已过期</v>
      </c>
      <c r="C14" s="2347">
        <v>44969</v>
      </c>
      <c r="D14" s="2343" t="str">
        <f t="shared" ca="1" si="0"/>
        <v>刘俊财（注册号：已过期）</v>
      </c>
      <c r="E14" s="2344" t="s">
        <v>2153</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2154</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82" t="s">
        <v>2155</v>
      </c>
      <c r="B17" s="3682"/>
      <c r="C17" s="3682"/>
      <c r="D17" s="3682"/>
      <c r="E17" s="3682"/>
      <c r="F17" s="3682"/>
      <c r="G17" s="3682"/>
      <c r="H17" s="3682"/>
    </row>
    <row r="18" spans="1:8" ht="24" customHeight="1">
      <c r="A18" s="3683" t="s">
        <v>2156</v>
      </c>
      <c r="B18" s="3683"/>
      <c r="C18" s="3683"/>
      <c r="D18" s="2340"/>
      <c r="E18" s="3684" t="s">
        <v>2157</v>
      </c>
      <c r="F18" s="3683"/>
      <c r="G18" s="3683"/>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160</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租赁合同</vt:lpstr>
      <vt:lpstr>当前租赁台账</vt:lpstr>
      <vt:lpstr>系统读取表</vt:lpstr>
      <vt:lpstr>结果表-负2层</vt:lpstr>
      <vt:lpstr>基准地价修正-商业</vt:lpstr>
      <vt:lpstr>成本法-负2层</vt:lpstr>
      <vt:lpstr>成本法 (元)</vt:lpstr>
      <vt:lpstr>假设开发法</vt:lpstr>
      <vt:lpstr>收益法-负2层</vt:lpstr>
      <vt:lpstr>结果表-负3层</vt:lpstr>
      <vt:lpstr>成本法-负3层</vt:lpstr>
      <vt:lpstr>收益法-负3层</vt:lpstr>
      <vt:lpstr>结果表-车位</vt:lpstr>
      <vt:lpstr>收益法 (元)</vt:lpstr>
      <vt:lpstr>收益法-酒店模型</vt:lpstr>
      <vt:lpstr>收益法（汇总）</vt:lpstr>
      <vt:lpstr>比较法-住宅</vt:lpstr>
      <vt:lpstr>比较法-商业</vt:lpstr>
      <vt:lpstr>比较法-办公</vt:lpstr>
      <vt:lpstr>比较法-工业</vt:lpstr>
      <vt:lpstr>成本法-车位</vt:lpstr>
      <vt:lpstr>基准地价修-车位</vt:lpstr>
      <vt:lpstr>收益法-地下车位</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'成本法-负2层'!Print_Area</vt:lpstr>
      <vt:lpstr>'成本法-负3层'!Print_Area</vt:lpstr>
      <vt:lpstr>估价对象房地状况!Print_Area</vt:lpstr>
      <vt:lpstr>估价师及机构信息!Print_Area</vt:lpstr>
      <vt:lpstr>'基准地价（汇总）'!Print_Area</vt:lpstr>
      <vt:lpstr>'基准地价修-车位'!Print_Area</vt:lpstr>
      <vt:lpstr>'基准地价修正-商业'!Print_Area</vt:lpstr>
      <vt:lpstr>假设开发法!Print_Area</vt:lpstr>
      <vt:lpstr>'结果表-车位'!Print_Area</vt:lpstr>
      <vt:lpstr>'结果表-负2层'!Print_Area</vt:lpstr>
      <vt:lpstr>'结果表-负3层'!Print_Area</vt:lpstr>
      <vt:lpstr>'收益法 (元)'!Print_Area</vt:lpstr>
      <vt:lpstr>'收益法（汇总）'!Print_Area</vt:lpstr>
      <vt:lpstr>'收益法-地下车位'!Print_Area</vt:lpstr>
      <vt:lpstr>'收益法-负2层'!Print_Area</vt:lpstr>
      <vt:lpstr>'收益法-负3层'!Print_Area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2023-12-12T09:21:22Z</dcterms:modified>
</cp:coreProperties>
</file>