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320" windowHeight="936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70"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state="hidden" r:id="rId32"/>
    <sheet name="不动产收益法 (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69" l="1"/>
  <c r="F8" i="69"/>
  <c r="F7" i="69"/>
  <c r="F9" i="69"/>
  <c r="C6" i="69"/>
  <c r="N4" i="65"/>
  <c r="C4" i="65"/>
  <c r="B39" i="1"/>
  <c r="F11" i="69"/>
  <c r="C10" i="69"/>
  <c r="C5" i="69"/>
  <c r="C32" i="69"/>
  <c r="C33" i="69"/>
  <c r="F35" i="69"/>
  <c r="C34" i="69"/>
  <c r="C31" i="69"/>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C17" i="9"/>
  <c r="D17" i="9"/>
  <c r="C18" i="9"/>
  <c r="D18" i="9"/>
  <c r="G19" i="9"/>
  <c r="E3" i="70"/>
  <c r="H3" i="70"/>
  <c r="I3" i="70"/>
  <c r="F3" i="70"/>
  <c r="F41" i="39"/>
  <c r="AA41" i="39"/>
  <c r="R49" i="39"/>
  <c r="H41" i="39"/>
  <c r="AB41" i="39"/>
  <c r="T49" i="39"/>
  <c r="J41" i="39"/>
  <c r="AC41" i="39"/>
  <c r="V49" i="39"/>
  <c r="R50" i="39"/>
  <c r="C50" i="39"/>
  <c r="F68" i="39"/>
  <c r="B2" i="39"/>
  <c r="A27" i="9"/>
  <c r="C33" i="21"/>
  <c r="A7" i="1"/>
  <c r="F20" i="6"/>
  <c r="E20" i="6"/>
  <c r="K7" i="1"/>
  <c r="M7" i="1"/>
  <c r="C3" i="65"/>
  <c r="B22" i="1"/>
  <c r="C2" i="65"/>
  <c r="I1" i="65"/>
  <c r="C1" i="65"/>
  <c r="N1" i="65"/>
  <c r="H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C11" i="11"/>
  <c r="B31" i="1"/>
  <c r="E10" i="11"/>
  <c r="D10" i="11"/>
  <c r="C10" i="11"/>
  <c r="C7"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21" i="6"/>
  <c r="E21" i="6"/>
  <c r="K8" i="1"/>
  <c r="M8" i="1"/>
  <c r="K59" i="69"/>
  <c r="P75" i="69"/>
  <c r="Q73" i="69"/>
  <c r="P62" i="69"/>
  <c r="B52" i="1"/>
  <c r="F34" i="69"/>
  <c r="F61" i="69"/>
  <c r="Q60" i="69"/>
  <c r="F33" i="69"/>
  <c r="F60" i="69"/>
  <c r="D60" i="69"/>
  <c r="Q59" i="69"/>
  <c r="B43" i="1"/>
  <c r="B41" i="1"/>
  <c r="F32" i="69"/>
  <c r="F59" i="69"/>
  <c r="F58" i="69"/>
  <c r="Q52" i="69"/>
  <c r="J50" i="69"/>
  <c r="J51" i="69"/>
  <c r="M47" i="69"/>
  <c r="L46" i="69"/>
  <c r="F31" i="69"/>
  <c r="F28" i="69"/>
  <c r="C42" i="1"/>
  <c r="C28" i="69"/>
  <c r="AG8" i="1"/>
  <c r="F23" i="69"/>
  <c r="D24" i="69"/>
  <c r="D23" i="69"/>
  <c r="D22" i="69"/>
  <c r="F21" i="69"/>
  <c r="M20" i="69"/>
  <c r="F20" i="69"/>
  <c r="M19" i="69"/>
  <c r="M18" i="69"/>
  <c r="F18" i="69"/>
  <c r="M17" i="69"/>
  <c r="F17" i="69"/>
  <c r="F15" i="69"/>
  <c r="G1" i="69"/>
  <c r="G1" i="15"/>
  <c r="F33" i="15"/>
  <c r="AE9" i="1"/>
  <c r="M47" i="15"/>
  <c r="J50" i="15"/>
  <c r="J51" i="15"/>
  <c r="K59" i="15"/>
  <c r="P75" i="15"/>
  <c r="Q73" i="15"/>
  <c r="D60" i="15"/>
  <c r="F60" i="15"/>
  <c r="P62" i="15"/>
  <c r="F34" i="15"/>
  <c r="F61" i="15"/>
  <c r="Q60" i="15"/>
  <c r="Q59" i="15"/>
  <c r="F32" i="15"/>
  <c r="F59" i="15"/>
  <c r="F58" i="15"/>
  <c r="Q52" i="15"/>
  <c r="L46" i="15"/>
  <c r="F31" i="15"/>
  <c r="F28" i="15"/>
  <c r="C28" i="15"/>
  <c r="AG9" i="1"/>
  <c r="F23" i="15"/>
  <c r="D24" i="15"/>
  <c r="D23" i="15"/>
  <c r="D22" i="15"/>
  <c r="F21" i="15"/>
  <c r="M20" i="15"/>
  <c r="F20" i="15"/>
  <c r="M19" i="15"/>
  <c r="M18" i="15"/>
  <c r="F18" i="15"/>
  <c r="M17" i="15"/>
  <c r="F17" i="15"/>
  <c r="F15" i="15"/>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F19" i="6"/>
  <c r="BB10" i="3"/>
  <c r="BC10" i="3"/>
  <c r="BD10" i="3"/>
  <c r="BE10" i="3"/>
  <c r="BF10" i="3"/>
  <c r="BG10" i="3"/>
  <c r="BH10" i="3"/>
  <c r="BI10" i="3"/>
  <c r="BJ10" i="3"/>
  <c r="BK10" i="3"/>
  <c r="E8" i="6"/>
  <c r="F27" i="6"/>
  <c r="F28" i="6"/>
  <c r="F29" i="6"/>
  <c r="F30" i="6"/>
  <c r="F31" i="6"/>
  <c r="B3" i="3"/>
  <c r="AY6" i="3"/>
  <c r="D3" i="6"/>
  <c r="E19" i="6"/>
  <c r="D19" i="6"/>
  <c r="D20" i="6"/>
  <c r="D21" i="6"/>
  <c r="E22" i="6"/>
  <c r="D22" i="6"/>
  <c r="E23" i="6"/>
  <c r="D23" i="6"/>
  <c r="E24" i="6"/>
  <c r="D24" i="6"/>
  <c r="E25" i="6"/>
  <c r="D25" i="6"/>
  <c r="E26" i="6"/>
  <c r="D26" i="6"/>
  <c r="D27" i="6"/>
  <c r="G28" i="6"/>
  <c r="E28" i="6"/>
  <c r="D28" i="6"/>
  <c r="G29" i="6"/>
  <c r="E29" i="6"/>
  <c r="D29" i="6"/>
  <c r="D30" i="6"/>
  <c r="D31" i="6"/>
  <c r="I6" i="6"/>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I6" i="21"/>
  <c r="G6" i="21"/>
  <c r="E6" i="21"/>
  <c r="D3" i="21"/>
  <c r="B3" i="21"/>
  <c r="B2" i="21"/>
  <c r="D74" i="59"/>
  <c r="F73" i="59"/>
  <c r="E73" i="59"/>
  <c r="C73" i="59"/>
  <c r="D73" i="59"/>
  <c r="B73" i="59"/>
  <c r="F72" i="59"/>
  <c r="E72" i="59"/>
  <c r="C72" i="59"/>
  <c r="D72" i="59"/>
  <c r="B72" i="59"/>
  <c r="F71" i="59"/>
  <c r="E71" i="59"/>
  <c r="C71" i="59"/>
  <c r="D71" i="59"/>
  <c r="B71" i="59"/>
  <c r="D70" i="59"/>
  <c r="F69" i="59"/>
  <c r="E69" i="59"/>
  <c r="C69" i="59"/>
  <c r="D69" i="59"/>
  <c r="B69" i="59"/>
  <c r="F68" i="59"/>
  <c r="E68" i="59"/>
  <c r="C68" i="59"/>
  <c r="D68" i="59"/>
  <c r="B68" i="59"/>
  <c r="F67" i="59"/>
  <c r="E67" i="59"/>
  <c r="C67" i="59"/>
  <c r="D67" i="59"/>
  <c r="B67"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Q56" i="59"/>
  <c r="P56" i="59"/>
  <c r="O56" i="59"/>
  <c r="N56" i="59"/>
  <c r="F56" i="59"/>
  <c r="E56" i="59"/>
  <c r="C56" i="59"/>
  <c r="D56" i="59"/>
  <c r="B56" i="59"/>
  <c r="Q55" i="59"/>
  <c r="P55" i="59"/>
  <c r="O55" i="59"/>
  <c r="N55" i="59"/>
  <c r="F55" i="59"/>
  <c r="E55" i="59"/>
  <c r="C55" i="59"/>
  <c r="D55" i="59"/>
  <c r="B55" i="59"/>
  <c r="Q54" i="59"/>
  <c r="P54" i="59"/>
  <c r="O54" i="59"/>
  <c r="N54" i="59"/>
  <c r="D54" i="59"/>
  <c r="F53" i="59"/>
  <c r="V53" i="59"/>
  <c r="E53" i="59"/>
  <c r="U53" i="59"/>
  <c r="C53" i="59"/>
  <c r="T53" i="59"/>
  <c r="B53" i="59"/>
  <c r="S53" i="59"/>
  <c r="Q53" i="59"/>
  <c r="P53" i="59"/>
  <c r="O53" i="59"/>
  <c r="N53" i="59"/>
  <c r="D53" i="59"/>
  <c r="F52" i="59"/>
  <c r="Q52" i="59"/>
  <c r="E52" i="59"/>
  <c r="P52" i="59"/>
  <c r="C52" i="59"/>
  <c r="O52" i="59"/>
  <c r="B52" i="59"/>
  <c r="N52" i="59"/>
  <c r="D52" i="59"/>
  <c r="F51" i="59"/>
  <c r="Q51" i="59"/>
  <c r="E51" i="59"/>
  <c r="P51" i="59"/>
  <c r="C51" i="59"/>
  <c r="O51" i="59"/>
  <c r="B51" i="59"/>
  <c r="N51" i="59"/>
  <c r="D51" i="59"/>
  <c r="Q50" i="59"/>
  <c r="P50" i="59"/>
  <c r="O50" i="59"/>
  <c r="N50"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O34" i="59"/>
  <c r="C35" i="59"/>
  <c r="O35" i="59"/>
  <c r="C36" i="59"/>
  <c r="O36" i="59"/>
  <c r="C37" i="59"/>
  <c r="T37" i="59"/>
  <c r="N34" i="59"/>
  <c r="B35" i="59"/>
  <c r="N35" i="59"/>
  <c r="B36" i="59"/>
  <c r="N36" i="59"/>
  <c r="B37" i="59"/>
  <c r="S37" i="59"/>
  <c r="Q37" i="59"/>
  <c r="P37" i="59"/>
  <c r="O37" i="59"/>
  <c r="N37" i="59"/>
  <c r="D37" i="59"/>
  <c r="D36" i="59"/>
  <c r="D35" i="59"/>
  <c r="D34" i="59"/>
  <c r="Q30" i="59"/>
  <c r="F31" i="59"/>
  <c r="Q31" i="59"/>
  <c r="F32" i="59"/>
  <c r="Q32" i="59"/>
  <c r="F33" i="59"/>
  <c r="V33" i="59"/>
  <c r="P30" i="59"/>
  <c r="E31" i="59"/>
  <c r="P31" i="59"/>
  <c r="E32" i="59"/>
  <c r="P32" i="59"/>
  <c r="E33" i="59"/>
  <c r="U33" i="59"/>
  <c r="T33" i="59"/>
  <c r="N30" i="59"/>
  <c r="B31" i="59"/>
  <c r="N31" i="59"/>
  <c r="B32" i="59"/>
  <c r="N32" i="59"/>
  <c r="B33" i="59"/>
  <c r="S33" i="59"/>
  <c r="Q33" i="59"/>
  <c r="P33" i="59"/>
  <c r="O33" i="59"/>
  <c r="N33" i="59"/>
  <c r="D33" i="59"/>
  <c r="O32" i="59"/>
  <c r="O30" i="59"/>
  <c r="C31" i="59"/>
  <c r="O31" i="59"/>
  <c r="C32" i="59"/>
  <c r="D32" i="59"/>
  <c r="D31" i="59"/>
  <c r="D30"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D28" i="59"/>
  <c r="D27" i="59"/>
  <c r="D26" i="59"/>
  <c r="AH25" i="59"/>
  <c r="AG25" i="59"/>
  <c r="AE25" i="59"/>
  <c r="AF25" i="59"/>
  <c r="AD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Q25" i="59"/>
  <c r="P25" i="59"/>
  <c r="O25" i="59"/>
  <c r="N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Q14" i="59"/>
  <c r="F15" i="59"/>
  <c r="Q15" i="59"/>
  <c r="F16" i="59"/>
  <c r="Q16" i="59"/>
  <c r="F17" i="59"/>
  <c r="V17" i="59"/>
  <c r="P14" i="59"/>
  <c r="E15" i="59"/>
  <c r="P15" i="59"/>
  <c r="E16" i="59"/>
  <c r="P16" i="59"/>
  <c r="E17" i="59"/>
  <c r="U17" i="59"/>
  <c r="O14" i="59"/>
  <c r="C15" i="59"/>
  <c r="O15" i="59"/>
  <c r="C16" i="59"/>
  <c r="O16" i="59"/>
  <c r="C17" i="59"/>
  <c r="T17" i="59"/>
  <c r="N14" i="59"/>
  <c r="B15" i="59"/>
  <c r="N15" i="59"/>
  <c r="B16" i="59"/>
  <c r="N16" i="59"/>
  <c r="B17" i="59"/>
  <c r="S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AB14" i="59"/>
  <c r="AA14" i="59"/>
  <c r="Y14" i="59"/>
  <c r="Z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D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Q74" i="44"/>
  <c r="Q61" i="44"/>
  <c r="Q60" i="44"/>
  <c r="Q53" i="44"/>
  <c r="J51" i="44"/>
  <c r="J52" i="44"/>
  <c r="M48" i="44"/>
  <c r="F36" i="44"/>
  <c r="F35" i="44"/>
  <c r="F34" i="44"/>
  <c r="F33" i="44"/>
  <c r="F30" i="44"/>
  <c r="C30" i="44"/>
  <c r="AG7" i="1"/>
  <c r="F25" i="44"/>
  <c r="D26" i="44"/>
  <c r="D25" i="44"/>
  <c r="D24" i="44"/>
  <c r="F23" i="44"/>
  <c r="M22" i="44"/>
  <c r="F22" i="44"/>
  <c r="M21" i="44"/>
  <c r="M20" i="44"/>
  <c r="F20" i="44"/>
  <c r="M19" i="44"/>
  <c r="F19" i="44"/>
  <c r="F17" i="44"/>
  <c r="G1" i="44"/>
  <c r="G20" i="46"/>
  <c r="J20" i="46"/>
  <c r="I20" i="46"/>
  <c r="C20" i="46"/>
  <c r="G2" i="46"/>
  <c r="C6" i="46"/>
  <c r="G17" i="46"/>
  <c r="H17" i="46"/>
  <c r="I17" i="46"/>
  <c r="J17" i="46"/>
  <c r="C17" i="46"/>
  <c r="C16" i="46"/>
  <c r="C5" i="46"/>
  <c r="C18" i="46"/>
  <c r="G19" i="46"/>
  <c r="M20" i="46"/>
  <c r="M19" i="46"/>
  <c r="C19" i="46"/>
  <c r="I4" i="6"/>
  <c r="G3" i="46"/>
  <c r="C23" i="46"/>
  <c r="C21" i="46"/>
  <c r="C24" i="46"/>
  <c r="C29" i="46"/>
  <c r="E29" i="46"/>
  <c r="C30" i="46"/>
  <c r="E30" i="46"/>
  <c r="D5" i="46"/>
  <c r="F33" i="46"/>
  <c r="C33" i="46"/>
  <c r="E33" i="46"/>
  <c r="F34" i="46"/>
  <c r="C34" i="46"/>
  <c r="E34" i="46"/>
  <c r="F35" i="46"/>
  <c r="C35" i="46"/>
  <c r="E35" i="46"/>
  <c r="F36" i="46"/>
  <c r="C36" i="46"/>
  <c r="E36" i="46"/>
  <c r="F37" i="46"/>
  <c r="C37" i="46"/>
  <c r="E37" i="46"/>
  <c r="E41" i="46"/>
  <c r="C41" i="46"/>
  <c r="F38" i="46"/>
  <c r="C38" i="46"/>
  <c r="E38" i="46"/>
  <c r="F39" i="46"/>
  <c r="C39" i="46"/>
  <c r="E39" i="46"/>
  <c r="C26" i="46"/>
  <c r="G33" i="46"/>
  <c r="H33" i="46"/>
  <c r="I33" i="46"/>
  <c r="C27" i="46"/>
  <c r="B2" i="46"/>
  <c r="N104" i="45"/>
  <c r="I2" i="46"/>
  <c r="H16" i="48"/>
  <c r="H15" i="48"/>
  <c r="H14" i="48"/>
  <c r="H13" i="48"/>
  <c r="H12" i="48"/>
  <c r="H11" i="48"/>
  <c r="H10" i="48"/>
  <c r="H9" i="48"/>
  <c r="H8" i="48"/>
  <c r="H7" i="48"/>
  <c r="H6" i="48"/>
  <c r="H5" i="48"/>
  <c r="H61" i="49"/>
  <c r="B113" i="46"/>
  <c r="I118" i="46"/>
  <c r="J118" i="46"/>
  <c r="K118" i="46"/>
  <c r="L118" i="46"/>
  <c r="M118" i="46"/>
  <c r="G118" i="46"/>
  <c r="H118" i="46"/>
  <c r="D118" i="46"/>
  <c r="E118" i="46"/>
  <c r="F118" i="46"/>
  <c r="B118" i="46"/>
  <c r="C118" i="46"/>
  <c r="I117" i="46"/>
  <c r="J117" i="46"/>
  <c r="K117" i="46"/>
  <c r="L117" i="46"/>
  <c r="M117" i="46"/>
  <c r="D117" i="46"/>
  <c r="E117" i="46"/>
  <c r="F117" i="46"/>
  <c r="G117" i="46"/>
  <c r="H117" i="46"/>
  <c r="B117" i="46"/>
  <c r="C117" i="46"/>
  <c r="I116" i="46"/>
  <c r="J116" i="46"/>
  <c r="K116" i="46"/>
  <c r="L116" i="46"/>
  <c r="M116" i="46"/>
  <c r="D116" i="46"/>
  <c r="E116" i="46"/>
  <c r="F116" i="46"/>
  <c r="G116" i="46"/>
  <c r="H116" i="46"/>
  <c r="B116" i="46"/>
  <c r="C116" i="46"/>
  <c r="I115" i="46"/>
  <c r="J115" i="46"/>
  <c r="K115" i="46"/>
  <c r="L115" i="46"/>
  <c r="M115" i="46"/>
  <c r="D115" i="46"/>
  <c r="E115" i="46"/>
  <c r="F115" i="46"/>
  <c r="G115" i="46"/>
  <c r="H115" i="46"/>
  <c r="B115" i="46"/>
  <c r="C115" i="46"/>
  <c r="H113" i="46"/>
  <c r="F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F99" i="46"/>
  <c r="F108" i="46"/>
  <c r="F101" i="46"/>
  <c r="F109" i="46"/>
  <c r="E99" i="46"/>
  <c r="E108" i="46"/>
  <c r="E101" i="46"/>
  <c r="E109" i="46"/>
  <c r="D99" i="46"/>
  <c r="D108" i="46"/>
  <c r="D101" i="46"/>
  <c r="D109" i="46"/>
  <c r="C99" i="46"/>
  <c r="C108" i="46"/>
  <c r="C101" i="46"/>
  <c r="C109"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G22" i="46"/>
  <c r="F22" i="46"/>
  <c r="E22" i="46"/>
  <c r="D22" i="46"/>
  <c r="P21" i="46"/>
  <c r="O19" i="46"/>
  <c r="I19" i="46"/>
  <c r="E17" i="46"/>
  <c r="T16" i="46"/>
  <c r="V16" i="46"/>
  <c r="T15" i="46"/>
  <c r="V15" i="46"/>
  <c r="F15" i="46"/>
  <c r="E15" i="46"/>
  <c r="D15" i="46"/>
  <c r="C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c r="V7" i="46"/>
  <c r="N7" i="46"/>
  <c r="M7" i="46"/>
  <c r="C7" i="46"/>
  <c r="A7" i="46"/>
  <c r="S6" i="46"/>
  <c r="T6" i="46"/>
  <c r="V6" i="46"/>
  <c r="N6" i="46"/>
  <c r="M6" i="46"/>
  <c r="S5" i="46"/>
  <c r="T5" i="46"/>
  <c r="V5" i="46"/>
  <c r="N5" i="46"/>
  <c r="M5" i="46"/>
  <c r="S4" i="46"/>
  <c r="T4" i="46"/>
  <c r="V4" i="46"/>
  <c r="N4" i="46"/>
  <c r="M4" i="46"/>
  <c r="D4" i="46"/>
  <c r="B4" i="46"/>
  <c r="S3" i="46"/>
  <c r="T3" i="46"/>
  <c r="V3" i="46"/>
  <c r="N3" i="46"/>
  <c r="M3" i="46"/>
  <c r="D1"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E15" i="6"/>
  <c r="E62" i="40"/>
  <c r="F62" i="40"/>
  <c r="H61" i="40"/>
  <c r="I61" i="40"/>
  <c r="C61" i="40"/>
  <c r="B61" i="40"/>
  <c r="E14" i="6"/>
  <c r="E61" i="40"/>
  <c r="F61" i="40"/>
  <c r="H60" i="40"/>
  <c r="I60" i="40"/>
  <c r="C60" i="40"/>
  <c r="B60" i="40"/>
  <c r="E13" i="6"/>
  <c r="E60" i="40"/>
  <c r="F60" i="40"/>
  <c r="H59" i="40"/>
  <c r="I59" i="40"/>
  <c r="C59" i="40"/>
  <c r="B59" i="40"/>
  <c r="E12" i="6"/>
  <c r="E59" i="40"/>
  <c r="F59" i="40"/>
  <c r="H58" i="40"/>
  <c r="I58" i="40"/>
  <c r="C58" i="40"/>
  <c r="B58" i="40"/>
  <c r="E11" i="6"/>
  <c r="E58" i="40"/>
  <c r="F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K6" i="1"/>
  <c r="M6" i="1"/>
  <c r="K9" i="1"/>
  <c r="M9" i="1"/>
  <c r="K10" i="1"/>
  <c r="M10" i="1"/>
  <c r="K11" i="1"/>
  <c r="M11" i="1"/>
  <c r="K12" i="1"/>
  <c r="M12" i="1"/>
  <c r="K13" i="1"/>
  <c r="M13" i="1"/>
  <c r="K14" i="1"/>
  <c r="M14" i="1"/>
  <c r="M16" i="1"/>
  <c r="F15" i="43"/>
  <c r="C15" i="43"/>
  <c r="D16" i="43"/>
  <c r="E16" i="43"/>
  <c r="C16" i="43"/>
  <c r="F31" i="43"/>
  <c r="C6" i="43"/>
  <c r="C31" i="43"/>
  <c r="F27" i="43"/>
  <c r="C27" i="43"/>
  <c r="G23" i="43"/>
  <c r="G22" i="43"/>
  <c r="G21" i="43"/>
  <c r="F20" i="43"/>
  <c r="C20" i="43"/>
  <c r="F19" i="43"/>
  <c r="F17" i="43"/>
  <c r="F14" i="43"/>
  <c r="K9" i="43"/>
  <c r="J9" i="43"/>
  <c r="I9" i="43"/>
  <c r="H9" i="43"/>
  <c r="G9" i="43"/>
  <c r="F9" i="43"/>
  <c r="E9" i="43"/>
  <c r="D9" i="43"/>
  <c r="C9" i="43"/>
  <c r="K1" i="43"/>
  <c r="O6" i="1"/>
  <c r="P6" i="1"/>
  <c r="O7" i="1"/>
  <c r="P7" i="1"/>
  <c r="O8" i="1"/>
  <c r="P8" i="1"/>
  <c r="E16" i="12"/>
  <c r="E21" i="12"/>
  <c r="E22" i="12"/>
  <c r="F29" i="12"/>
  <c r="G28" i="12"/>
  <c r="G27" i="12"/>
  <c r="G26" i="12"/>
  <c r="F25" i="12"/>
  <c r="C25" i="12"/>
  <c r="F24" i="12"/>
  <c r="F23" i="12"/>
  <c r="E19" i="12"/>
  <c r="F17" i="12"/>
  <c r="F15" i="12"/>
  <c r="F14" i="12"/>
  <c r="C10"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C40" i="39"/>
  <c r="F40" i="39"/>
  <c r="AA40" i="39"/>
  <c r="F42" i="39"/>
  <c r="AA42" i="39"/>
  <c r="F43" i="39"/>
  <c r="AA43" i="39"/>
  <c r="F44" i="39"/>
  <c r="AA44" i="39"/>
  <c r="F45" i="39"/>
  <c r="AA45" i="39"/>
  <c r="F46" i="39"/>
  <c r="AA46" i="39"/>
  <c r="F47" i="39"/>
  <c r="AA47" i="39"/>
  <c r="E68" i="39"/>
  <c r="H67" i="39"/>
  <c r="I67" i="39"/>
  <c r="E67" i="39"/>
  <c r="C67" i="39"/>
  <c r="H66" i="39"/>
  <c r="I66" i="39"/>
  <c r="E66" i="39"/>
  <c r="C66" i="39"/>
  <c r="H65" i="39"/>
  <c r="I65" i="39"/>
  <c r="E65" i="39"/>
  <c r="C65" i="39"/>
  <c r="H64" i="39"/>
  <c r="I64" i="39"/>
  <c r="E64" i="39"/>
  <c r="C64" i="39"/>
  <c r="H63" i="39"/>
  <c r="I63" i="39"/>
  <c r="E63" i="39"/>
  <c r="C63" i="39"/>
  <c r="H62" i="39"/>
  <c r="I62" i="39"/>
  <c r="C62" i="39"/>
  <c r="H61" i="39"/>
  <c r="I61" i="39"/>
  <c r="C61" i="39"/>
  <c r="H60" i="39"/>
  <c r="I60" i="39"/>
  <c r="C60" i="39"/>
  <c r="H59" i="39"/>
  <c r="I59" i="39"/>
  <c r="C59" i="39"/>
  <c r="E58" i="39"/>
  <c r="J57" i="39"/>
  <c r="I55" i="39"/>
  <c r="J55" i="39"/>
  <c r="G55" i="39"/>
  <c r="H55" i="39"/>
  <c r="E55" i="39"/>
  <c r="F55" i="39"/>
  <c r="V48"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8" i="39"/>
  <c r="G8" i="39"/>
  <c r="E8" i="39"/>
  <c r="C8" i="39"/>
  <c r="C109" i="9"/>
  <c r="D107" i="9"/>
  <c r="C107" i="9"/>
  <c r="C105" i="9"/>
  <c r="C110" i="9"/>
  <c r="C112" i="9"/>
  <c r="D111" i="9"/>
  <c r="E108" i="9"/>
  <c r="D96" i="9"/>
  <c r="H95" i="9"/>
  <c r="D95" i="9"/>
  <c r="C95" i="9"/>
  <c r="C94" i="9"/>
  <c r="C92"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K44" i="9"/>
  <c r="A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4" i="1"/>
  <c r="B23" i="1"/>
  <c r="T4" i="1"/>
  <c r="E27" i="6"/>
  <c r="K19" i="6"/>
  <c r="S6" i="1"/>
  <c r="K20" i="6"/>
  <c r="S7" i="1"/>
  <c r="K21" i="6"/>
  <c r="S8" i="1"/>
  <c r="S9" i="1"/>
  <c r="S10" i="1"/>
  <c r="S11" i="1"/>
  <c r="S12" i="1"/>
  <c r="S13" i="1"/>
  <c r="S16" i="1"/>
  <c r="T6" i="1"/>
  <c r="T7" i="1"/>
  <c r="T8" i="1"/>
  <c r="T9" i="1"/>
  <c r="T10" i="1"/>
  <c r="T11" i="1"/>
  <c r="T12" i="1"/>
  <c r="T13" i="1"/>
  <c r="T16" i="1"/>
  <c r="E32" i="6"/>
  <c r="L19" i="6"/>
  <c r="M19" i="6"/>
  <c r="I19" i="6"/>
  <c r="H19" i="6"/>
  <c r="R19" i="6"/>
  <c r="R6" i="1"/>
  <c r="L20" i="6"/>
  <c r="M20" i="6"/>
  <c r="I20" i="6"/>
  <c r="H20" i="6"/>
  <c r="R20" i="6"/>
  <c r="R7" i="1"/>
  <c r="L21" i="6"/>
  <c r="M21" i="6"/>
  <c r="I21" i="6"/>
  <c r="H21" i="6"/>
  <c r="R21" i="6"/>
  <c r="R8" i="1"/>
  <c r="R9" i="1"/>
  <c r="R10" i="1"/>
  <c r="R11" i="1"/>
  <c r="R12" i="1"/>
  <c r="R13" i="1"/>
  <c r="R16" i="1"/>
  <c r="Q16" i="1"/>
  <c r="F18" i="11"/>
  <c r="C18" i="11"/>
  <c r="K15" i="1"/>
  <c r="K16" i="1"/>
  <c r="H16" i="1"/>
  <c r="O14" i="1"/>
  <c r="P14" i="1"/>
  <c r="F13" i="1"/>
  <c r="AP13" i="1"/>
  <c r="AG13" i="1"/>
  <c r="AE13" i="1"/>
  <c r="O13" i="1"/>
  <c r="P13" i="1"/>
  <c r="D13" i="1"/>
  <c r="G13" i="1"/>
  <c r="B13" i="1"/>
  <c r="E13" i="1"/>
  <c r="F12" i="1"/>
  <c r="AP12" i="1"/>
  <c r="AG12" i="1"/>
  <c r="AE12" i="1"/>
  <c r="O12" i="1"/>
  <c r="P12" i="1"/>
  <c r="D12" i="1"/>
  <c r="G12" i="1"/>
  <c r="B12" i="1"/>
  <c r="E12" i="1"/>
  <c r="F11" i="1"/>
  <c r="AP11" i="1"/>
  <c r="AG11" i="1"/>
  <c r="AE11" i="1"/>
  <c r="O11" i="1"/>
  <c r="P11" i="1"/>
  <c r="D11" i="1"/>
  <c r="G11" i="1"/>
  <c r="B11" i="1"/>
  <c r="E11" i="1"/>
  <c r="F10" i="1"/>
  <c r="AP10" i="1"/>
  <c r="AG10" i="1"/>
  <c r="AE10" i="1"/>
  <c r="O10" i="1"/>
  <c r="P10" i="1"/>
  <c r="D10" i="1"/>
  <c r="G10" i="1"/>
  <c r="B10" i="1"/>
  <c r="E10" i="1"/>
  <c r="F9" i="1"/>
  <c r="AP9" i="1"/>
  <c r="O9" i="1"/>
  <c r="P9" i="1"/>
  <c r="D9" i="1"/>
  <c r="G9" i="1"/>
  <c r="B9" i="1"/>
  <c r="E9" i="1"/>
  <c r="E19" i="4"/>
  <c r="G19" i="4"/>
  <c r="F8" i="1"/>
  <c r="AP8" i="1"/>
  <c r="D8" i="1"/>
  <c r="G8" i="1"/>
  <c r="B8" i="1"/>
  <c r="E8" i="1"/>
  <c r="F7" i="1"/>
  <c r="AP7" i="1"/>
  <c r="D7" i="1"/>
  <c r="G7" i="1"/>
  <c r="B7" i="1"/>
  <c r="E7" i="1"/>
  <c r="F6" i="1"/>
  <c r="AP6" i="1"/>
  <c r="AG6" i="1"/>
  <c r="AE6" i="1"/>
  <c r="D6" i="1"/>
  <c r="G6" i="1"/>
  <c r="B6" i="1"/>
  <c r="E6" i="1"/>
  <c r="G27" i="6"/>
  <c r="G30" i="6"/>
  <c r="G31" i="6"/>
  <c r="E30" i="6"/>
  <c r="E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B2" i="52"/>
  <c r="E7" i="52"/>
  <c r="E4" i="4"/>
  <c r="B21" i="55"/>
  <c r="B72" i="63"/>
  <c r="K1" i="4"/>
  <c r="B1" i="4"/>
  <c r="C57" i="10"/>
  <c r="C56" i="10"/>
  <c r="C55" i="10"/>
  <c r="C54" i="10"/>
  <c r="C53" i="10"/>
  <c r="D51" i="10"/>
  <c r="C51" i="10"/>
  <c r="B51" i="10"/>
  <c r="E22" i="52"/>
  <c r="A21"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6" i="15"/>
  <c r="F7" i="15"/>
  <c r="F36" i="15"/>
  <c r="F13" i="15"/>
  <c r="F37" i="15"/>
  <c r="F38" i="15"/>
  <c r="F42" i="15"/>
  <c r="L48" i="15"/>
  <c r="M6" i="15"/>
  <c r="N7" i="65"/>
  <c r="I7" i="65"/>
  <c r="J6" i="65"/>
  <c r="N5" i="65"/>
  <c r="J4" i="65"/>
  <c r="N3" i="65"/>
  <c r="I3" i="65"/>
  <c r="L47" i="69"/>
  <c r="F8" i="15"/>
  <c r="F9" i="15"/>
  <c r="F35" i="15"/>
  <c r="C14" i="15"/>
  <c r="F16" i="15"/>
  <c r="F43" i="15"/>
  <c r="F26" i="15"/>
  <c r="F40" i="15"/>
  <c r="M8" i="15"/>
  <c r="M9" i="15"/>
  <c r="J7" i="65"/>
  <c r="N6" i="65"/>
  <c r="I6" i="65"/>
  <c r="J5" i="65"/>
  <c r="I4" i="65"/>
  <c r="J3" i="65"/>
  <c r="J36" i="69"/>
  <c r="M29" i="69"/>
  <c r="M26" i="69"/>
  <c r="J36" i="15"/>
  <c r="M29" i="15"/>
  <c r="M26" i="15"/>
  <c r="M8" i="44"/>
  <c r="F9" i="44"/>
  <c r="M11" i="44"/>
  <c r="F45" i="44"/>
  <c r="L49" i="44"/>
  <c r="F10" i="44"/>
  <c r="F40" i="44"/>
  <c r="L48" i="44"/>
  <c r="M28" i="69"/>
  <c r="M27" i="69"/>
  <c r="M21" i="69"/>
  <c r="M22" i="69"/>
  <c r="J15" i="69"/>
  <c r="M23" i="69"/>
  <c r="M24" i="69"/>
  <c r="L47" i="15"/>
  <c r="M28" i="15"/>
  <c r="M27" i="15"/>
  <c r="M21" i="15"/>
  <c r="M22" i="15"/>
  <c r="J15" i="15"/>
  <c r="M23" i="15"/>
  <c r="M24" i="15"/>
  <c r="M10" i="44"/>
  <c r="F8" i="44"/>
  <c r="F11" i="44"/>
  <c r="F43" i="44"/>
  <c r="C16" i="44"/>
  <c r="F18" i="44"/>
  <c r="C19" i="44"/>
  <c r="F28" i="44"/>
  <c r="F37" i="44"/>
  <c r="M30" i="44"/>
  <c r="M29" i="44"/>
  <c r="M23" i="44"/>
  <c r="M24" i="44"/>
  <c r="J17" i="44"/>
  <c r="M25" i="44"/>
  <c r="M26" i="44"/>
  <c r="E14" i="67"/>
  <c r="F13" i="67"/>
  <c r="B13" i="67"/>
  <c r="E12" i="67"/>
  <c r="F11" i="67"/>
  <c r="B11" i="67"/>
  <c r="E10" i="67"/>
  <c r="F9" i="67"/>
  <c r="B9" i="67"/>
  <c r="E8" i="67"/>
  <c r="E7" i="67"/>
  <c r="B7" i="67"/>
  <c r="F15" i="44"/>
  <c r="F38" i="44"/>
  <c r="F39" i="44"/>
  <c r="M31" i="44"/>
  <c r="M28" i="44"/>
  <c r="F14" i="67"/>
  <c r="B14" i="67"/>
  <c r="E13" i="67"/>
  <c r="F12" i="67"/>
  <c r="B12" i="67"/>
  <c r="E11" i="67"/>
  <c r="F10" i="67"/>
  <c r="B10" i="67"/>
  <c r="E9" i="67"/>
  <c r="F8" i="67"/>
  <c r="B8" i="67"/>
  <c r="F24" i="43"/>
  <c r="C26" i="43"/>
  <c r="D24" i="43"/>
  <c r="E4" i="52"/>
  <c r="E5" i="52"/>
  <c r="E6" i="52"/>
  <c r="B8" i="52"/>
  <c r="B9" i="52"/>
  <c r="B10" i="52"/>
  <c r="B11" i="52"/>
  <c r="B13" i="52"/>
  <c r="P16" i="1"/>
  <c r="L16" i="1"/>
  <c r="C13" i="43"/>
  <c r="N16" i="1"/>
  <c r="C29" i="43"/>
  <c r="O16" i="1"/>
  <c r="E14" i="52"/>
  <c r="E15" i="52"/>
  <c r="E16" i="52"/>
  <c r="E21" i="52"/>
  <c r="B2" i="67"/>
  <c r="E3" i="67"/>
  <c r="J22" i="44"/>
  <c r="C36" i="44"/>
  <c r="C29" i="44"/>
  <c r="C17" i="44"/>
  <c r="C20" i="44"/>
  <c r="Q73" i="44"/>
  <c r="C8" i="44"/>
  <c r="J20" i="15"/>
  <c r="L58" i="15"/>
  <c r="L59" i="15"/>
  <c r="J20" i="69"/>
  <c r="L60" i="44"/>
  <c r="L59" i="44"/>
  <c r="J61" i="44"/>
  <c r="Q50" i="44"/>
  <c r="J60" i="44"/>
  <c r="L57" i="44"/>
  <c r="I55" i="44"/>
  <c r="J58" i="44"/>
  <c r="J56" i="44"/>
  <c r="J59" i="44"/>
  <c r="Q52" i="44"/>
  <c r="J54" i="44"/>
  <c r="M9" i="44"/>
  <c r="J8" i="44"/>
  <c r="Q72" i="15"/>
  <c r="Q72" i="69"/>
  <c r="F67" i="69"/>
  <c r="F50" i="69"/>
  <c r="J1" i="65"/>
  <c r="E20" i="46"/>
  <c r="F67" i="15"/>
  <c r="C27" i="15"/>
  <c r="F70" i="15"/>
  <c r="C15" i="15"/>
  <c r="C18" i="15"/>
  <c r="C34" i="15"/>
  <c r="F62" i="15"/>
  <c r="C61" i="15"/>
  <c r="F50" i="15"/>
  <c r="L58" i="69"/>
  <c r="L59" i="69"/>
  <c r="L60" i="69"/>
  <c r="J57" i="69"/>
  <c r="J55" i="69"/>
  <c r="J58" i="69"/>
  <c r="Q51" i="69"/>
  <c r="L56" i="69"/>
  <c r="I54" i="69"/>
  <c r="L57" i="69"/>
  <c r="F65" i="69"/>
  <c r="F64" i="69"/>
  <c r="F63" i="69"/>
  <c r="F70" i="69"/>
  <c r="F62" i="69"/>
  <c r="C61" i="69"/>
  <c r="F49" i="69"/>
  <c r="J53" i="15"/>
  <c r="L57" i="15"/>
  <c r="L60" i="15"/>
  <c r="J57" i="15"/>
  <c r="J55" i="15"/>
  <c r="J58" i="15"/>
  <c r="Q51" i="15"/>
  <c r="L56" i="15"/>
  <c r="I54" i="15"/>
  <c r="F65" i="15"/>
  <c r="F64" i="15"/>
  <c r="F63" i="15"/>
  <c r="M7" i="15"/>
  <c r="J6" i="15"/>
  <c r="F49" i="15"/>
  <c r="C6" i="15"/>
  <c r="B4" i="52"/>
  <c r="B5" i="52"/>
  <c r="B6" i="52"/>
  <c r="B7" i="52"/>
  <c r="E8" i="52"/>
  <c r="E9" i="52"/>
  <c r="E10" i="52"/>
  <c r="E11" i="52"/>
  <c r="B14" i="52"/>
  <c r="B15" i="52"/>
  <c r="B16" i="52"/>
  <c r="E17" i="52"/>
  <c r="B22" i="52"/>
  <c r="E13" i="52"/>
  <c r="C4" i="4"/>
  <c r="B20" i="55"/>
  <c r="B70" i="63"/>
  <c r="C18" i="44"/>
  <c r="E3" i="65"/>
  <c r="F7" i="67"/>
  <c r="C17" i="15"/>
  <c r="C16" i="15"/>
  <c r="C14" i="43"/>
  <c r="C17" i="43"/>
  <c r="C19" i="15"/>
  <c r="E4" i="67"/>
  <c r="B4" i="67"/>
  <c r="F17" i="11"/>
  <c r="C17" i="11"/>
  <c r="C19" i="11"/>
  <c r="C21" i="44"/>
  <c r="Q67" i="69"/>
  <c r="Q58" i="69"/>
  <c r="Q74" i="69"/>
  <c r="Q61" i="69"/>
  <c r="F11" i="15"/>
  <c r="C52" i="15"/>
  <c r="M11" i="15"/>
  <c r="J10" i="15"/>
  <c r="J5" i="15"/>
  <c r="C52" i="69"/>
  <c r="M13" i="44"/>
  <c r="J12" i="44"/>
  <c r="J7" i="44"/>
  <c r="F13" i="44"/>
  <c r="C12" i="44"/>
  <c r="O17" i="46"/>
  <c r="M17" i="46"/>
  <c r="P17" i="46"/>
  <c r="N17" i="46"/>
  <c r="C48" i="69"/>
  <c r="C47" i="69"/>
  <c r="Q75" i="44"/>
  <c r="Q62" i="44"/>
  <c r="Q74" i="15"/>
  <c r="Q61" i="15"/>
  <c r="C7" i="44"/>
  <c r="B3" i="67"/>
  <c r="Q67" i="15"/>
  <c r="Q58" i="15"/>
  <c r="F1" i="15"/>
  <c r="Q53" i="15"/>
  <c r="Q53" i="69"/>
  <c r="Q75" i="69"/>
  <c r="Q62" i="69"/>
  <c r="C48" i="15"/>
  <c r="F24" i="15"/>
  <c r="C24" i="15"/>
  <c r="F26" i="44"/>
  <c r="C26" i="44"/>
  <c r="F21" i="43"/>
  <c r="Q54" i="44"/>
  <c r="F1" i="44"/>
  <c r="Q76" i="44"/>
  <c r="Q63" i="44"/>
  <c r="Q75" i="15"/>
  <c r="Q62" i="15"/>
  <c r="AE7" i="1"/>
  <c r="F46" i="44"/>
  <c r="F41" i="15"/>
  <c r="C47" i="15"/>
  <c r="C10" i="15"/>
  <c r="C5" i="15"/>
  <c r="C18" i="43"/>
  <c r="C19" i="43"/>
  <c r="C25" i="43"/>
  <c r="C24" i="43"/>
  <c r="F68" i="15"/>
  <c r="F68" i="69"/>
  <c r="J24" i="69"/>
  <c r="J18" i="69"/>
  <c r="J26" i="15"/>
  <c r="J29" i="15"/>
  <c r="J24" i="15"/>
  <c r="J18" i="15"/>
  <c r="C33" i="15"/>
  <c r="C32" i="15"/>
  <c r="C38" i="15"/>
  <c r="J28" i="44"/>
  <c r="J31" i="44"/>
  <c r="J20" i="44"/>
  <c r="J26" i="44"/>
  <c r="C40" i="44"/>
  <c r="C34" i="44"/>
  <c r="C22" i="44"/>
  <c r="C28" i="44"/>
  <c r="C20" i="11"/>
  <c r="C21" i="11"/>
  <c r="C23" i="43"/>
  <c r="D21" i="43"/>
  <c r="C22" i="43"/>
  <c r="C21" i="43"/>
  <c r="C59" i="15"/>
  <c r="C60" i="15"/>
  <c r="C65" i="15"/>
  <c r="C60" i="69"/>
  <c r="C59" i="69"/>
  <c r="C65" i="69"/>
  <c r="C20" i="15"/>
  <c r="C23" i="15"/>
  <c r="L52" i="44"/>
  <c r="C26" i="15"/>
  <c r="C28" i="43"/>
  <c r="C30" i="43"/>
  <c r="C32" i="43"/>
  <c r="B2" i="43"/>
  <c r="C29" i="15"/>
  <c r="C58" i="69"/>
  <c r="Q69" i="44"/>
  <c r="L58" i="44"/>
  <c r="L61" i="44"/>
  <c r="C36" i="15"/>
  <c r="C13" i="15"/>
  <c r="C56" i="15"/>
  <c r="C63" i="15"/>
  <c r="Q50" i="15"/>
  <c r="J19" i="15"/>
  <c r="J14" i="15"/>
  <c r="J59" i="15"/>
  <c r="J60" i="15"/>
  <c r="Q49" i="15"/>
  <c r="B4" i="43"/>
  <c r="B5" i="43"/>
  <c r="B3" i="43"/>
  <c r="Q67" i="44"/>
  <c r="Q58" i="44"/>
  <c r="Q49" i="44"/>
  <c r="Q55" i="44"/>
  <c r="C58" i="15"/>
  <c r="C25" i="44"/>
  <c r="C31" i="44"/>
  <c r="C31" i="15"/>
  <c r="J17" i="15"/>
  <c r="J19" i="69"/>
  <c r="J17" i="69"/>
  <c r="Q50" i="69"/>
  <c r="C56" i="69"/>
  <c r="C63" i="69"/>
  <c r="J14" i="69"/>
  <c r="J59" i="69"/>
  <c r="J60" i="69"/>
  <c r="Q49" i="69"/>
  <c r="C15" i="44"/>
  <c r="C38" i="44"/>
  <c r="Q51" i="44"/>
  <c r="C35" i="44"/>
  <c r="C33" i="44"/>
  <c r="J21" i="44"/>
  <c r="J19" i="44"/>
  <c r="J16" i="44"/>
  <c r="Q68" i="44"/>
  <c r="Q77" i="44"/>
  <c r="Q59" i="44"/>
  <c r="Q64" i="44"/>
  <c r="L47" i="44"/>
  <c r="J22" i="15"/>
  <c r="J13" i="15"/>
  <c r="J23" i="15"/>
  <c r="C37" i="15"/>
  <c r="C30" i="15"/>
  <c r="C39" i="15"/>
  <c r="J35" i="15"/>
  <c r="Q71" i="15"/>
  <c r="C55" i="15"/>
  <c r="C64" i="15"/>
  <c r="C57" i="15"/>
  <c r="C66" i="15"/>
  <c r="C67" i="15"/>
  <c r="J22" i="69"/>
  <c r="J13" i="69"/>
  <c r="J23" i="69"/>
  <c r="Q71" i="69"/>
  <c r="C55" i="69"/>
  <c r="C64" i="69"/>
  <c r="C57" i="69"/>
  <c r="C66" i="69"/>
  <c r="C67" i="69"/>
  <c r="J35" i="69"/>
  <c r="J39" i="69"/>
  <c r="J40" i="69"/>
  <c r="J16" i="69"/>
  <c r="J25" i="69"/>
  <c r="J16" i="15"/>
  <c r="J25" i="15"/>
  <c r="C70" i="15"/>
  <c r="C40" i="15"/>
  <c r="Q70" i="15"/>
  <c r="Q69" i="15"/>
  <c r="C70" i="69"/>
  <c r="J24" i="44"/>
  <c r="J15" i="44"/>
  <c r="J25" i="44"/>
  <c r="Q70" i="69"/>
  <c r="Q69" i="69"/>
  <c r="J39" i="15"/>
  <c r="J40" i="15"/>
  <c r="C39" i="44"/>
  <c r="C32" i="44"/>
  <c r="C42" i="44"/>
  <c r="C43" i="44"/>
  <c r="Q72" i="44"/>
  <c r="L51" i="15"/>
  <c r="L51" i="69"/>
  <c r="J18" i="44"/>
  <c r="J27" i="44"/>
  <c r="Q68" i="69"/>
  <c r="Q68" i="15"/>
  <c r="Q71" i="44"/>
  <c r="Q70" i="44"/>
  <c r="C44" i="44"/>
  <c r="C45" i="44"/>
  <c r="B2" i="44"/>
  <c r="Q66" i="69"/>
  <c r="Q76" i="69"/>
  <c r="Q57" i="69"/>
  <c r="Q63" i="69"/>
  <c r="C43" i="69"/>
  <c r="Q48" i="69"/>
  <c r="Q54" i="69"/>
  <c r="J42" i="69"/>
  <c r="J43" i="69"/>
  <c r="C46" i="69"/>
  <c r="B2" i="15"/>
  <c r="Q57" i="15"/>
  <c r="Q63" i="15"/>
  <c r="Q66" i="15"/>
  <c r="Q76" i="15"/>
  <c r="Q48" i="15"/>
  <c r="Q54" i="15"/>
  <c r="C43" i="15"/>
  <c r="J42" i="15"/>
  <c r="J43" i="15"/>
  <c r="C46" i="15"/>
  <c r="B3" i="15"/>
  <c r="B3" i="69"/>
  <c r="E8" i="12"/>
  <c r="B5" i="44"/>
  <c r="B3" i="44"/>
  <c r="B4" i="44"/>
  <c r="B5" i="12"/>
  <c r="B3" i="12"/>
  <c r="B4" i="12"/>
  <c r="L43" i="9"/>
  <c r="C20" i="9"/>
  <c r="C21" i="9"/>
  <c r="G16" i="1"/>
  <c r="F12" i="39"/>
  <c r="AA12" i="39"/>
  <c r="H12" i="39"/>
  <c r="AB12" i="39"/>
  <c r="J12" i="39"/>
  <c r="AC12" i="39"/>
  <c r="C32" i="9"/>
  <c r="C42" i="9"/>
  <c r="C44" i="9"/>
  <c r="N69" i="9"/>
  <c r="D63" i="9"/>
  <c r="D71" i="9"/>
  <c r="D66" i="9"/>
  <c r="N72" i="9"/>
  <c r="C103" i="9"/>
  <c r="C111" i="9"/>
  <c r="C104" i="9"/>
  <c r="C113" i="9"/>
  <c r="C114" i="9"/>
  <c r="C115" i="9"/>
  <c r="D76" i="9"/>
  <c r="D74" i="9"/>
  <c r="N74" i="9"/>
  <c r="D77" i="9"/>
  <c r="N75" i="9"/>
  <c r="O77" i="9"/>
  <c r="O79" i="9"/>
  <c r="O80" i="9"/>
  <c r="O81" i="9"/>
  <c r="Q77" i="9"/>
  <c r="O78" i="9"/>
  <c r="C90" i="9"/>
  <c r="C96" i="9"/>
  <c r="C91" i="9"/>
  <c r="C97" i="9"/>
  <c r="C98" i="9"/>
  <c r="C99" i="9"/>
  <c r="M83" i="9"/>
  <c r="N83" i="9"/>
  <c r="M84" i="9"/>
  <c r="N84" i="9"/>
  <c r="M85" i="9"/>
  <c r="N85" i="9"/>
  <c r="M86" i="9"/>
  <c r="N86" i="9"/>
  <c r="M87" i="9"/>
  <c r="N87" i="9"/>
  <c r="M88" i="9"/>
  <c r="N88" i="9"/>
  <c r="N89" i="9"/>
  <c r="O89" i="9"/>
  <c r="E114" i="9"/>
  <c r="E115" i="9"/>
  <c r="E98" i="9"/>
  <c r="E99" i="9"/>
  <c r="D14" i="66"/>
  <c r="B5" i="66"/>
  <c r="C5" i="66"/>
  <c r="D5" i="66"/>
  <c r="O39" i="9"/>
  <c r="K29" i="9"/>
  <c r="K30" i="9"/>
  <c r="R6" i="54"/>
  <c r="B50" i="63"/>
  <c r="G14" i="66"/>
  <c r="B6" i="66"/>
  <c r="D6" i="66"/>
  <c r="C6" i="66"/>
  <c r="E44" i="9"/>
  <c r="D44" i="9"/>
  <c r="F44" i="9"/>
  <c r="D70" i="9"/>
  <c r="C82" i="9"/>
  <c r="C81" i="9"/>
  <c r="C85" i="9"/>
  <c r="C86" i="9"/>
  <c r="D72" i="9"/>
  <c r="E14" i="66"/>
  <c r="F14" i="66"/>
  <c r="R5" i="54"/>
  <c r="B48" i="63"/>
  <c r="N68" i="9"/>
  <c r="C33" i="9"/>
  <c r="N38" i="9"/>
  <c r="K28" i="9"/>
  <c r="D42" i="9"/>
  <c r="Q5" i="54"/>
  <c r="B47" i="63"/>
  <c r="C34" i="9"/>
  <c r="E42" i="9"/>
  <c r="P5" i="54"/>
  <c r="B46" i="63"/>
  <c r="M38" i="9"/>
  <c r="K27" i="9"/>
  <c r="O38" i="9"/>
  <c r="K26" i="9"/>
  <c r="K25" i="9"/>
  <c r="C35" i="9"/>
  <c r="F42" i="9"/>
  <c r="O43" i="9"/>
  <c r="B4" i="39"/>
  <c r="D21" i="9"/>
  <c r="G21" i="9"/>
  <c r="B3" i="39"/>
  <c r="D20" i="9"/>
  <c r="G20" i="9"/>
  <c r="G22" i="9"/>
  <c r="N43" i="9"/>
  <c r="D22" i="9"/>
  <c r="AP16" i="1"/>
  <c r="F22" i="11"/>
  <c r="C22" i="11"/>
  <c r="C23" i="11"/>
  <c r="B2" i="11"/>
  <c r="B3" i="11"/>
  <c r="B5" i="11"/>
  <c r="B4" i="11"/>
  <c r="L44" i="9"/>
  <c r="B5" i="39"/>
  <c r="S12" i="39"/>
  <c r="U12" i="39"/>
  <c r="W12" i="39"/>
  <c r="C49" i="39"/>
  <c r="E49" i="39"/>
  <c r="E53" i="39"/>
  <c r="F53" i="39"/>
  <c r="G49" i="39"/>
  <c r="G53" i="39"/>
  <c r="H53" i="39"/>
  <c r="I49" i="39"/>
  <c r="I53" i="39"/>
  <c r="J53" i="39"/>
  <c r="E54" i="39"/>
  <c r="F54" i="39"/>
  <c r="G54" i="39"/>
  <c r="H54" i="39"/>
  <c r="I54" i="39"/>
  <c r="J54" i="39"/>
  <c r="B58" i="39"/>
  <c r="F58" i="39"/>
  <c r="B59" i="39"/>
  <c r="F59" i="39"/>
  <c r="B60" i="39"/>
  <c r="F60" i="39"/>
  <c r="B61" i="39"/>
  <c r="F61" i="39"/>
  <c r="B62" i="39"/>
  <c r="F62" i="39"/>
  <c r="B63" i="39"/>
  <c r="F63" i="39"/>
  <c r="B64" i="39"/>
  <c r="F64" i="39"/>
  <c r="B65" i="39"/>
  <c r="F65" i="39"/>
  <c r="B66" i="39"/>
  <c r="F66" i="39"/>
  <c r="B67" i="39"/>
  <c r="F67"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E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<sst xmlns="http://schemas.openxmlformats.org/spreadsheetml/2006/main" count="7411" uniqueCount="2350">
  <si>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</si>
  <si>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</si>
  <si>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</si>
  <si>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</si>
  <si>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</si>
  <si>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</si>
  <si>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</si>
  <si>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</si>
  <si>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</si>
  <si>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</si>
  <si>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</si>
  <si>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</si>
  <si>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</si>
  <si>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</si>
  <si>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</si>
  <si>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</si>
  <si>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</si>
  <si>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</si>
  <si>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</si>
  <si>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</si>
  <si>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</si>
  <si>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</si>
  <si>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</si>
  <si>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</si>
  <si>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</si>
  <si>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</si>
  <si>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</si>
  <si>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</si>
  <si>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</si>
  <si>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</si>
  <si>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</si>
  <si>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</si>
  <si>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</si>
  <si>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</si>
  <si>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</si>
  <si>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</si>
  <si>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</si>
  <si>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</si>
  <si>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</si>
  <si>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</si>
  <si>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</si>
  <si>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</si>
  <si>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</si>
  <si>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</si>
  <si>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</si>
  <si>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</si>
  <si>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</si>
  <si>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</si>
  <si>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</si>
  <si>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</si>
  <si>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</si>
  <si>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</si>
  <si>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</si>
  <si>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</si>
  <si>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</si>
  <si>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</si>
  <si>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</si>
  <si>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</si>
  <si>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</si>
  <si>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</si>
  <si>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</si>
  <si>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</si>
  <si>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</si>
  <si>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</si>
  <si>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</si>
  <si>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</si>
  <si>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</si>
  <si>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</si>
  <si>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</si>
  <si>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</si>
  <si>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</si>
  <si>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</si>
  <si>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</si>
  <si>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</si>
  <si>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</si>
  <si>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</si>
  <si>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</si>
  <si>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</si>
  <si>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</si>
  <si>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</si>
  <si>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</si>
  <si>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</si>
  <si>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</si>
  <si>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</si>
  <si>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</si>
  <si>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</si>
  <si>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</si>
  <si>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</si>
  <si>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</si>
  <si>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</si>
  <si>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</si>
  <si>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</si>
  <si>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</si>
  <si>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</si>
  <si>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</si>
  <si>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</si>
  <si>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</si>
  <si>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</si>
  <si>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</si>
  <si>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</si>
  <si>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</si>
  <si>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</si>
  <si>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</si>
  <si>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</si>
  <si>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</si>
  <si>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</si>
  <si>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</si>
  <si>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</si>
  <si>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</si>
  <si>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</si>
  <si>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</si>
  <si>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</si>
  <si>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</si>
  <si>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</si>
  <si>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</si>
  <si>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</si>
  <si>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</si>
  <si>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</si>
  <si>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</si>
  <si>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</si>
  <si>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</si>
  <si>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</si>
  <si>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</si>
  <si>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</si>
  <si>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</si>
  <si>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</si>
  <si>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</si>
  <si>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</si>
  <si>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</si>
  <si>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</si>
  <si>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</si>
  <si>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</si>
  <si>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</si>
  <si>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</si>
  <si>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</si>
  <si>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</si>
  <si>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</si>
  <si>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</si>
  <si>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</si>
  <si>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</si>
  <si>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</si>
  <si>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</si>
  <si>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</si>
  <si>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</si>
  <si>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</si>
  <si>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</si>
  <si>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</si>
  <si>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</si>
  <si>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</si>
  <si>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</si>
  <si>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</si>
  <si>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</si>
  <si>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</si>
  <si>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</si>
  <si>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</si>
  <si>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</si>
  <si>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</si>
  <si>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</si>
  <si>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</si>
  <si>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</si>
  <si>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</si>
  <si>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</si>
  <si>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</si>
  <si>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</si>
  <si>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</si>
  <si>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</si>
  <si>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</si>
  <si>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</si>
  <si>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</si>
  <si>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</si>
  <si>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</si>
  <si>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</si>
  <si>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</si>
  <si>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</si>
  <si>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</si>
  <si>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</si>
  <si>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</si>
  <si>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</si>
  <si>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</si>
  <si>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</si>
  <si>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</si>
  <si>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</si>
  <si>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</si>
  <si>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</si>
  <si>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</si>
  <si>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</si>
  <si>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</si>
  <si>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</si>
  <si>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</si>
  <si>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</si>
  <si>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</si>
  <si>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</si>
  <si>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</si>
  <si>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</si>
  <si>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</si>
  <si>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</si>
  <si>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</si>
  <si>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</si>
  <si>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</si>
  <si>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</si>
  <si>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</si>
  <si>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</si>
  <si>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</si>
  <si>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</si>
  <si>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</si>
  <si>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</si>
  <si>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</si>
  <si>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</si>
  <si>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</si>
  <si>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</si>
  <si>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</si>
  <si>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</si>
  <si>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</si>
  <si>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</si>
  <si>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</si>
  <si>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</si>
  <si>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</si>
  <si>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</si>
  <si>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</si>
  <si>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</si>
  <si>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</si>
  <si>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</si>
  <si>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</si>
  <si>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</si>
  <si>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</si>
  <si>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</si>
  <si>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</si>
  <si>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</si>
  <si>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</si>
  <si>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</si>
  <si>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</si>
  <si>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</si>
  <si>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</si>
  <si>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</si>
  <si>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</si>
  <si>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</si>
  <si>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</si>
  <si>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</si>
  <si>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</si>
  <si>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</si>
  <si>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</si>
  <si>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</si>
  <si>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</si>
  <si>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</si>
  <si>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</si>
  <si>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</si>
  <si>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</si>
  <si>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</si>
  <si>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</si>
  <si>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</si>
  <si>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</si>
  <si>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</si>
  <si>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</si>
  <si>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</si>
  <si>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</si>
  <si>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</si>
  <si>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</si>
  <si>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</si>
  <si>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</si>
  <si>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</si>
  <si>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</si>
  <si>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</si>
  <si>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</si>
  <si>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</si>
  <si>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</si>
  <si>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</si>
  <si>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</si>
  <si>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</si>
  <si>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</si>
  <si>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</si>
  <si>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</si>
  <si>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</si>
  <si>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</si>
  <si>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</si>
  <si>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</si>
  <si>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</si>
  <si>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</si>
  <si>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</si>
  <si>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</si>
  <si>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</si>
  <si>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</si>
  <si>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</si>
  <si>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</si>
  <si>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</si>
  <si>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</si>
  <si>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</si>
  <si>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</si>
  <si>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</si>
  <si>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</si>
  <si>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</si>
  <si>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</si>
  <si>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</si>
  <si>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</si>
  <si>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</si>
  <si>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</si>
  <si>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</si>
  <si>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</si>
  <si>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</si>
  <si>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</si>
  <si>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</si>
  <si>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</si>
  <si>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</si>
  <si>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</si>
  <si>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</si>
  <si>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</si>
  <si>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</si>
  <si>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</si>
  <si>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</si>
  <si>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</si>
  <si>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</si>
  <si>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</si>
  <si>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</si>
  <si>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</si>
  <si>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</si>
  <si>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</si>
  <si>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</si>
  <si>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</si>
  <si>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</si>
  <si>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</si>
  <si>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</si>
  <si>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</si>
  <si>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</si>
  <si>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</si>
  <si>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</si>
  <si>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</si>
  <si>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</si>
  <si>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</si>
  <si>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</si>
  <si>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</si>
  <si>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t>不动产收益法</t>
    </r>
    <r>
      <rPr>
        <sz val="11"/>
        <color theme="1"/>
        <rFont val="Arial"/>
        <family val="2"/>
      </rPr>
      <t xml:space="preserve"> (</t>
    </r>
    <r>
      <rPr>
        <sz val="11"/>
        <color theme="1"/>
        <rFont val="宋体"/>
        <family val="3"/>
        <charset val="134"/>
      </rPr>
      <t>车库</t>
    </r>
    <r>
      <rPr>
        <sz val="11"/>
        <color theme="1"/>
        <rFont val="Arial"/>
        <family val="2"/>
      </rPr>
      <t>)</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</si>
  <si>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</si>
  <si>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</si>
  <si>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</si>
  <si>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</si>
  <si>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</si>
  <si>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</si>
  <si>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</si>
  <si>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</si>
  <si>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</si>
  <si>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</si>
  <si>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</si>
  <si>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</si>
  <si>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</si>
  <si>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</si>
  <si>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</si>
  <si>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</si>
  <si>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</si>
  <si>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</si>
  <si>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</si>
  <si>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</si>
  <si>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</si>
  <si>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</si>
  <si>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</si>
  <si>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</si>
  <si>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</si>
  <si>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</si>
  <si>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</si>
  <si>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寿光市文腾基础设施建设开发有限公司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</si>
  <si>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</si>
  <si>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</si>
  <si>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</si>
  <si>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</si>
  <si>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</si>
  <si>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山东省</t>
  </si>
  <si>
    <t>坐落</t>
  </si>
  <si>
    <t>寿光市文苑路以西、文庙街以北</t>
  </si>
  <si>
    <t>不动产权利人</t>
  </si>
  <si>
    <t>企业</t>
  </si>
  <si>
    <t>证载土地用途</t>
  </si>
  <si>
    <t>批发零售用地、城镇住宅用地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</si>
  <si>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</si>
  <si>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</si>
  <si>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</si>
  <si>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</si>
  <si>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</si>
  <si>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</si>
  <si>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</si>
  <si>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</si>
  <si>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</si>
  <si>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</si>
  <si>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</si>
  <si>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</si>
  <si>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</si>
  <si>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</si>
  <si>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</si>
  <si>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</si>
  <si>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</si>
  <si>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住宅69.57年、商业39.55年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</si>
  <si>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</si>
  <si>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</si>
  <si>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</si>
  <si>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</si>
  <si>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</si>
  <si>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</si>
  <si>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</si>
  <si>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</si>
  <si>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</si>
  <si>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</si>
  <si>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</si>
  <si>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</si>
  <si>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</si>
  <si>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</si>
  <si>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</si>
  <si>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</si>
  <si>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</si>
  <si>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</si>
  <si>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</si>
  <si>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</si>
  <si>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</si>
  <si>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</si>
  <si>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</si>
  <si>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</si>
  <si>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</si>
  <si>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</si>
  <si>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</si>
  <si>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</si>
  <si>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</si>
  <si>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</si>
  <si>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</si>
  <si>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</si>
  <si>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</si>
  <si>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</si>
  <si>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</si>
  <si>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</si>
  <si>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</si>
  <si>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</si>
  <si>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</si>
  <si>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</si>
  <si>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</si>
  <si>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</si>
  <si>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</si>
  <si>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</si>
  <si>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</si>
  <si>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</si>
  <si>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</si>
  <si>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</si>
  <si>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</si>
  <si>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</si>
  <si>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</si>
  <si>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</si>
  <si>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</si>
  <si>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</si>
  <si>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</si>
  <si>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</si>
  <si>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</si>
  <si>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</si>
  <si>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</si>
  <si>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</si>
  <si>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</si>
  <si>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</si>
  <si>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</si>
  <si>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</si>
  <si>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</si>
  <si>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</si>
  <si>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</si>
  <si>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</si>
  <si>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</si>
  <si>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</si>
  <si>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</si>
  <si>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</si>
  <si>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</si>
  <si>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</si>
  <si>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</si>
  <si>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</si>
  <si>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</si>
  <si>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</si>
  <si>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</si>
  <si>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</si>
  <si>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</si>
  <si>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</si>
  <si>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</si>
  <si>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</si>
  <si>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</si>
  <si>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</si>
  <si>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</si>
  <si>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</si>
  <si>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</si>
  <si>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</si>
  <si>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</si>
  <si>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</si>
  <si>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</si>
  <si>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</si>
  <si>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</si>
  <si>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</si>
  <si>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</si>
  <si>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</si>
  <si>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</si>
  <si>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</si>
  <si>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</si>
  <si>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</si>
  <si>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地上住宅</t>
  </si>
  <si>
    <t>是</t>
  </si>
  <si>
    <t>地上商业</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</si>
  <si>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</si>
  <si>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</si>
  <si>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</si>
  <si>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</si>
  <si>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</si>
  <si>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</si>
  <si>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</si>
  <si>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</si>
  <si>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</si>
  <si>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</si>
  <si>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</si>
  <si>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</si>
  <si>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</si>
  <si>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</si>
  <si>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</si>
  <si>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</si>
  <si>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</si>
  <si>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</si>
  <si>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</si>
  <si>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</si>
  <si>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</si>
  <si>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</si>
  <si>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</si>
  <si>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</si>
  <si>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</si>
  <si>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</si>
  <si>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</si>
  <si>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</si>
  <si>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</si>
  <si>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</si>
  <si>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</si>
  <si>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</si>
  <si>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</si>
  <si>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</si>
  <si>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</si>
  <si>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</si>
  <si>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</si>
  <si>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</si>
  <si>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</si>
  <si>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</si>
  <si>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</si>
  <si>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</si>
  <si>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</si>
  <si>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</si>
  <si>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</si>
  <si>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</si>
  <si>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</si>
  <si>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</si>
  <si>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</si>
  <si>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</si>
  <si>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</si>
  <si>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</si>
  <si>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</si>
  <si>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</si>
  <si>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</si>
  <si>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</si>
  <si>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</si>
  <si>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</si>
  <si>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</si>
  <si>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</si>
  <si>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</si>
  <si>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</si>
  <si>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</si>
  <si>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</si>
  <si>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</si>
  <si>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</si>
  <si>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</si>
  <si>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</si>
  <si>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</si>
  <si>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</si>
  <si>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</si>
  <si>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</si>
  <si>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</si>
  <si>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</si>
  <si>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</si>
  <si>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</si>
  <si>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</si>
  <si>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</si>
  <si>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</si>
  <si>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</si>
  <si>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</si>
  <si>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</si>
  <si>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</si>
  <si>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</si>
  <si>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</si>
  <si>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</si>
  <si>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</si>
  <si>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</si>
  <si>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</si>
  <si>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</si>
  <si>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</si>
  <si>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</si>
  <si>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</si>
  <si>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</si>
  <si>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</si>
  <si>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</si>
  <si>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</si>
  <si>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</si>
  <si>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</si>
  <si>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</si>
  <si>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</si>
  <si>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</si>
  <si>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</si>
  <si>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</si>
  <si>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</si>
  <si>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</si>
  <si>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 (车库)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</si>
  <si>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</si>
  <si>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</si>
  <si>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</si>
  <si>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</si>
  <si>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</si>
  <si>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</si>
  <si>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</si>
  <si>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</si>
  <si>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</si>
  <si>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</si>
  <si>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</si>
  <si>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</si>
  <si>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</si>
  <si>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</si>
  <si>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</si>
  <si>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</si>
  <si>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</si>
  <si>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</si>
  <si>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</si>
  <si>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</si>
  <si>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</si>
  <si>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</si>
  <si>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</si>
  <si>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</si>
  <si>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</si>
  <si>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</si>
  <si>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</si>
  <si>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</si>
  <si>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</si>
  <si>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</si>
  <si>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</si>
  <si>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</si>
  <si>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</si>
  <si>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</si>
  <si>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</si>
  <si>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</si>
  <si>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</si>
  <si>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</si>
  <si>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</si>
  <si>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</si>
  <si>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</si>
  <si>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</si>
  <si>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</si>
  <si>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</si>
  <si>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</si>
  <si>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</si>
  <si>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</si>
  <si>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</si>
  <si>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</si>
  <si>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</si>
  <si>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</si>
  <si>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</si>
  <si>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</si>
  <si>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</si>
  <si>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</si>
  <si>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</si>
  <si>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</si>
  <si>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</si>
  <si>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</si>
  <si>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</si>
  <si>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</si>
  <si>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</si>
  <si>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</si>
  <si>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</si>
  <si>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</si>
  <si>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</si>
  <si>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</si>
  <si>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</si>
  <si>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</si>
  <si>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</si>
  <si>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</si>
  <si>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</si>
  <si>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</si>
  <si>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</si>
  <si>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</si>
  <si>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</si>
  <si>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</si>
  <si>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</si>
  <si>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</si>
  <si>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</si>
  <si>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</si>
  <si>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</si>
  <si>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</si>
  <si>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</si>
  <si>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</si>
  <si>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</si>
  <si>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</si>
  <si>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</si>
  <si>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</si>
  <si>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</si>
  <si>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</si>
  <si>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</si>
  <si>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</si>
  <si>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</si>
  <si>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</si>
  <si>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</si>
  <si>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</si>
  <si>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</si>
  <si>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</si>
  <si>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</si>
  <si>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</si>
  <si>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</si>
  <si>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</si>
  <si>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</si>
  <si>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</si>
  <si>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</si>
  <si>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</si>
  <si>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</si>
  <si>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</si>
  <si>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</si>
  <si>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</si>
  <si>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</si>
  <si>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</si>
  <si>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</si>
  <si>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</si>
  <si>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</si>
  <si>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</si>
  <si>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</si>
  <si>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</si>
  <si>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</si>
  <si>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</si>
  <si>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</si>
  <si>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</si>
  <si>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</si>
  <si>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</si>
  <si>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</si>
  <si>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</si>
  <si>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</si>
  <si>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</si>
  <si>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</si>
  <si>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</si>
  <si>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</si>
  <si>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</si>
  <si>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</si>
  <si>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</si>
  <si>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</si>
  <si>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</si>
  <si>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</si>
  <si>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</si>
  <si>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</si>
  <si>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</si>
  <si>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</si>
  <si>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</si>
  <si>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</si>
  <si>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</si>
  <si>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</si>
  <si>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</si>
  <si>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</si>
  <si>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</si>
  <si>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</si>
  <si>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</si>
  <si>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</si>
  <si>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</si>
  <si>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</si>
  <si>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</si>
  <si>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</si>
  <si>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</si>
  <si>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</si>
  <si>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</si>
  <si>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</si>
  <si>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</si>
  <si>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</si>
  <si>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</si>
  <si>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</si>
  <si>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</si>
  <si>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</si>
  <si>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</si>
  <si>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</si>
  <si>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</si>
  <si>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</si>
  <si>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</si>
  <si>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</si>
  <si>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</si>
  <si>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</si>
  <si>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</si>
  <si>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</si>
  <si>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</si>
  <si>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</si>
  <si>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</si>
  <si>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</si>
  <si>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</si>
  <si>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</si>
  <si>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</si>
  <si>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</si>
  <si>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</si>
  <si>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</si>
  <si>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</si>
  <si>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</si>
  <si>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</si>
  <si>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</si>
  <si>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</si>
  <si>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</si>
  <si>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</si>
  <si>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</si>
  <si>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</si>
  <si>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</si>
  <si>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</si>
  <si>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</si>
  <si>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</si>
  <si>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</si>
  <si>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</si>
  <si>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</si>
  <si>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</si>
  <si>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</si>
  <si>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</si>
  <si>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</si>
  <si>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</si>
  <si>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</si>
  <si>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</si>
  <si>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</si>
  <si>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</si>
  <si>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</si>
  <si>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</si>
  <si>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</si>
  <si>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</si>
  <si>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</si>
  <si>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</si>
  <si>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</si>
  <si>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</si>
  <si>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</si>
  <si>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</si>
  <si>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</si>
  <si>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</si>
  <si>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</si>
  <si>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</si>
  <si>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</si>
  <si>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</si>
  <si>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</si>
  <si>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</si>
  <si>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</si>
  <si>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</si>
  <si>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</si>
  <si>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</si>
  <si>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</si>
  <si>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</si>
  <si>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</si>
  <si>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</si>
  <si>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</si>
  <si>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</si>
  <si>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</si>
  <si>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</si>
  <si>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</si>
  <si>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</si>
  <si>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</si>
  <si>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</si>
  <si>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</si>
  <si>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</si>
  <si>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</si>
  <si>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</si>
  <si>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</si>
  <si>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</si>
  <si>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</si>
  <si>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</si>
  <si>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</si>
  <si>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</si>
  <si>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</si>
  <si>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</si>
  <si>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</si>
  <si>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</si>
  <si>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</si>
  <si>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</si>
  <si>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</si>
  <si>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</si>
  <si>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</si>
  <si>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</si>
  <si>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</si>
  <si>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</si>
  <si>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</si>
  <si>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</si>
  <si>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</si>
  <si>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</si>
  <si>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</si>
  <si>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</si>
  <si>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</si>
  <si>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</si>
  <si>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</si>
  <si>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</si>
  <si>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</si>
  <si>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</si>
  <si>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</si>
  <si>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</si>
  <si>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</si>
  <si>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</si>
  <si>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</si>
  <si>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</si>
  <si>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</si>
  <si>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</si>
  <si>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</si>
  <si>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</si>
  <si>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</si>
  <si>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</si>
  <si>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</si>
  <si>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</si>
  <si>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</si>
  <si>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</si>
  <si>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</si>
  <si>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</si>
  <si>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</si>
  <si>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</si>
  <si>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</si>
  <si>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</si>
  <si>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</si>
  <si>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</si>
  <si>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</si>
  <si>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</si>
  <si>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</si>
  <si>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</si>
  <si>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</si>
  <si>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</si>
  <si>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</si>
  <si>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</si>
  <si>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</si>
  <si>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</si>
  <si>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</si>
  <si>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</si>
  <si>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</si>
  <si>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</si>
  <si>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</si>
  <si>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</si>
  <si>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</si>
  <si>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</si>
  <si>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</si>
  <si>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</si>
  <si>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</si>
  <si>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</si>
  <si>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</si>
  <si>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</si>
  <si>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</si>
  <si>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文家67</t>
  </si>
  <si>
    <t>文庙街以南、兴仕路以东</t>
  </si>
  <si>
    <t>永宁路以西、洛城街以北</t>
  </si>
  <si>
    <t>圣阳街以北、正阳路以东</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</si>
  <si>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</si>
  <si>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</si>
  <si>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</si>
  <si>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</si>
  <si>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</si>
  <si>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</si>
  <si>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</si>
  <si>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</si>
  <si>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</si>
  <si>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住宅商服</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</si>
  <si>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</si>
  <si>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</si>
  <si>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</si>
  <si>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</si>
  <si>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</si>
  <si>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</si>
  <si>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</si>
  <si>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</si>
  <si>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</si>
  <si>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</si>
  <si>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t>好</t>
  </si>
  <si>
    <r>
      <rPr>
        <sz val="11"/>
        <color indexed="8"/>
        <rFont val="仿宋_GB2312"/>
        <family val="3"/>
        <charset val="134"/>
      </rPr>
      <t>自然及人文环境状况</t>
    </r>
  </si>
  <si>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</si>
  <si>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</si>
  <si>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</si>
  <si>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</si>
  <si>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</si>
  <si>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</si>
  <si>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</si>
  <si>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</si>
  <si>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</si>
  <si>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</si>
  <si>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</si>
  <si>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</si>
  <si>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单位面积地价</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</si>
  <si>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</si>
  <si>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</si>
  <si>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</si>
  <si>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</si>
  <si>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</si>
  <si>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</si>
  <si>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</si>
  <si>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</si>
  <si>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</si>
  <si>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</si>
  <si>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</si>
  <si>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</si>
  <si>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</si>
  <si>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</si>
  <si>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</si>
  <si>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</si>
  <si>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</si>
  <si>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</si>
  <si>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</si>
  <si>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</si>
  <si>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</si>
  <si>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</si>
  <si>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</si>
  <si>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</si>
  <si>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</si>
  <si>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</si>
  <si>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</si>
  <si>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</si>
  <si>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</si>
  <si>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</si>
  <si>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</si>
  <si>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</si>
  <si>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</si>
  <si>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</si>
  <si>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</si>
  <si>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</si>
  <si>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</si>
  <si>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</si>
  <si>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</si>
  <si>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</si>
  <si>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</si>
  <si>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</si>
  <si>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</si>
  <si>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</si>
  <si>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</si>
  <si>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</si>
  <si>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</si>
  <si>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</si>
  <si>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</si>
  <si>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</si>
  <si>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</si>
  <si>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</si>
  <si>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</si>
  <si>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</si>
  <si>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</si>
  <si>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</si>
  <si>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</si>
  <si>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</si>
  <si>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</si>
  <si>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</si>
  <si>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</si>
  <si>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</si>
  <si>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</si>
  <si>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</si>
  <si>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</si>
  <si>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</si>
  <si>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</si>
  <si>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</si>
  <si>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</si>
  <si>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</si>
  <si>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</si>
  <si>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</si>
  <si>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</si>
  <si>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</si>
  <si>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</si>
  <si>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</si>
  <si>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</si>
  <si>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</si>
  <si>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</si>
  <si>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</si>
  <si>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</si>
  <si>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</si>
  <si>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</si>
  <si>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</si>
  <si>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</si>
  <si>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</si>
  <si>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</si>
  <si>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</si>
  <si>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</si>
  <si>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</si>
  <si>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</si>
  <si>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</si>
  <si>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</si>
  <si>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</si>
  <si>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</si>
  <si>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</si>
  <si>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</si>
  <si>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</si>
  <si>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</si>
  <si>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</si>
  <si>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</si>
  <si>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</si>
  <si>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</si>
  <si>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</si>
  <si>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</si>
  <si>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</si>
  <si>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</si>
  <si>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</si>
  <si>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</si>
  <si>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</si>
  <si>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</si>
  <si>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</si>
  <si>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</si>
  <si>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</si>
  <si>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</si>
  <si>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</si>
  <si>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</si>
  <si>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</si>
  <si>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</si>
  <si>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</si>
  <si>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</si>
  <si>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</si>
  <si>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</si>
  <si>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</si>
  <si>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</si>
  <si>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</si>
  <si>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</si>
  <si>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</si>
  <si>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</si>
  <si>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</si>
  <si>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</si>
  <si>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</si>
  <si>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</si>
  <si>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</si>
  <si>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</si>
  <si>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</si>
  <si>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</si>
  <si>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</si>
  <si>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</si>
  <si>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</si>
  <si>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</si>
  <si>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</si>
  <si>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</si>
  <si>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</si>
  <si>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</si>
  <si>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</si>
  <si>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</si>
  <si>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</si>
  <si>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</si>
  <si>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</si>
  <si>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</si>
  <si>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</si>
  <si>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</si>
  <si>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</si>
  <si>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</si>
  <si>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</si>
  <si>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</si>
  <si>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</si>
  <si>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</si>
  <si>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</si>
  <si>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</si>
  <si>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</si>
  <si>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</si>
  <si>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</si>
  <si>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</si>
  <si>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</si>
  <si>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</si>
  <si>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</si>
  <si>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</si>
  <si>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</si>
  <si>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</si>
  <si>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</si>
  <si>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</si>
  <si>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</si>
  <si>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</si>
  <si>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</si>
  <si>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</si>
  <si>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</si>
  <si>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</si>
  <si>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</si>
  <si>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</si>
  <si>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</si>
  <si>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</si>
  <si>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</si>
  <si>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</si>
  <si>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</si>
  <si>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</si>
  <si>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</si>
  <si>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</si>
  <si>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</si>
  <si>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</si>
  <si>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</si>
  <si>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</si>
  <si>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</si>
  <si>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</si>
  <si>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</si>
  <si>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</si>
  <si>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</si>
  <si>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</si>
  <si>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</si>
  <si>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</si>
  <si>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</si>
  <si>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</si>
  <si>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</si>
  <si>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</si>
  <si>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</si>
  <si>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</si>
  <si>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</si>
  <si>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</si>
  <si>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</si>
  <si>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</si>
  <si>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</si>
  <si>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</si>
  <si>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</si>
  <si>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</si>
  <si>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</si>
  <si>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</si>
  <si>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</si>
  <si>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</si>
  <si>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</si>
  <si>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</si>
  <si>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</si>
  <si>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</si>
  <si>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</si>
  <si>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</si>
  <si>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</si>
  <si>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</si>
  <si>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</si>
  <si>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</si>
  <si>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</si>
  <si>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</si>
  <si>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</si>
  <si>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</si>
  <si>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</si>
  <si>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</si>
  <si>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</si>
  <si>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</si>
  <si>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</si>
  <si>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</si>
  <si>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</si>
  <si>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</si>
  <si>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</si>
  <si>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</si>
  <si>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</si>
  <si>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</si>
  <si>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</si>
  <si>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</si>
  <si>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</si>
  <si>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</si>
  <si>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</si>
  <si>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</si>
  <si>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</si>
  <si>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</si>
  <si>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</si>
  <si>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</si>
  <si>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</si>
  <si>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</si>
  <si>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</si>
  <si>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</si>
  <si>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</si>
  <si>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</si>
  <si>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</si>
  <si>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</si>
  <si>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</si>
  <si>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</si>
  <si>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</si>
  <si>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</si>
  <si>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</si>
  <si>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</si>
  <si>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</si>
  <si>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</si>
  <si>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</si>
  <si>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</si>
  <si>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</si>
  <si>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</si>
  <si>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</si>
  <si>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</si>
  <si>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</si>
  <si>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</si>
  <si>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</si>
  <si>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</si>
  <si>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</si>
  <si>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</si>
  <si>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</si>
  <si>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</si>
  <si>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</si>
  <si>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</si>
  <si>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</si>
  <si>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</si>
  <si>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</si>
  <si>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</si>
  <si>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</si>
  <si>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</si>
  <si>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</si>
  <si>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</si>
  <si>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</si>
  <si>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</si>
  <si>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</si>
  <si>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</si>
  <si>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</si>
  <si>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</si>
  <si>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</si>
  <si>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</si>
  <si>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</si>
  <si>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</si>
  <si>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</si>
  <si>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</si>
  <si>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</si>
  <si>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</si>
  <si>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</si>
  <si>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</si>
  <si>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</si>
  <si>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</si>
  <si>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</si>
  <si>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</si>
  <si>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</si>
  <si>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</si>
  <si>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</si>
  <si>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</si>
  <si>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</si>
  <si>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</si>
  <si>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</si>
  <si>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</si>
  <si>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</si>
  <si>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</si>
  <si>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</si>
  <si>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</si>
  <si>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</si>
  <si>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</si>
  <si>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</si>
  <si>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</si>
  <si>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</si>
  <si>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</si>
  <si>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</si>
  <si>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</si>
  <si>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</si>
  <si>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</si>
  <si>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</si>
  <si>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</si>
  <si>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</si>
  <si>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</si>
  <si>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</si>
  <si>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</si>
  <si>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</si>
  <si>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</si>
  <si>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</si>
  <si>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</si>
  <si>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</si>
  <si>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</si>
  <si>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</si>
  <si>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</si>
  <si>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</si>
  <si>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</si>
  <si>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</si>
  <si>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</si>
  <si>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</si>
  <si>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</si>
  <si>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</si>
  <si>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</si>
  <si>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</si>
  <si>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</si>
  <si>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</si>
  <si>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</si>
  <si>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</si>
  <si>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</si>
  <si>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</si>
  <si>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</si>
  <si>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</si>
  <si>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</si>
  <si>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</si>
  <si>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</si>
  <si>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</si>
  <si>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</si>
  <si>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</si>
  <si>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</si>
  <si>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</si>
  <si>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</si>
  <si>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</si>
  <si>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</si>
  <si>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</si>
  <si>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</si>
  <si>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</si>
  <si>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</si>
  <si>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</si>
  <si>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</si>
  <si>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</si>
  <si>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</si>
  <si>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</si>
  <si>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</si>
  <si>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</si>
  <si>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</si>
  <si>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</si>
  <si>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</si>
  <si>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</si>
  <si>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</si>
  <si>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</si>
  <si>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</si>
  <si>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</si>
  <si>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</si>
  <si>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</si>
  <si>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</si>
  <si>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</si>
  <si>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</si>
  <si>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</si>
  <si>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</si>
  <si>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</si>
  <si>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</si>
  <si>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</si>
  <si>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</si>
  <si>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</si>
  <si>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</si>
  <si>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</si>
  <si>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</si>
  <si>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</si>
  <si>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</si>
  <si>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</si>
  <si>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</si>
  <si>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</si>
  <si>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</si>
  <si>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</si>
  <si>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</si>
  <si>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</si>
  <si>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</si>
  <si>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</si>
  <si>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</si>
  <si>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</si>
  <si>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</si>
  <si>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</si>
  <si>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</si>
  <si>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</si>
  <si>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</si>
  <si>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</si>
  <si>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</si>
  <si>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</si>
  <si>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</si>
  <si>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</si>
  <si>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</si>
  <si>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</si>
  <si>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</si>
  <si>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</si>
  <si>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</si>
  <si>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</si>
  <si>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</si>
  <si>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</si>
  <si>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</si>
  <si>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</si>
  <si>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</si>
  <si>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</si>
  <si>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</si>
  <si>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</si>
  <si>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</si>
  <si>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</si>
  <si>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</si>
  <si>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</si>
  <si>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</si>
  <si>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</si>
  <si>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</si>
  <si>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</si>
  <si>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</si>
  <si>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</si>
  <si>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</si>
  <si>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</si>
  <si>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</si>
  <si>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</si>
  <si>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</si>
  <si>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</si>
  <si>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</si>
  <si>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</si>
  <si>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</si>
  <si>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</si>
  <si>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</si>
  <si>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</si>
  <si>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</si>
  <si>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</si>
  <si>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</si>
  <si>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</si>
  <si>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</si>
  <si>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</si>
  <si>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</si>
  <si>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</si>
  <si>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</si>
  <si>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</si>
  <si>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</si>
  <si>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</si>
  <si>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</si>
  <si>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</si>
  <si>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</si>
  <si>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</si>
  <si>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</si>
  <si>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</si>
  <si>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</si>
  <si>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</si>
  <si>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</si>
  <si>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</si>
  <si>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</si>
  <si>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</si>
  <si>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</si>
  <si>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</si>
  <si>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</si>
  <si>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</si>
  <si>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</si>
  <si>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</si>
  <si>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</si>
  <si>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</si>
  <si>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</si>
  <si>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</si>
  <si>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</si>
  <si>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</si>
  <si>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</si>
  <si>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</si>
  <si>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</si>
  <si>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</si>
  <si>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</si>
  <si>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</si>
  <si>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</si>
  <si>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</si>
  <si>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</si>
  <si>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</si>
  <si>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</si>
  <si>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</si>
  <si>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</si>
  <si>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</si>
  <si>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</si>
  <si>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</si>
  <si>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</si>
  <si>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</si>
  <si>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</si>
  <si>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</si>
  <si>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</si>
  <si>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</si>
  <si>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</si>
  <si>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</si>
  <si>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</si>
  <si>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</si>
  <si>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</si>
  <si>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</si>
  <si>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</si>
  <si>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</si>
  <si>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</si>
  <si>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</si>
  <si>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</si>
  <si>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</si>
  <si>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</si>
  <si>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</si>
  <si>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</si>
  <si>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</si>
  <si>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</si>
  <si>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</si>
  <si>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</si>
  <si>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</si>
  <si>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</si>
  <si>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</si>
  <si>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</si>
  <si>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</si>
  <si>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</si>
  <si>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</si>
  <si>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</si>
  <si>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</si>
  <si>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</si>
  <si>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</si>
  <si>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</si>
  <si>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</si>
  <si>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</si>
  <si>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</si>
  <si>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</si>
  <si>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</si>
  <si>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</si>
  <si>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</si>
  <si>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</si>
  <si>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</si>
  <si>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</si>
  <si>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</si>
  <si>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</si>
  <si>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</si>
  <si>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</si>
  <si>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</si>
  <si>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</si>
  <si>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</si>
  <si>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</si>
  <si>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</si>
  <si>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</si>
  <si>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</si>
  <si>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</si>
  <si>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</si>
  <si>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</si>
  <si>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</si>
  <si>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</si>
  <si>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</si>
  <si>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</si>
  <si>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</si>
  <si>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</si>
  <si>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</si>
  <si>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</si>
  <si>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</si>
  <si>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</si>
  <si>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</si>
  <si>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</si>
  <si>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</si>
  <si>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</si>
  <si>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</si>
  <si>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</si>
  <si>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</si>
  <si>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</si>
  <si>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</si>
  <si>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</si>
  <si>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</si>
  <si>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</si>
  <si>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</si>
  <si>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</si>
  <si>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</si>
  <si>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</si>
  <si>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</si>
  <si>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</si>
  <si>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</si>
  <si>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</si>
  <si>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</si>
  <si>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</si>
  <si>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</si>
  <si>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</si>
  <si>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</si>
  <si>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</si>
  <si>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</si>
  <si>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</si>
  <si>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</si>
  <si>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</si>
  <si>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</si>
  <si>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</si>
  <si>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</si>
  <si>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</si>
  <si>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</si>
  <si>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</si>
  <si>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</si>
  <si>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</si>
  <si>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</si>
  <si>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</si>
  <si>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</si>
  <si>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</si>
  <si>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</si>
  <si>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</si>
  <si>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</si>
  <si>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</si>
  <si>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</si>
  <si>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</si>
  <si>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</si>
  <si>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</si>
  <si>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</si>
  <si>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</si>
  <si>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</si>
  <si>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</si>
  <si>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</si>
  <si>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</si>
  <si>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</si>
  <si>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</si>
  <si>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</si>
  <si>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</si>
  <si>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</si>
  <si>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</si>
  <si>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</si>
  <si>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</si>
  <si>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</si>
  <si>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</si>
  <si>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</si>
  <si>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</si>
  <si>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</si>
  <si>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</si>
  <si>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</si>
  <si>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</si>
  <si>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</si>
  <si>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</si>
  <si>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</si>
  <si>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</si>
  <si>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</si>
  <si>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</si>
  <si>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</si>
  <si>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</si>
  <si>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</si>
  <si>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</si>
  <si>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</si>
  <si>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</si>
  <si>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</si>
  <si>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</si>
  <si>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</si>
  <si>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</si>
  <si>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</si>
  <si>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</si>
  <si>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</si>
  <si>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</si>
  <si>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</si>
  <si>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</si>
  <si>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</si>
  <si>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</si>
  <si>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</si>
  <si>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</si>
  <si>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</si>
  <si>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</si>
  <si>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</si>
  <si>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</si>
  <si>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</si>
  <si>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</si>
  <si>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</si>
  <si>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</si>
  <si>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</si>
  <si>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</si>
  <si>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</si>
  <si>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</si>
  <si>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</si>
  <si>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</si>
  <si>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</si>
  <si>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</si>
  <si>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</si>
  <si>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</si>
  <si>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</si>
  <si>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</si>
  <si>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</si>
  <si>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</si>
  <si>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</si>
  <si>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</si>
  <si>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</si>
  <si>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</si>
  <si>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</si>
  <si>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</si>
  <si>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</si>
  <si>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</si>
  <si>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</si>
  <si>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</si>
  <si>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</si>
  <si>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</si>
  <si>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</si>
  <si>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</si>
  <si>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</si>
  <si>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</si>
  <si>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</si>
  <si>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</si>
  <si>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</si>
  <si>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</si>
  <si>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</si>
  <si>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</si>
  <si>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</si>
  <si>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</si>
  <si>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</si>
  <si>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</si>
  <si>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</si>
  <si>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</si>
  <si>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</si>
  <si>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</si>
  <si>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</si>
  <si>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</si>
  <si>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</si>
  <si>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</si>
  <si>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</si>
  <si>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</si>
  <si>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</si>
  <si>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</si>
  <si>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</si>
  <si>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</si>
  <si>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</si>
  <si>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</si>
  <si>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</si>
  <si>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</si>
  <si>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</si>
  <si>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</si>
  <si>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</si>
  <si>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</si>
  <si>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</si>
  <si>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</si>
  <si>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</si>
  <si>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</si>
  <si>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</si>
  <si>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</si>
  <si>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</si>
  <si>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</si>
  <si>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</si>
  <si>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</si>
  <si>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</si>
  <si>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</si>
  <si>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</si>
  <si>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</si>
  <si>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</si>
  <si>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</si>
  <si>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</si>
  <si>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</si>
  <si>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</si>
  <si>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</si>
  <si>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</si>
  <si>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</si>
  <si>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</si>
  <si>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</si>
  <si>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</si>
  <si>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</si>
  <si>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</si>
  <si>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</si>
  <si>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</si>
  <si>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</si>
  <si>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</si>
  <si>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</si>
  <si>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</si>
  <si>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</si>
  <si>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</si>
  <si>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</si>
  <si>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</si>
  <si>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</si>
  <si>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</si>
  <si>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</si>
  <si>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</si>
  <si>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</si>
  <si>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</si>
  <si>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</si>
  <si>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</si>
  <si>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</si>
  <si>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</si>
  <si>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</si>
  <si>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</si>
  <si>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</si>
  <si>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</si>
  <si>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</si>
  <si>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</si>
  <si>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</si>
  <si>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</si>
  <si>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</si>
  <si>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</si>
  <si>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</si>
  <si>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</si>
  <si>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</si>
  <si>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</si>
  <si>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</si>
  <si>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</si>
  <si>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</si>
  <si>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</si>
  <si>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</si>
  <si>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</si>
  <si>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</si>
  <si>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</si>
  <si>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</si>
  <si>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</si>
  <si>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</si>
  <si>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</si>
  <si>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</si>
  <si>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</si>
  <si>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</si>
  <si>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</si>
  <si>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</si>
  <si>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</si>
  <si>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</si>
  <si>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</si>
  <si>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</si>
  <si>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</si>
  <si>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</si>
  <si>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</si>
  <si>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</si>
  <si>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</si>
  <si>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</si>
  <si>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</si>
  <si>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</si>
  <si>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</si>
  <si>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</si>
  <si>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</si>
  <si>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</si>
  <si>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</si>
  <si>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</si>
  <si>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</si>
  <si>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</si>
  <si>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</si>
  <si>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</si>
  <si>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</si>
  <si>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</si>
  <si>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</si>
  <si>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</si>
  <si>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</si>
  <si>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</si>
  <si>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</si>
  <si>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</si>
  <si>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</si>
  <si>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</si>
  <si>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</si>
  <si>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</si>
  <si>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</si>
  <si>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</si>
  <si>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</si>
  <si>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</si>
  <si>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</si>
  <si>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</si>
  <si>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</si>
  <si>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</si>
  <si>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</si>
  <si>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</si>
  <si>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</si>
  <si>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</si>
  <si>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</si>
  <si>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</si>
  <si>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</si>
  <si>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</si>
  <si>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</si>
  <si>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</si>
  <si>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</si>
  <si>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</si>
  <si>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</si>
  <si>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</si>
  <si>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</si>
  <si>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</si>
  <si>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</si>
  <si>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</si>
  <si>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</si>
  <si>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</si>
  <si>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</si>
  <si>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</si>
  <si>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</si>
  <si>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</si>
  <si>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</si>
  <si>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</si>
  <si>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</si>
  <si>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</si>
  <si>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</si>
  <si>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</si>
  <si>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</si>
  <si>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</si>
  <si>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</si>
  <si>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</si>
  <si>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</si>
  <si>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</si>
  <si>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</si>
  <si>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</si>
  <si>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</si>
  <si>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</si>
  <si>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</si>
  <si>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</si>
  <si>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</si>
  <si>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</si>
  <si>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</si>
  <si>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</si>
  <si>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</si>
  <si>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</si>
  <si>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</si>
  <si>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</si>
  <si>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</si>
  <si>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</si>
  <si>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</si>
  <si>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</si>
  <si>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</si>
  <si>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</si>
  <si>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</si>
  <si>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</si>
  <si>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</si>
  <si>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</si>
  <si>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</si>
  <si>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</si>
  <si>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</si>
  <si>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</si>
  <si>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</si>
  <si>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</si>
  <si>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</si>
  <si>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</si>
  <si>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</si>
  <si>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</si>
  <si>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</si>
  <si>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</si>
  <si>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</si>
  <si>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</si>
  <si>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</si>
  <si>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</si>
  <si>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</si>
  <si>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</si>
  <si>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</si>
  <si>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</si>
  <si>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</si>
  <si>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</si>
  <si>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</si>
  <si>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</si>
  <si>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</si>
  <si>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</si>
  <si>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</si>
  <si>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</si>
  <si>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</si>
  <si>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</si>
  <si>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</si>
  <si>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</si>
  <si>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</si>
  <si>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</si>
  <si>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</si>
  <si>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</si>
  <si>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</si>
  <si>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</si>
  <si>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</si>
  <si>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</si>
  <si>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</si>
  <si>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</si>
  <si>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</si>
  <si>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</si>
  <si>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</si>
  <si>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</si>
  <si>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</si>
  <si>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</si>
  <si>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</si>
  <si>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</si>
  <si>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</si>
  <si>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</si>
  <si>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</si>
  <si>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</si>
  <si>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</si>
  <si>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</si>
  <si>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</si>
  <si>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</si>
  <si>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</si>
  <si>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</si>
  <si>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</si>
  <si>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</si>
  <si>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</si>
  <si>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</si>
  <si>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</si>
  <si>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</si>
  <si>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</si>
  <si>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</si>
  <si>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</si>
  <si>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</si>
  <si>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</si>
  <si>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</si>
  <si>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</si>
  <si>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</si>
  <si>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</si>
  <si>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</si>
  <si>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</si>
  <si>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</si>
  <si>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</si>
  <si>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</si>
  <si>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</si>
  <si>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</si>
  <si>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</si>
  <si>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</si>
  <si>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</si>
  <si>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</si>
  <si>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</si>
  <si>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</si>
  <si>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</si>
  <si>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</si>
  <si>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</si>
  <si>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</si>
  <si>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</si>
  <si>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</si>
  <si>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</si>
  <si>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</si>
  <si>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</si>
  <si>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</si>
  <si>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</si>
  <si>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</si>
  <si>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</si>
  <si>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</si>
  <si>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</si>
  <si>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</si>
  <si>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</si>
  <si>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</si>
  <si>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</si>
  <si>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</si>
  <si>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</si>
  <si>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</si>
  <si>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</si>
  <si>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</si>
  <si>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</si>
  <si>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</si>
  <si>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</si>
  <si>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</si>
  <si>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</si>
  <si>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</si>
  <si>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</si>
  <si>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</si>
  <si>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</si>
  <si>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</si>
  <si>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</si>
  <si>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</si>
  <si>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</si>
  <si>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</si>
  <si>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</si>
  <si>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</si>
  <si>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</si>
  <si>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</si>
  <si>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</si>
  <si>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</si>
  <si>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</si>
  <si>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</si>
  <si>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</si>
  <si>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</si>
  <si>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</si>
  <si>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</si>
  <si>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</si>
  <si>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</si>
  <si>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</si>
  <si>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</si>
  <si>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</si>
  <si>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</si>
  <si>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</si>
  <si>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</si>
  <si>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</si>
  <si>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</si>
  <si>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</si>
  <si>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</si>
  <si>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</si>
  <si>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</si>
  <si>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</si>
  <si>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</si>
  <si>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</si>
  <si>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</si>
  <si>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</si>
  <si>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</si>
  <si>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</si>
  <si>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</si>
  <si>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</si>
  <si>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</si>
  <si>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</si>
  <si>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</si>
  <si>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</si>
  <si>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</si>
  <si>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</si>
  <si>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</si>
  <si>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</si>
  <si>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</si>
  <si>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</si>
  <si>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</si>
  <si>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</si>
  <si>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</si>
  <si>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</si>
  <si>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</si>
  <si>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文家</t>
  </si>
  <si>
    <t>盛唐悦府</t>
  </si>
  <si>
    <t>文圣园</t>
  </si>
  <si>
    <t>城市之光</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</si>
  <si>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</si>
  <si>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</si>
  <si>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</si>
  <si>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</si>
  <si>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</si>
  <si>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</si>
  <si>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</si>
  <si>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</si>
  <si>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</si>
  <si>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</si>
  <si>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简单装修</t>
  </si>
  <si>
    <t>普通装修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</si>
  <si>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</si>
  <si>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</si>
  <si>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</si>
  <si>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</si>
  <si>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</si>
  <si>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</si>
  <si>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</si>
  <si>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</si>
  <si>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</si>
  <si>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</si>
  <si>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</si>
  <si>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</si>
  <si>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</si>
  <si>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</si>
  <si>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</si>
  <si>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</si>
  <si>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</si>
  <si>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</si>
  <si>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</si>
  <si>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</si>
  <si>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</si>
  <si>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</si>
  <si>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</si>
  <si>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</si>
  <si>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</si>
  <si>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</si>
  <si>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</si>
  <si>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</si>
  <si>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</si>
  <si>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</si>
  <si>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</si>
  <si>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</si>
  <si>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</si>
  <si>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</si>
  <si>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</si>
  <si>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</si>
  <si>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</si>
  <si>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</si>
  <si>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</si>
  <si>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</si>
  <si>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</si>
  <si>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</si>
  <si>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</si>
  <si>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</si>
  <si>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</si>
  <si>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</si>
  <si>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</si>
  <si>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</si>
  <si>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</si>
  <si>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</si>
  <si>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</si>
  <si>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</si>
  <si>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</si>
  <si>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</si>
  <si>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</si>
  <si>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</si>
  <si>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</si>
  <si>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</si>
  <si>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</si>
  <si>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</si>
  <si>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</si>
  <si>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</si>
  <si>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</si>
  <si>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</si>
  <si>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</si>
  <si>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</si>
  <si>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</si>
  <si>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</si>
  <si>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</si>
  <si>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</si>
  <si>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土地（套用方法）</t>
  </si>
  <si>
    <t>押一</t>
  </si>
  <si>
    <t>按租金收入计税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</si>
  <si>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</si>
  <si>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</si>
  <si>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</si>
  <si>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</si>
  <si>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</si>
  <si>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</si>
  <si>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</si>
  <si>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</si>
  <si>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</si>
  <si>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</si>
  <si>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</si>
  <si>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</si>
  <si>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</si>
  <si>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</si>
  <si>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</si>
  <si>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</si>
  <si>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</si>
  <si>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</si>
  <si>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</si>
  <si>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</si>
  <si>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</si>
  <si>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</si>
  <si>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</si>
  <si>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</si>
  <si>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</si>
  <si>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</si>
  <si>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</si>
  <si>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</si>
  <si>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</si>
  <si>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</si>
  <si>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</si>
  <si>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</si>
  <si>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</si>
  <si>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</si>
  <si>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</si>
  <si>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</si>
  <si>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</si>
  <si>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</si>
  <si>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</si>
  <si>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</si>
  <si>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</si>
  <si>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</si>
  <si>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</si>
  <si>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</si>
  <si>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</si>
  <si>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</si>
  <si>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</si>
  <si>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</si>
  <si>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</si>
  <si>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</si>
  <si>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</si>
  <si>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</si>
  <si>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</si>
  <si>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</si>
  <si>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</si>
  <si>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</si>
  <si>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</si>
  <si>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</si>
  <si>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</si>
  <si>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</si>
  <si>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</si>
  <si>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</si>
  <si>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</si>
  <si>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</si>
  <si>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</si>
  <si>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</si>
  <si>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</si>
  <si>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</si>
  <si>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</si>
  <si>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</si>
  <si>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</si>
  <si>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</si>
  <si>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</si>
  <si>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</si>
  <si>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</si>
  <si>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</si>
  <si>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</si>
  <si>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</si>
  <si>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</si>
  <si>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</si>
  <si>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</si>
  <si>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</si>
  <si>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</si>
  <si>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</si>
  <si>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</si>
  <si>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</si>
  <si>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</si>
  <si>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</si>
  <si>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</si>
  <si>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</si>
  <si>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</si>
  <si>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</si>
  <si>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</si>
  <si>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</si>
  <si>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</si>
  <si>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</si>
  <si>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</si>
  <si>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</si>
  <si>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</si>
  <si>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</si>
  <si>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</si>
  <si>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</si>
  <si>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</si>
  <si>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</si>
  <si>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</si>
  <si>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</si>
  <si>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</si>
  <si>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</si>
  <si>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</si>
  <si>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</si>
  <si>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</si>
  <si>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</si>
  <si>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</si>
  <si>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</si>
  <si>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</si>
  <si>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</si>
  <si>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</si>
  <si>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</si>
  <si>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</si>
  <si>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</si>
  <si>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</si>
  <si>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</si>
  <si>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</si>
  <si>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</si>
  <si>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</si>
  <si>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</si>
  <si>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</si>
  <si>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</si>
  <si>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</si>
  <si>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</si>
  <si>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</si>
  <si>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</si>
  <si>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</si>
  <si>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</si>
  <si>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</si>
  <si>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</si>
  <si>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</si>
  <si>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</si>
  <si>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</si>
  <si>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</si>
  <si>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</si>
  <si>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</si>
  <si>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</si>
  <si>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</si>
  <si>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</si>
  <si>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</si>
  <si>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</si>
  <si>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</si>
  <si>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</si>
  <si>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</si>
  <si>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</si>
  <si>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</si>
  <si>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</si>
  <si>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</si>
  <si>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</si>
  <si>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</si>
  <si>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</si>
  <si>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</si>
  <si>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</si>
  <si>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</si>
  <si>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</si>
  <si>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</si>
  <si>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</si>
  <si>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自定义</t>
  </si>
  <si>
    <t>拿地时间</t>
    <phoneticPr fontId="224" type="noConversion"/>
  </si>
  <si>
    <t>拿地价格</t>
    <phoneticPr fontId="224" type="noConversion"/>
  </si>
  <si>
    <t>地面单价</t>
    <phoneticPr fontId="224" type="noConversion"/>
  </si>
  <si>
    <t>评估值</t>
    <phoneticPr fontId="224" type="noConversion"/>
  </si>
  <si>
    <t>涨幅</t>
    <phoneticPr fontId="224" type="noConversion"/>
  </si>
  <si>
    <r>
      <t>6</t>
    </r>
    <r>
      <rPr>
        <sz val="11"/>
        <color theme="1"/>
        <rFont val="宋体"/>
        <family val="3"/>
        <charset val="134"/>
        <scheme val="minor"/>
      </rPr>
      <t>7号</t>
    </r>
    <phoneticPr fontId="224" type="noConversion"/>
  </si>
  <si>
    <t>较规则</t>
    <phoneticPr fontId="224" type="noConversion"/>
  </si>
  <si>
    <t>较不规则</t>
    <phoneticPr fontId="224" type="noConversion"/>
  </si>
  <si>
    <t>不规则</t>
    <phoneticPr fontId="224" type="noConversion"/>
  </si>
  <si>
    <t>地上楼面单价</t>
    <phoneticPr fontId="224" type="noConversion"/>
  </si>
  <si>
    <t>地价占比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</si>
</sst>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_쐀"/>
    <numFmt numFmtId="177" formatCode="0.000_ "/>
    <numFmt numFmtId="178" formatCode="0_ "/>
    <numFmt numFmtId="179" formatCode="yyyy&quot;年&quot;m&quot;月&quot;;@"/>
    <numFmt numFmtId="180" formatCode="yyyy/m/d;@"/>
    <numFmt numFmtId="181" formatCode="yyyy&quot;年&quot;m&quot;月&quot;d&quot;日&quot;;@"/>
    <numFmt numFmtId="182" formatCode="0.00_ "/>
    <numFmt numFmtId="183" formatCode="[$-F800]dddd\,\ mmmm\ dd\,\ yyyy"/>
    <numFmt numFmtId="184" formatCode="&quot;￥&quot;#,##0.00;[Red]\-&quot;￥&quot;#,##0.00"/>
    <numFmt numFmtId="185" formatCode="0.0_);[Red]\(0.0\)"/>
    <numFmt numFmtId="186" formatCode="0.0%"/>
    <numFmt numFmtId="187" formatCode="0_);[Red]\(0\)"/>
    <numFmt numFmtId="188" formatCode="0.000%"/>
    <numFmt numFmtId="189" formatCode="0.00_);[Red]\(0.00\)"/>
    <numFmt numFmtId="190" formatCode="[DBNum1][$-804]General"/>
    <numFmt numFmtId="191" formatCode="0.000_);[Red]\(0.000\)"/>
    <numFmt numFmtId="192" formatCode="0.0_ "/>
    <numFmt numFmtId="193" formatCode="0_ ;[Red]\-0\ "/>
    <numFmt numFmtId="194" formatCode="0.0000_ "/>
  </numFmts>
  <fonts count="22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58" fillId="0" borderId="0" applyFont="0" applyFill="0" applyBorder="0" applyAlignment="0" applyProtection="0">
      <alignment vertical="center"/>
    </xf>
    <xf numFmtId="0" fontId="223" fillId="0" borderId="0"/>
    <xf numFmtId="0" fontId="78" fillId="0" borderId="0">
      <alignment vertical="center"/>
    </xf>
    <xf numFmtId="0" fontId="78" fillId="0" borderId="0">
      <alignment vertical="center"/>
    </xf>
    <xf numFmtId="0" fontId="223" fillId="0" borderId="0"/>
    <xf numFmtId="0" fontId="223" fillId="0" borderId="0">
      <alignment vertical="center"/>
    </xf>
    <xf numFmtId="0" fontId="223" fillId="0" borderId="0">
      <alignment vertical="center"/>
    </xf>
    <xf numFmtId="0" fontId="7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58" fillId="0" borderId="0"/>
    <xf numFmtId="0" fontId="223" fillId="0" borderId="0">
      <alignment vertical="center"/>
    </xf>
    <xf numFmtId="0" fontId="223" fillId="0" borderId="0">
      <alignment vertical="center"/>
    </xf>
  </cellStyleXfs>
  <cellXfs count="3465">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2"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2"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178"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2"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2"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3"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9" borderId="0" xfId="3" applyFont="1" applyFill="1">
      <alignment vertical="center"/>
    </xf>
    <xf numFmtId="0" fontId="75" fillId="0" borderId="0" xfId="3" applyFont="1" applyFill="1">
      <alignment vertical="center"/>
    </xf>
    <xf numFmtId="0" fontId="75" fillId="10" borderId="0" xfId="3" applyFont="1" applyFill="1">
      <alignment vertical="center"/>
    </xf>
    <xf numFmtId="0" fontId="95" fillId="10"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97" fillId="9" borderId="0" xfId="6" applyFont="1" applyFill="1" applyAlignment="1" applyProtection="1">
      <alignment horizontal="center" vertical="center"/>
    </xf>
    <xf numFmtId="0" fontId="75" fillId="9" borderId="112" xfId="3" applyFont="1" applyFill="1" applyBorder="1" applyAlignment="1">
      <alignment horizontal="center" vertical="center"/>
    </xf>
    <xf numFmtId="0" fontId="75"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7" fontId="95" fillId="10" borderId="0" xfId="3" applyNumberFormat="1" applyFont="1" applyFill="1" applyBorder="1" applyAlignment="1">
      <alignment horizontal="center" vertical="center"/>
    </xf>
    <xf numFmtId="0" fontId="98"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7" fontId="66"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187" fontId="75" fillId="11" borderId="117" xfId="8" applyNumberFormat="1" applyFont="1" applyFill="1" applyBorder="1" applyAlignment="1">
      <alignment horizontal="center" vertical="center" wrapText="1"/>
    </xf>
    <xf numFmtId="187" fontId="75" fillId="11" borderId="118" xfId="8" applyNumberFormat="1" applyFont="1" applyFill="1" applyBorder="1" applyAlignment="1">
      <alignment horizontal="center" vertical="center" wrapText="1"/>
    </xf>
    <xf numFmtId="0" fontId="98" fillId="11" borderId="117" xfId="3" applyFont="1" applyFill="1" applyBorder="1" applyAlignment="1" applyProtection="1">
      <alignment horizontal="center" vertical="center" wrapText="1"/>
    </xf>
    <xf numFmtId="0" fontId="98" fillId="11" borderId="114" xfId="3" applyFont="1" applyFill="1" applyBorder="1" applyAlignment="1" applyProtection="1">
      <alignment horizontal="center" vertical="center" wrapText="1"/>
    </xf>
    <xf numFmtId="187" fontId="75" fillId="11" borderId="117" xfId="3" applyNumberFormat="1" applyFont="1" applyFill="1" applyBorder="1" applyAlignment="1">
      <alignment horizontal="center" vertical="center" wrapText="1"/>
    </xf>
    <xf numFmtId="187" fontId="75" fillId="11" borderId="118" xfId="3" applyNumberFormat="1" applyFont="1" applyFill="1" applyBorder="1" applyAlignment="1">
      <alignment horizontal="center" vertical="center" wrapText="1"/>
    </xf>
    <xf numFmtId="0" fontId="98" fillId="11" borderId="122" xfId="3" applyFont="1" applyFill="1" applyBorder="1" applyAlignment="1" applyProtection="1">
      <alignment horizontal="center" vertical="center" wrapText="1"/>
    </xf>
    <xf numFmtId="0" fontId="98" fillId="12" borderId="117" xfId="3" applyFont="1" applyFill="1" applyBorder="1" applyAlignment="1" applyProtection="1">
      <alignment horizontal="center" vertical="center" wrapText="1"/>
    </xf>
    <xf numFmtId="187" fontId="75" fillId="11" borderId="114" xfId="3" applyNumberFormat="1" applyFont="1" applyFill="1" applyBorder="1" applyAlignment="1">
      <alignment horizontal="center" vertical="center" wrapText="1"/>
    </xf>
    <xf numFmtId="187" fontId="75" fillId="11" borderId="123" xfId="3" applyNumberFormat="1" applyFont="1" applyFill="1" applyBorder="1" applyAlignment="1">
      <alignment horizontal="center" vertical="center" wrapText="1"/>
    </xf>
    <xf numFmtId="0" fontId="66" fillId="12" borderId="117"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7" fontId="66" fillId="3" borderId="0" xfId="3" applyNumberFormat="1" applyFont="1" applyFill="1" applyAlignment="1">
      <alignment horizontal="center" vertical="center"/>
    </xf>
    <xf numFmtId="0" fontId="66" fillId="3" borderId="114" xfId="3" applyFont="1" applyFill="1" applyBorder="1" applyAlignment="1" applyProtection="1">
      <alignment horizontal="center" vertical="center" wrapText="1"/>
    </xf>
    <xf numFmtId="0" fontId="66" fillId="11" borderId="122" xfId="3" applyFont="1" applyFill="1" applyBorder="1" applyAlignment="1" applyProtection="1">
      <alignment horizontal="center" vertical="center" wrapText="1"/>
    </xf>
    <xf numFmtId="187" fontId="75" fillId="11" borderId="122" xfId="3" applyNumberFormat="1" applyFont="1" applyFill="1" applyBorder="1" applyAlignment="1">
      <alignment horizontal="center" vertical="center" wrapText="1"/>
    </xf>
    <xf numFmtId="187" fontId="75" fillId="11" borderId="124" xfId="3" applyNumberFormat="1" applyFont="1" applyFill="1" applyBorder="1" applyAlignment="1">
      <alignment horizontal="center" vertical="center" wrapText="1"/>
    </xf>
    <xf numFmtId="187" fontId="66" fillId="10" borderId="0" xfId="3" applyNumberFormat="1" applyFont="1" applyFill="1" applyAlignment="1">
      <alignment horizontal="center" vertical="center"/>
    </xf>
    <xf numFmtId="187" fontId="66"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1" borderId="126" xfId="3" applyFont="1" applyFill="1" applyBorder="1" applyAlignment="1" applyProtection="1">
      <alignment horizontal="center" vertical="center" wrapText="1"/>
    </xf>
    <xf numFmtId="0" fontId="95" fillId="9" borderId="0" xfId="8" applyFont="1" applyFill="1" applyBorder="1" applyAlignment="1" applyProtection="1">
      <alignment horizontal="center" vertical="center"/>
      <protection locked="0"/>
    </xf>
    <xf numFmtId="0" fontId="75" fillId="9" borderId="0" xfId="3" applyFont="1" applyFill="1" applyAlignment="1">
      <alignment horizontal="center" vertical="center"/>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0" fontId="95" fillId="10" borderId="0" xfId="3" applyFont="1" applyFill="1" applyBorder="1" applyAlignment="1" applyProtection="1">
      <alignment horizontal="center" vertical="center"/>
      <protection locked="0"/>
    </xf>
    <xf numFmtId="10" fontId="95" fillId="10" borderId="127" xfId="3" applyNumberFormat="1" applyFont="1" applyFill="1" applyBorder="1" applyAlignment="1">
      <alignment vertical="center"/>
    </xf>
    <xf numFmtId="0" fontId="98" fillId="11" borderId="117" xfId="8" applyFont="1" applyFill="1" applyBorder="1" applyAlignment="1" applyProtection="1">
      <alignment horizontal="center" vertical="center" wrapText="1"/>
    </xf>
    <xf numFmtId="0" fontId="98" fillId="11" borderId="128" xfId="8"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8" fillId="12" borderId="129" xfId="3" applyFont="1" applyFill="1" applyBorder="1" applyAlignment="1" applyProtection="1">
      <alignment horizontal="center" vertical="center" wrapText="1"/>
    </xf>
    <xf numFmtId="0" fontId="98" fillId="11" borderId="128" xfId="3" applyFont="1" applyFill="1" applyBorder="1" applyAlignment="1" applyProtection="1">
      <alignment horizontal="center" vertical="center" wrapText="1"/>
    </xf>
    <xf numFmtId="10" fontId="66" fillId="0" borderId="130" xfId="3" applyNumberFormat="1" applyFont="1" applyBorder="1">
      <alignment vertical="center"/>
    </xf>
    <xf numFmtId="10" fontId="66" fillId="0" borderId="54" xfId="3" applyNumberFormat="1" applyFont="1" applyBorder="1">
      <alignment vertical="center"/>
    </xf>
    <xf numFmtId="10" fontId="66" fillId="0" borderId="0" xfId="3" applyNumberFormat="1" applyFont="1" applyBorder="1">
      <alignment vertical="center"/>
    </xf>
    <xf numFmtId="0" fontId="98" fillId="11" borderId="129" xfId="3" applyFont="1" applyFill="1" applyBorder="1" applyAlignment="1" applyProtection="1">
      <alignment horizontal="center" vertical="center" wrapText="1"/>
    </xf>
    <xf numFmtId="10" fontId="66" fillId="0" borderId="127" xfId="3" applyNumberFormat="1" applyFont="1" applyBorder="1">
      <alignment vertical="center"/>
    </xf>
    <xf numFmtId="10" fontId="66" fillId="0" borderId="89" xfId="3" applyNumberFormat="1" applyFont="1" applyBorder="1">
      <alignment vertical="center"/>
    </xf>
    <xf numFmtId="0" fontId="98" fillId="11" borderId="131" xfId="3" applyFont="1" applyFill="1" applyBorder="1" applyAlignment="1" applyProtection="1">
      <alignment horizontal="center" vertical="center" wrapText="1"/>
    </xf>
    <xf numFmtId="0" fontId="98" fillId="12" borderId="128" xfId="3" applyFont="1" applyFill="1" applyBorder="1" applyAlignment="1" applyProtection="1">
      <alignment horizontal="center" vertical="center" wrapText="1"/>
    </xf>
    <xf numFmtId="0" fontId="66" fillId="12" borderId="128"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1"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66" fillId="0" borderId="133" xfId="3" applyNumberFormat="1" applyFont="1" applyBorder="1">
      <alignment vertical="center"/>
    </xf>
    <xf numFmtId="10" fontId="66" fillId="0" borderId="17" xfId="3" applyNumberFormat="1" applyFont="1" applyBorder="1">
      <alignment vertical="center"/>
    </xf>
    <xf numFmtId="0" fontId="98" fillId="11" borderId="134" xfId="3" applyFont="1" applyFill="1" applyBorder="1" applyAlignment="1" applyProtection="1">
      <alignment horizontal="center" vertical="center" wrapText="1"/>
    </xf>
    <xf numFmtId="10" fontId="66" fillId="13" borderId="112" xfId="3" applyNumberFormat="1" applyFont="1" applyFill="1" applyBorder="1">
      <alignment vertical="center"/>
    </xf>
    <xf numFmtId="10" fontId="66" fillId="13" borderId="0" xfId="3" applyNumberFormat="1" applyFont="1" applyFill="1">
      <alignment vertical="center"/>
    </xf>
    <xf numFmtId="10" fontId="66" fillId="13" borderId="127" xfId="3" applyNumberFormat="1" applyFont="1" applyFill="1" applyBorder="1">
      <alignment vertical="center"/>
    </xf>
    <xf numFmtId="10" fontId="66" fillId="13" borderId="89" xfId="3" applyNumberFormat="1" applyFont="1" applyFill="1" applyBorder="1">
      <alignment vertical="center"/>
    </xf>
    <xf numFmtId="0" fontId="75" fillId="0" borderId="111" xfId="3" applyFont="1" applyBorder="1" applyAlignment="1">
      <alignment horizontal="center" vertical="center"/>
    </xf>
    <xf numFmtId="0" fontId="11" fillId="9" borderId="0" xfId="8" applyFont="1" applyFill="1">
      <alignment vertical="center"/>
    </xf>
    <xf numFmtId="0" fontId="66" fillId="9" borderId="0" xfId="3" applyFont="1" applyFill="1" applyAlignment="1">
      <alignment horizontal="center" vertical="center"/>
    </xf>
    <xf numFmtId="0" fontId="75" fillId="0" borderId="0" xfId="8" applyFont="1" applyFill="1">
      <alignment vertical="center"/>
    </xf>
    <xf numFmtId="0" fontId="66" fillId="0" borderId="0" xfId="3" applyFont="1" applyAlignment="1">
      <alignment horizontal="center" vertical="center"/>
    </xf>
    <xf numFmtId="0" fontId="75" fillId="10" borderId="0" xfId="3" applyFont="1" applyFill="1" applyAlignment="1">
      <alignment horizontal="center" vertical="center"/>
    </xf>
    <xf numFmtId="0" fontId="75" fillId="10" borderId="112" xfId="3" applyFont="1" applyFill="1" applyBorder="1" applyAlignment="1">
      <alignment horizontal="center" vertical="center"/>
    </xf>
    <xf numFmtId="0" fontId="81" fillId="3" borderId="0" xfId="8" applyFont="1" applyFill="1">
      <alignment vertical="center"/>
    </xf>
    <xf numFmtId="0" fontId="66" fillId="10" borderId="0" xfId="3" applyFont="1" applyFill="1" applyAlignment="1">
      <alignment horizontal="center" vertical="center"/>
    </xf>
    <xf numFmtId="178" fontId="66" fillId="0" borderId="0" xfId="3" applyNumberFormat="1" applyFont="1">
      <alignment vertical="center"/>
    </xf>
    <xf numFmtId="186" fontId="66" fillId="0" borderId="112" xfId="3" applyNumberFormat="1" applyFont="1" applyBorder="1">
      <alignment vertical="center"/>
    </xf>
    <xf numFmtId="186" fontId="66" fillId="0" borderId="0" xfId="3" applyNumberFormat="1" applyFont="1">
      <alignment vertical="center"/>
    </xf>
    <xf numFmtId="178" fontId="66" fillId="3" borderId="0" xfId="3" applyNumberFormat="1" applyFont="1" applyFill="1">
      <alignment vertical="center"/>
    </xf>
    <xf numFmtId="10" fontId="66" fillId="3" borderId="127"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8" fontId="66" fillId="0" borderId="17" xfId="3" applyNumberFormat="1" applyFont="1" applyBorder="1">
      <alignment vertical="center"/>
    </xf>
    <xf numFmtId="10" fontId="66" fillId="0" borderId="17" xfId="3" applyNumberFormat="1" applyFont="1" applyBorder="1" applyAlignment="1">
      <alignment horizontal="center" vertical="center"/>
    </xf>
    <xf numFmtId="192" fontId="66" fillId="0" borderId="0" xfId="3" applyNumberFormat="1" applyFont="1" applyAlignment="1">
      <alignment horizontal="center" vertical="center"/>
    </xf>
    <xf numFmtId="10" fontId="66" fillId="9" borderId="0" xfId="3" applyNumberFormat="1" applyFont="1" applyFill="1" applyAlignment="1">
      <alignment horizontal="center" vertical="center"/>
    </xf>
    <xf numFmtId="10" fontId="66" fillId="10"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2" borderId="135" xfId="3" applyFont="1" applyFill="1" applyBorder="1" applyAlignment="1">
      <alignment horizontal="center" vertical="center" wrapText="1"/>
    </xf>
    <xf numFmtId="0" fontId="75" fillId="12" borderId="136" xfId="3" applyFont="1" applyFill="1" applyBorder="1" applyAlignment="1">
      <alignment horizontal="center" vertical="center" wrapText="1"/>
    </xf>
    <xf numFmtId="178" fontId="66" fillId="13"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75" fillId="11" borderId="122" xfId="3" applyFont="1" applyFill="1" applyBorder="1" applyAlignment="1">
      <alignment horizontal="center" vertical="center" wrapText="1"/>
    </xf>
    <xf numFmtId="0" fontId="75" fillId="11" borderId="124" xfId="3" applyFont="1" applyFill="1" applyBorder="1" applyAlignment="1">
      <alignment horizontal="center" vertical="center" wrapText="1"/>
    </xf>
    <xf numFmtId="178" fontId="66"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75" fillId="11" borderId="137" xfId="3" applyFont="1" applyFill="1" applyBorder="1" applyAlignment="1">
      <alignment horizontal="center" vertical="center" wrapText="1"/>
    </xf>
    <xf numFmtId="0" fontId="75" fillId="11" borderId="138" xfId="3" applyFont="1" applyFill="1" applyBorder="1" applyAlignment="1">
      <alignment horizontal="center" vertical="center" wrapText="1"/>
    </xf>
    <xf numFmtId="0" fontId="75" fillId="11" borderId="139"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0" fontId="66" fillId="13" borderId="133" xfId="3" applyNumberFormat="1" applyFont="1" applyFill="1" applyBorder="1">
      <alignment vertical="center"/>
    </xf>
    <xf numFmtId="10" fontId="66" fillId="13" borderId="17" xfId="3" applyNumberFormat="1" applyFont="1" applyFill="1" applyBorder="1">
      <alignment vertical="center"/>
    </xf>
    <xf numFmtId="177" fontId="66" fillId="0" borderId="0" xfId="3" applyNumberFormat="1" applyFont="1" applyAlignment="1">
      <alignment horizontal="center" vertical="center"/>
    </xf>
    <xf numFmtId="177" fontId="66" fillId="0" borderId="112" xfId="3" applyNumberFormat="1" applyFont="1" applyBorder="1" applyAlignment="1">
      <alignment horizontal="center" vertical="center"/>
    </xf>
    <xf numFmtId="177" fontId="66" fillId="3" borderId="0" xfId="3" applyNumberFormat="1" applyFont="1" applyFill="1" applyAlignment="1">
      <alignment horizontal="center" vertical="center"/>
    </xf>
    <xf numFmtId="0" fontId="66" fillId="3" borderId="112" xfId="3" applyFont="1" applyFill="1" applyBorder="1">
      <alignment vertical="center"/>
    </xf>
    <xf numFmtId="177" fontId="81" fillId="0" borderId="0" xfId="3" applyNumberFormat="1" applyFont="1" applyAlignment="1">
      <alignment horizontal="center" vertical="center"/>
    </xf>
    <xf numFmtId="177" fontId="81" fillId="0" borderId="112" xfId="3" applyNumberFormat="1" applyFont="1" applyBorder="1" applyAlignment="1">
      <alignment horizontal="center" vertical="center"/>
    </xf>
    <xf numFmtId="192" fontId="66" fillId="0" borderId="17" xfId="3" applyNumberFormat="1" applyFont="1" applyBorder="1" applyAlignment="1">
      <alignment horizontal="center" vertical="center"/>
    </xf>
    <xf numFmtId="192" fontId="66"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7" xfId="3" applyFont="1" applyFill="1" applyBorder="1" applyAlignment="1">
      <alignment horizontal="center" vertical="center" wrapText="1"/>
    </xf>
    <xf numFmtId="0" fontId="98" fillId="11" borderId="141" xfId="3" applyFont="1" applyFill="1" applyBorder="1" applyAlignment="1">
      <alignment horizontal="center" vertical="center" wrapText="1"/>
    </xf>
    <xf numFmtId="0" fontId="98" fillId="11"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1" borderId="142" xfId="3" applyFont="1" applyFill="1" applyBorder="1" applyAlignment="1">
      <alignment horizontal="center" vertical="center" wrapText="1"/>
    </xf>
    <xf numFmtId="0" fontId="98"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223" fillId="0" borderId="0" xfId="9" applyNumberFormat="1" applyProtection="1">
      <alignment vertical="center"/>
    </xf>
    <xf numFmtId="0" fontId="223"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2"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92" fontId="223" fillId="2" borderId="5" xfId="10" applyNumberFormat="1" applyFill="1" applyBorder="1" applyAlignment="1" applyProtection="1">
      <alignment horizontal="center" vertical="center"/>
    </xf>
    <xf numFmtId="192"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92" fontId="223" fillId="2" borderId="1" xfId="10" applyNumberFormat="1" applyFill="1" applyBorder="1" applyAlignment="1" applyProtection="1">
      <alignment horizontal="center" vertical="center"/>
    </xf>
    <xf numFmtId="192"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92" fontId="223" fillId="2" borderId="42" xfId="10" applyNumberFormat="1" applyFill="1" applyBorder="1" applyAlignment="1" applyProtection="1">
      <alignment horizontal="center" vertical="center"/>
    </xf>
    <xf numFmtId="192" fontId="223"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2" fontId="223" fillId="2" borderId="13" xfId="10" applyNumberFormat="1" applyFill="1" applyBorder="1" applyAlignment="1" applyProtection="1">
      <alignment horizontal="center" vertical="center"/>
    </xf>
    <xf numFmtId="192" fontId="223" fillId="2" borderId="14" xfId="10" applyNumberFormat="1" applyFill="1" applyBorder="1" applyAlignment="1" applyProtection="1">
      <alignment horizontal="center" vertical="center"/>
    </xf>
    <xf numFmtId="192" fontId="223"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2" borderId="41" xfId="10" applyFont="1" applyFill="1" applyBorder="1" applyAlignment="1" applyProtection="1">
      <alignment horizontal="left" vertical="center" wrapText="1"/>
    </xf>
    <xf numFmtId="0" fontId="106" fillId="3" borderId="41" xfId="10" applyFont="1" applyFill="1" applyBorder="1" applyAlignment="1" applyProtection="1">
      <alignment horizontal="center" vertical="center" wrapText="1"/>
      <protection locked="0"/>
    </xf>
    <xf numFmtId="0" fontId="106" fillId="3" borderId="5" xfId="10" applyFont="1" applyFill="1" applyBorder="1" applyAlignment="1" applyProtection="1">
      <alignment horizontal="right" vertical="center" wrapText="1"/>
      <protection locked="0"/>
    </xf>
    <xf numFmtId="0" fontId="106" fillId="3" borderId="5" xfId="10" applyFont="1" applyFill="1" applyBorder="1" applyAlignment="1" applyProtection="1">
      <alignment horizontal="center" vertical="center" wrapText="1"/>
      <protection locked="0"/>
    </xf>
    <xf numFmtId="0" fontId="106"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6" fillId="2" borderId="9" xfId="10" applyFont="1" applyFill="1" applyBorder="1" applyAlignment="1" applyProtection="1">
      <alignment vertical="center" wrapText="1"/>
    </xf>
    <xf numFmtId="0" fontId="106" fillId="2" borderId="9" xfId="0" applyFont="1" applyFill="1" applyBorder="1" applyAlignment="1" applyProtection="1">
      <alignment horizontal="center" vertical="center" wrapText="1"/>
    </xf>
    <xf numFmtId="0" fontId="106" fillId="2" borderId="35"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6"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49" fontId="114"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10"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0" xfId="10" applyFont="1" applyFill="1" applyAlignment="1" applyProtection="1">
      <alignment horizontal="center" vertical="center" wrapText="1"/>
      <protection locked="0"/>
    </xf>
    <xf numFmtId="0" fontId="106" fillId="2" borderId="48" xfId="10" applyFont="1" applyFill="1" applyBorder="1" applyAlignment="1" applyProtection="1">
      <alignment vertical="center" wrapText="1"/>
    </xf>
    <xf numFmtId="0" fontId="106" fillId="2" borderId="67" xfId="10" applyFont="1" applyFill="1" applyBorder="1" applyAlignment="1" applyProtection="1">
      <alignment vertical="center" wrapText="1"/>
    </xf>
    <xf numFmtId="0" fontId="105" fillId="2" borderId="46"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1" fillId="0" borderId="1" xfId="10" applyNumberFormat="1" applyFont="1" applyFill="1" applyBorder="1" applyAlignment="1" applyProtection="1">
      <alignment horizontal="center" vertical="center"/>
      <protection locked="0"/>
    </xf>
    <xf numFmtId="178" fontId="81" fillId="2" borderId="1" xfId="10" applyNumberFormat="1" applyFont="1" applyFill="1" applyBorder="1" applyAlignment="1" applyProtection="1">
      <alignment horizontal="center" vertical="center"/>
    </xf>
    <xf numFmtId="194"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7"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78"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7"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2"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8"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49" fontId="45"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223"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3"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90" fillId="2" borderId="99"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90"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9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90"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2"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2"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1" applyNumberFormat="1" applyFont="1" applyFill="1" applyBorder="1" applyAlignment="1" applyProtection="1">
      <alignment horizontal="center" vertical="center"/>
    </xf>
    <xf numFmtId="182"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9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3" borderId="93"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1"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82" fontId="165" fillId="2" borderId="9" xfId="0" applyNumberFormat="1" applyFont="1" applyFill="1" applyBorder="1" applyAlignment="1" applyProtection="1">
      <alignment horizontal="center" vertical="center" wrapText="1"/>
    </xf>
    <xf numFmtId="182"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0"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3" fontId="169" fillId="0" borderId="1" xfId="14" applyNumberFormat="1" applyFont="1" applyFill="1" applyBorder="1" applyAlignment="1">
      <alignment horizontal="left" vertical="center"/>
    </xf>
    <xf numFmtId="181" fontId="169" fillId="0" borderId="1" xfId="14" applyNumberFormat="1" applyFont="1" applyFill="1" applyBorder="1" applyAlignment="1">
      <alignment horizontal="left" vertical="center"/>
    </xf>
    <xf numFmtId="183"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1" fontId="169" fillId="0" borderId="9" xfId="14" applyNumberFormat="1" applyFont="1" applyFill="1" applyBorder="1" applyAlignment="1">
      <alignment horizontal="left" vertical="center"/>
    </xf>
    <xf numFmtId="183"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12" fillId="0" borderId="1" xfId="14" applyFont="1" applyBorder="1" applyAlignment="1">
      <alignment horizontal="left" vertical="center"/>
    </xf>
    <xf numFmtId="181" fontId="169"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1"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2" fillId="0" borderId="0" xfId="0" applyFont="1" applyProtection="1">
      <alignment vertical="center"/>
    </xf>
    <xf numFmtId="0" fontId="181" fillId="0" borderId="0" xfId="0" applyFont="1" applyBorder="1" applyAlignment="1" applyProtection="1">
      <alignment horizontal="center" vertical="center"/>
    </xf>
    <xf numFmtId="0" fontId="92"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1" fontId="174"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2"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223"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6" fillId="0" borderId="0" xfId="14" applyFont="1" applyAlignment="1" applyProtection="1">
      <alignment horizontal="left" vertical="top" wrapText="1"/>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2" fillId="0" borderId="0" xfId="0" applyFont="1" applyAlignment="1">
      <alignment vertical="center" wrapText="1"/>
    </xf>
    <xf numFmtId="0" fontId="172"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2"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82" fontId="165" fillId="6" borderId="10" xfId="0" applyNumberFormat="1" applyFont="1" applyFill="1" applyBorder="1" applyAlignment="1" applyProtection="1">
      <alignment horizontal="center" vertical="center" wrapText="1"/>
      <protection locked="0"/>
    </xf>
    <xf numFmtId="182" fontId="165" fillId="6" borderId="12" xfId="0" applyNumberFormat="1" applyFont="1" applyFill="1" applyBorder="1" applyAlignment="1" applyProtection="1">
      <alignment horizontal="center" vertical="center" wrapText="1"/>
      <protection locked="0"/>
    </xf>
    <xf numFmtId="182"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10" fontId="65"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6"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6" fillId="0" borderId="0" xfId="3" applyFont="1" applyAlignment="1">
      <alignment horizontal="center" vertical="center"/>
    </xf>
    <xf numFmtId="0" fontId="75" fillId="0" borderId="0" xfId="3" applyFont="1" applyAlignment="1">
      <alignment horizontal="center" vertical="center"/>
    </xf>
    <xf numFmtId="0" fontId="11" fillId="0" borderId="0" xfId="3" applyFont="1" applyAlignment="1">
      <alignment horizontal="center" vertical="center"/>
    </xf>
    <xf numFmtId="0" fontId="98" fillId="11" borderId="115" xfId="3" applyFont="1" applyFill="1" applyBorder="1" applyAlignment="1" applyProtection="1">
      <alignment horizontal="center" vertical="center" wrapText="1"/>
    </xf>
    <xf numFmtId="0" fontId="98" fillId="11" borderId="116" xfId="3" applyFont="1" applyFill="1" applyBorder="1" applyAlignment="1" applyProtection="1">
      <alignment horizontal="center" vertical="center" wrapText="1"/>
    </xf>
    <xf numFmtId="0" fontId="98" fillId="11" borderId="119" xfId="3" applyFont="1" applyFill="1" applyBorder="1" applyAlignment="1" applyProtection="1">
      <alignment horizontal="center" vertical="center" wrapText="1"/>
    </xf>
    <xf numFmtId="0" fontId="98" fillId="11" borderId="120" xfId="3" applyFont="1" applyFill="1" applyBorder="1" applyAlignment="1" applyProtection="1">
      <alignment horizontal="center" vertical="center" wrapText="1"/>
    </xf>
    <xf numFmtId="0" fontId="98" fillId="11" borderId="121" xfId="3" applyFont="1" applyFill="1" applyBorder="1" applyAlignment="1" applyProtection="1">
      <alignment horizontal="center" vertical="center" wrapText="1"/>
    </xf>
    <xf numFmtId="0" fontId="66" fillId="11" borderId="121" xfId="3" applyFont="1" applyFill="1" applyBorder="1" applyAlignment="1" applyProtection="1">
      <alignment horizontal="center" vertical="center" wrapText="1"/>
    </xf>
    <xf numFmtId="0" fontId="66" fillId="11" borderId="115" xfId="3" applyFont="1" applyFill="1" applyBorder="1" applyAlignment="1" applyProtection="1">
      <alignment horizontal="center" vertical="center" wrapText="1"/>
    </xf>
    <xf numFmtId="0" fontId="66" fillId="11" borderId="120" xfId="3" applyFont="1" applyFill="1" applyBorder="1" applyAlignment="1" applyProtection="1">
      <alignment horizontal="center" vertical="center" wrapText="1"/>
    </xf>
    <xf numFmtId="0" fontId="87"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86" fontId="21" fillId="17" borderId="57" xfId="0" applyNumberFormat="1" applyFont="1" applyFill="1" applyBorder="1" applyAlignment="1" applyProtection="1">
      <alignment horizontal="center" vertical="center"/>
      <protection locked="0"/>
    </xf>
    <xf numFmtId="0" fontId="27" fillId="17" borderId="6" xfId="0" applyFont="1" applyFill="1" applyBorder="1" applyAlignment="1" applyProtection="1">
      <alignment vertical="center"/>
      <protection locked="0"/>
    </xf>
    <xf numFmtId="10" fontId="27" fillId="17" borderId="1" xfId="0" applyNumberFormat="1" applyFont="1" applyFill="1" applyBorder="1" applyAlignment="1" applyProtection="1">
      <alignment horizontal="center" vertical="center"/>
      <protection locked="0"/>
    </xf>
    <xf numFmtId="188" fontId="27" fillId="17" borderId="1" xfId="0" applyNumberFormat="1" applyFont="1" applyFill="1" applyBorder="1" applyAlignment="1" applyProtection="1">
      <alignment horizontal="center" vertical="center"/>
      <protection locked="0"/>
    </xf>
    <xf numFmtId="186" fontId="27" fillId="17" borderId="10" xfId="0" applyNumberFormat="1" applyFont="1" applyFill="1" applyBorder="1" applyAlignment="1" applyProtection="1">
      <alignment horizontal="center" vertical="center"/>
      <protection locked="0"/>
    </xf>
    <xf numFmtId="181" fontId="165" fillId="17" borderId="1" xfId="0" applyNumberFormat="1" applyFont="1" applyFill="1" applyBorder="1" applyAlignment="1" applyProtection="1">
      <alignment horizontal="center" vertical="center" shrinkToFit="1"/>
      <protection locked="0"/>
    </xf>
    <xf numFmtId="0" fontId="223" fillId="0" borderId="0" xfId="0" applyFont="1">
      <alignment vertical="center"/>
    </xf>
    <xf numFmtId="14" fontId="0" fillId="0" borderId="0" xfId="0" applyNumberFormat="1">
      <alignment vertical="center"/>
    </xf>
    <xf numFmtId="10" fontId="0" fillId="0" borderId="0" xfId="0" applyNumberFormat="1">
      <alignment vertical="center"/>
    </xf>
    <xf numFmtId="0" fontId="0" fillId="0" borderId="0" xfId="0" applyAlignment="1">
      <alignment horizontal="center" vertical="center"/>
    </xf>
    <xf numFmtId="0" fontId="0" fillId="0" borderId="0" xfId="0" applyAlignment="1">
      <alignment horizontal="center" vertical="center"/>
    </xf>
    <xf numFmtId="0" fontId="223" fillId="0" borderId="0" xfId="0" applyFont="1" applyAlignment="1">
      <alignment horizontal="center" vertical="center"/>
    </xf>
    <xf numFmtId="0" fontId="27" fillId="17" borderId="1" xfId="0" applyFont="1" applyFill="1" applyBorder="1" applyAlignment="1" applyProtection="1">
      <alignment horizontal="center" vertical="center"/>
      <protection locked="0"/>
    </xf>
    <xf numFmtId="0" fontId="27" fillId="17" borderId="9" xfId="0" applyFont="1" applyFill="1" applyBorder="1" applyAlignment="1" applyProtection="1">
      <alignment horizontal="center" vertical="center"/>
      <protection locked="0"/>
    </xf>
    <xf numFmtId="0" fontId="27" fillId="17" borderId="1" xfId="0" applyFont="1" applyFill="1" applyBorder="1" applyAlignment="1" applyProtection="1">
      <alignment horizontal="center" vertical="center"/>
      <protection locked="0"/>
    </xf>
    <xf numFmtId="0" fontId="27" fillId="17" borderId="35" xfId="0" applyFont="1" applyFill="1" applyBorder="1" applyAlignment="1" applyProtection="1">
      <alignment horizontal="center" vertical="center"/>
      <protection locked="0"/>
    </xf>
    <xf numFmtId="0" fontId="27" fillId="17" borderId="3" xfId="0" applyFont="1" applyFill="1" applyBorder="1" applyAlignment="1" applyProtection="1">
      <alignment horizontal="center" vertical="center"/>
      <protection locked="0"/>
    </xf>
    <xf numFmtId="49" fontId="31" fillId="3" borderId="6" xfId="0" applyNumberFormat="1" applyFont="1" applyFill="1" applyBorder="1" applyAlignment="1" applyProtection="1">
      <alignment horizontal="center" vertical="center" wrapText="1"/>
      <protection locked="0"/>
    </xf>
    <xf numFmtId="10" fontId="0" fillId="3" borderId="0" xfId="0" applyNumberFormat="1" applyFill="1">
      <alignment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5" customWidth="1"/>
    <col min="2" max="2" width="78.25" style="3126" customWidth="1"/>
    <col min="3" max="18" width="9" style="3127"/>
    <col min="19" max="19" width="17.875" style="3127" customWidth="1"/>
    <col min="20" max="51" width="9" style="3127"/>
    <col min="52" max="52" width="13.25" style="3127" customWidth="1"/>
    <col min="53" max="53" width="13.5" style="3127" customWidth="1"/>
    <col min="54" max="54" width="11.625" style="3127" customWidth="1"/>
    <col min="55" max="55" width="13.5" style="3127" customWidth="1"/>
    <col min="56" max="16384" width="9" style="3127"/>
  </cols>
  <sheetData>
    <row r="1" spans="1:55" s="3119" customFormat="1" ht="15.75">
      <c r="A1" s="3128" t="s">
        <v>0</v>
      </c>
      <c r="B1" s="3129" t="s">
        <v>1</v>
      </c>
    </row>
    <row r="2" spans="1:55" s="3120" customFormat="1">
      <c r="A2" s="3130" t="s">
        <v>2</v>
      </c>
      <c r="B2" s="3131" t="str">
        <f>'预评函-封皮'!B37</f>
        <v>山东省寿光市文苑路以西、文庙街以北出让国有建设用地使用权抵押价格预评估</v>
      </c>
      <c r="AX2" s="3142"/>
      <c r="AZ2" s="3142"/>
      <c r="BA2" s="3143"/>
      <c r="BC2" s="3143"/>
    </row>
    <row r="3" spans="1:55" s="3121" customFormat="1">
      <c r="A3" s="3132" t="s">
        <v>3</v>
      </c>
      <c r="B3" s="3133" t="str">
        <f>'预评函-封皮'!B40</f>
        <v>寿光市文腾基础设施建设开发有限公司</v>
      </c>
    </row>
    <row r="4" spans="1:55" s="3122" customFormat="1">
      <c r="A4" s="3132" t="s">
        <v>4</v>
      </c>
      <c r="B4" s="3134" t="str">
        <f>'预评函-封皮'!B46</f>
        <v>郑燚、王鹏</v>
      </c>
      <c r="N4" s="3122" t="str">
        <f>'预评函-1'!A28</f>
        <v/>
      </c>
    </row>
    <row r="5" spans="1:55" s="3119" customFormat="1">
      <c r="A5" s="3135" t="s">
        <v>5</v>
      </c>
      <c r="B5" s="3136" t="str">
        <f>'预评函-封皮'!B49</f>
        <v>康正预评字号</v>
      </c>
    </row>
    <row r="6" spans="1:55" s="3123" customFormat="1">
      <c r="A6" s="3130" t="s">
        <v>6</v>
      </c>
      <c r="B6" s="3131" t="str">
        <f>'预评函-1'!A4</f>
        <v>受贵公司委托，我公司对山东省寿光市文苑路以西、文庙街以北出让国有建设用地使用权抵押价格进行了预评估。</v>
      </c>
      <c r="AM6" s="3140"/>
    </row>
    <row r="7" spans="1:55" s="3124" customFormat="1">
      <c r="A7" s="3132" t="s">
        <v>7</v>
      </c>
      <c r="B7" s="3134" t="str">
        <f>'预评函-1'!A6</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8" spans="1:55" s="3124" customFormat="1">
      <c r="A8" s="3132" t="s">
        <v>8</v>
      </c>
      <c r="B8" s="3134" t="str">
        <f>'预评函-1'!A7</f>
        <v xml:space="preserve">简述项目推广名，项目类型（用途），估价对象分布，各用途面积明细情况：XX用途建筑面积XX平方米，XX用途建筑面积XX平方米，……。复杂面积清单需设‘附表’列示：抵押物清单详见附表。        </v>
      </c>
    </row>
    <row r="9" spans="1:55" s="3124" customFormat="1">
      <c r="A9" s="3132" t="s">
        <v>9</v>
      </c>
      <c r="B9" s="31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24" customFormat="1">
      <c r="A10" s="3132" t="s">
        <v>10</v>
      </c>
      <c r="B10" s="3134" t="str">
        <f>'预评函-1'!A11</f>
        <v>2019年5月15日（评估专业人员勘察现场之日）</v>
      </c>
    </row>
    <row r="11" spans="1:55" s="3124" customFormat="1">
      <c r="A11" s="3132" t="s">
        <v>11</v>
      </c>
      <c r="B11" s="3134" t="str">
        <f>'预评函-1'!A14</f>
        <v>根据《国有土地使用证》[]，本次评估估价对象证载（地类）用途为批发零售用地、城镇住宅用地。</v>
      </c>
    </row>
    <row r="12" spans="1:55" s="3124" customFormat="1">
      <c r="A12" s="3132" t="s">
        <v>12</v>
      </c>
      <c r="B12" s="3134" t="str">
        <f>'预评函-1'!A15</f>
        <v>本次评估设定用途即为证载用途批发零售用地、城镇住宅用地。</v>
      </c>
    </row>
    <row r="13" spans="1:55" s="3124" customFormat="1">
      <c r="A13" s="3132" t="s">
        <v>13</v>
      </c>
      <c r="B13" s="3134" t="str">
        <f>'预评函-1'!A17</f>
        <v>根据委托估价方介绍及评估专业人员现场勘查，本次评估估价对象实际土地开发程度为红线外市政基础设施达“七通”（即、、、、、、）、宗地红线内场地平整。</v>
      </c>
    </row>
    <row r="14" spans="1:55" s="3124" customFormat="1">
      <c r="A14" s="3132" t="s">
        <v>14</v>
      </c>
      <c r="B14" s="3134" t="str">
        <f>'预评函-1'!A18</f>
        <v>。本次评估设定土地开发程度为红线外市政基础设施达“七通”、宗地红线内场地平整。</v>
      </c>
    </row>
    <row r="15" spans="1:55" s="3124" customFormat="1">
      <c r="A15" s="3132" t="s">
        <v>15</v>
      </c>
      <c r="B15" s="3134" t="str">
        <f>'预评函-1'!A20</f>
        <v>根据《国有土地使用证》[]，估价对象（分摊）出让国有建设用地使用权面积为42969平方米。根据《建设工程规划许可证》[]、《出让合同》[]，估价对象规划建筑面积为73411.47平方米。</v>
      </c>
    </row>
    <row r="16" spans="1:55" s="3124" customFormat="1">
      <c r="A16" s="3132" t="s">
        <v>16</v>
      </c>
      <c r="B16" s="3134" t="str">
        <f>'预评函-1'!A22</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17" spans="1:48" s="3124" customFormat="1">
      <c r="A17" s="3132" t="s">
        <v>17</v>
      </c>
      <c r="B17" s="3134" t="str">
        <f>'预评函-1'!A23</f>
        <v>本次评估设定估价对象剩余土地使用年限为住宅69.57年、商业39.55年。</v>
      </c>
    </row>
    <row r="18" spans="1:48" s="3124" customFormat="1">
      <c r="A18" s="3132" t="s">
        <v>18</v>
      </c>
      <c r="B18" s="3134" t="str">
        <f>'预评函-1'!A25</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19" spans="1:48" s="3124" customFormat="1">
      <c r="A19" s="3132" t="s">
        <v>19</v>
      </c>
      <c r="B19" s="3134" t="str">
        <f>'预评函-1'!A26</f>
        <v>本次估价的“抵押价格”是指估价对象在估价期日的“出让国有建设用地使用权价格”扣减估价师于估价期日所知悉的法定优先受偿款后的余额。</v>
      </c>
    </row>
    <row r="20" spans="1:48" s="3124" customFormat="1">
      <c r="A20" s="3132" t="s">
        <v>20</v>
      </c>
      <c r="B20" s="31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9" customFormat="1">
      <c r="A21" s="3135" t="s">
        <v>21</v>
      </c>
      <c r="B21" s="3136" t="str">
        <f>'预评函-1'!A28</f>
        <v/>
      </c>
    </row>
    <row r="22" spans="1:48">
      <c r="A22" s="3137" t="s">
        <v>22</v>
      </c>
      <c r="B22" s="313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32" t="s">
        <v>23</v>
      </c>
      <c r="B23" s="3134" t="str">
        <f>'预评函-2'!K2</f>
        <v>估价期日：2019年5月15日</v>
      </c>
    </row>
    <row r="24" spans="1:48">
      <c r="A24" s="3132" t="s">
        <v>24</v>
      </c>
      <c r="B24" s="3134" t="str">
        <f>'预评函-2'!R2</f>
        <v>估价期日的国有建设用地使用权性质：出让</v>
      </c>
    </row>
    <row r="25" spans="1:48">
      <c r="A25" s="3132" t="s">
        <v>25</v>
      </c>
      <c r="B25" s="3134" t="str">
        <f>'预评函-2'!A3</f>
        <v>估价期日土地使用者</v>
      </c>
    </row>
    <row r="26" spans="1:48">
      <c r="A26" s="3132" t="s">
        <v>26</v>
      </c>
      <c r="B26" s="3134" t="str">
        <f>'预评函-2'!A5</f>
        <v>中信开发</v>
      </c>
    </row>
    <row r="27" spans="1:48">
      <c r="A27" s="3132" t="s">
        <v>27</v>
      </c>
      <c r="B27" s="3134" t="str">
        <f>'预评函-2'!B3</f>
        <v>宗地编号/不动产单元号</v>
      </c>
    </row>
    <row r="28" spans="1:48">
      <c r="A28" s="3132" t="s">
        <v>28</v>
      </c>
      <c r="B28" s="3134" t="str">
        <f>'预评函-2'!B5</f>
        <v>11111111111</v>
      </c>
    </row>
    <row r="29" spans="1:48">
      <c r="A29" s="3132" t="s">
        <v>29</v>
      </c>
      <c r="B29" s="3134">
        <f>'预评函-2'!C5</f>
        <v>22</v>
      </c>
    </row>
    <row r="30" spans="1:48">
      <c r="A30" s="3132" t="s">
        <v>30</v>
      </c>
      <c r="B30" s="3134" t="str">
        <f>'预评函-2'!D3</f>
        <v>土地使用证编号/不动产权证书编号</v>
      </c>
    </row>
    <row r="31" spans="1:48">
      <c r="A31" s="3132" t="s">
        <v>31</v>
      </c>
      <c r="B31" s="3134" t="str">
        <f>'预评函-2'!D5</f>
        <v>京国土字第111号</v>
      </c>
    </row>
    <row r="32" spans="1:48">
      <c r="A32" s="3132" t="s">
        <v>32</v>
      </c>
      <c r="B32" s="3134" t="str">
        <f>'预评函-2'!E5</f>
        <v>批发零售用地、城镇住宅用地</v>
      </c>
      <c r="AV32" s="3141"/>
    </row>
    <row r="33" spans="1:2">
      <c r="A33" s="3132" t="s">
        <v>33</v>
      </c>
      <c r="B33" s="3134">
        <f>'预评函-2'!F5</f>
        <v>258</v>
      </c>
    </row>
    <row r="34" spans="1:2">
      <c r="A34" s="3132" t="s">
        <v>34</v>
      </c>
      <c r="B34" s="3134" t="str">
        <f>'预评函-2'!G5</f>
        <v>批发零售用地、城镇住宅用地</v>
      </c>
    </row>
    <row r="35" spans="1:2">
      <c r="A35" s="3132" t="s">
        <v>35</v>
      </c>
      <c r="B35" s="3134">
        <f>'预评函-2'!H5</f>
        <v>1.5</v>
      </c>
    </row>
    <row r="36" spans="1:2">
      <c r="A36" s="3132" t="s">
        <v>36</v>
      </c>
      <c r="B36" s="3134">
        <f>'预评函-2'!I5</f>
        <v>1.5</v>
      </c>
    </row>
    <row r="37" spans="1:2">
      <c r="A37" s="3132" t="s">
        <v>37</v>
      </c>
      <c r="B37" s="3134">
        <f>'预评函-2'!J5</f>
        <v>1.5</v>
      </c>
    </row>
    <row r="38" spans="1:2">
      <c r="A38" s="3132" t="s">
        <v>38</v>
      </c>
      <c r="B38" s="3134" t="str">
        <f>'预评函-2'!K5</f>
        <v>红线外七通、宗地红线内</v>
      </c>
    </row>
    <row r="39" spans="1:2">
      <c r="A39" s="3132" t="s">
        <v>39</v>
      </c>
      <c r="B39" s="3134" t="str">
        <f>'预评函-2'!L5</f>
        <v>红线外七通、宗地红线内场地平整</v>
      </c>
    </row>
    <row r="40" spans="1:2">
      <c r="A40" s="3132" t="s">
        <v>40</v>
      </c>
      <c r="B40" s="3134" t="str">
        <f>'预评函-2'!M3</f>
        <v>（剩余）土地使用年限/年</v>
      </c>
    </row>
    <row r="41" spans="1:2">
      <c r="A41" s="3132" t="s">
        <v>41</v>
      </c>
      <c r="B41" s="3134" t="str">
        <f>'预评函-2'!M5</f>
        <v>住宅69.57年、商业39.55年</v>
      </c>
    </row>
    <row r="42" spans="1:2">
      <c r="A42" s="3132" t="s">
        <v>42</v>
      </c>
      <c r="B42" s="3134" t="str">
        <f>'预评函-2'!N3</f>
        <v>（分摊）出让国有建设用地使用权面积/㎡</v>
      </c>
    </row>
    <row r="43" spans="1:2">
      <c r="A43" s="3132" t="s">
        <v>43</v>
      </c>
      <c r="B43" s="3134">
        <f>'预评函-2'!N5</f>
        <v>42969</v>
      </c>
    </row>
    <row r="44" spans="1:2">
      <c r="A44" s="3132" t="s">
        <v>44</v>
      </c>
      <c r="B44" s="3134" t="str">
        <f>'预评函-2'!O3</f>
        <v>规划建筑面积/㎡</v>
      </c>
    </row>
    <row r="45" spans="1:2">
      <c r="A45" s="3132" t="s">
        <v>45</v>
      </c>
      <c r="B45" s="3134">
        <f>'预评函-2'!O5</f>
        <v>73411.47</v>
      </c>
    </row>
    <row r="46" spans="1:2">
      <c r="A46" s="3132" t="s">
        <v>46</v>
      </c>
      <c r="B46" s="3134">
        <f ca="1">'预评函-2'!P5</f>
        <v>1740</v>
      </c>
    </row>
    <row r="47" spans="1:2">
      <c r="A47" s="3132" t="s">
        <v>47</v>
      </c>
      <c r="B47" s="3134">
        <f ca="1">'预评函-2'!Q5</f>
        <v>1019</v>
      </c>
    </row>
    <row r="48" spans="1:2">
      <c r="A48" s="3132" t="s">
        <v>48</v>
      </c>
      <c r="B48" s="3134">
        <f ca="1">'预评函-2'!R5</f>
        <v>7477</v>
      </c>
    </row>
    <row r="49" spans="1:2">
      <c r="A49" s="3132" t="s">
        <v>49</v>
      </c>
      <c r="B49" s="3134" t="str">
        <f>'预评函-2'!A6</f>
        <v>抵押价格</v>
      </c>
    </row>
    <row r="50" spans="1:2">
      <c r="A50" s="3132" t="s">
        <v>50</v>
      </c>
      <c r="B50" s="3134">
        <f ca="1">'预评函-2'!R6</f>
        <v>7477</v>
      </c>
    </row>
    <row r="51" spans="1:2">
      <c r="A51" s="3132" t="s">
        <v>51</v>
      </c>
      <c r="B51" s="3134" t="str">
        <f>'预评函-2'!A7</f>
        <v>——</v>
      </c>
    </row>
    <row r="52" spans="1:2">
      <c r="A52" s="3132" t="s">
        <v>52</v>
      </c>
      <c r="B52" s="3134" t="str">
        <f>'预评函-2'!R7</f>
        <v>——</v>
      </c>
    </row>
    <row r="53" spans="1:2">
      <c r="A53" s="3132" t="s">
        <v>53</v>
      </c>
      <c r="B53" s="3134" t="str">
        <f>'预评函-2'!A8</f>
        <v>——</v>
      </c>
    </row>
    <row r="54" spans="1:2" s="3119" customFormat="1">
      <c r="A54" s="3135" t="s">
        <v>54</v>
      </c>
      <c r="B54" s="3136" t="str">
        <f>'预评函-2'!R8</f>
        <v>——</v>
      </c>
    </row>
    <row r="55" spans="1:2">
      <c r="A55" s="3137" t="s">
        <v>55</v>
      </c>
      <c r="B55" s="3138" t="str">
        <f>'预评函-3'!A2</f>
        <v>1.权利限制：根据估价对象《不动产权证书》复印件、《国有土地使用权》复印件，截至估价期日，估价对象抵押权未见登记。未设定租赁等其他他项权利。</v>
      </c>
    </row>
    <row r="56" spans="1:2">
      <c r="A56" s="3132" t="s">
        <v>56</v>
      </c>
      <c r="B56" s="3134" t="str">
        <f>'预评函-3'!A3</f>
        <v>2.基础设施条件：估价对象实际开发程度为红线外七通、宗地红线内；本次评估设定开发程度为红线外七通、宗地红线内场地平整。</v>
      </c>
    </row>
    <row r="57" spans="1:2">
      <c r="A57" s="3132" t="s">
        <v>57</v>
      </c>
      <c r="B57" s="3134" t="str">
        <f>'预评函-3'!A4</f>
        <v>3.估价规划限制条件：详见《建设工程规划许可证》[]、《出让合同》[]。</v>
      </c>
    </row>
    <row r="58" spans="1:2" s="3119" customFormat="1">
      <c r="A58" s="3135" t="s">
        <v>58</v>
      </c>
      <c r="B58" s="3136" t="str">
        <f>'预评函-3'!A5</f>
        <v>4.影响价格的其他限定条件：无。</v>
      </c>
    </row>
    <row r="59" spans="1:2">
      <c r="A59" s="3137" t="s">
        <v>59</v>
      </c>
      <c r="B59" s="3138" t="str">
        <f>'预评函-3'!A8</f>
        <v>2.本《评估意见函》仅供金融机构进行内部审核使用，不做其他目的之用。</v>
      </c>
    </row>
    <row r="60" spans="1:2">
      <c r="A60" s="3132" t="s">
        <v>60</v>
      </c>
      <c r="B60" s="3134" t="str">
        <f>'预评函-3'!A9</f>
        <v>3.抵押双方在办理抵押登记手续时，应使用本公司出具的正式《土地估价报告》，特提请报告使用者注意。</v>
      </c>
    </row>
    <row r="61" spans="1:2">
      <c r="A61" s="3132" t="s">
        <v>61</v>
      </c>
      <c r="B61" s="3134" t="str">
        <f>'预评函-3'!A10</f>
        <v>4.估价师所知悉的法定优先受偿款情况为：</v>
      </c>
    </row>
    <row r="62" spans="1:2">
      <c r="A62" s="3132" t="s">
        <v>62</v>
      </c>
      <c r="B62" s="3134" t="str">
        <f>'预评函-3'!A11</f>
        <v>（1）根据估价对象《不动产权证书》复印件、《国有土地使用权》复印件，截至估价期日，估价对象抵押权未见登记。</v>
      </c>
    </row>
    <row r="63" spans="1:2">
      <c r="A63" s="3132" t="s">
        <v>63</v>
      </c>
      <c r="B63" s="31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2" t="s">
        <v>64</v>
      </c>
      <c r="B64" s="3139" t="str">
        <f>'预评函-3'!A13</f>
        <v>（3）。</v>
      </c>
    </row>
    <row r="65" spans="1:2">
      <c r="A65" s="3132" t="s">
        <v>65</v>
      </c>
      <c r="B65" s="3144" t="str">
        <f>'预评函-3'!A14</f>
        <v>综上，本次评估不存在估价师知悉的法定优先受偿款</v>
      </c>
    </row>
    <row r="66" spans="1:2">
      <c r="A66" s="3132" t="s">
        <v>66</v>
      </c>
      <c r="B66" s="31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2" t="s">
        <v>67</v>
      </c>
      <c r="B67" s="31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9" customFormat="1">
      <c r="A68" s="3135" t="s">
        <v>68</v>
      </c>
      <c r="B68" s="3145">
        <f>'预评函-3'!D30</f>
        <v>42558</v>
      </c>
    </row>
    <row r="69" spans="1:2">
      <c r="A69" s="3137" t="s">
        <v>69</v>
      </c>
      <c r="B69" s="3138" t="str">
        <f>'预评函-3'!A20</f>
        <v>郑燚</v>
      </c>
    </row>
    <row r="70" spans="1:2">
      <c r="A70" s="3132" t="s">
        <v>69</v>
      </c>
      <c r="B70" s="3144">
        <f ca="1">'预评函-3'!B20</f>
        <v>2014110011</v>
      </c>
    </row>
    <row r="71" spans="1:2">
      <c r="A71" s="3132" t="s">
        <v>70</v>
      </c>
      <c r="B71" s="3134" t="str">
        <f>'预评函-3'!A21</f>
        <v>王鹏</v>
      </c>
    </row>
    <row r="72" spans="1:2" s="3119" customFormat="1">
      <c r="A72" s="3135" t="s">
        <v>70</v>
      </c>
      <c r="B72" s="3146">
        <f ca="1">'预评函-3'!B21</f>
        <v>2002110030</v>
      </c>
    </row>
    <row r="73" spans="1:2">
      <c r="A73" s="3137" t="s">
        <v>71</v>
      </c>
      <c r="B73" s="31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2" t="s">
        <v>72</v>
      </c>
      <c r="B74" s="3148" t="str">
        <f>'预评函-1 (储备)'!A18</f>
        <v>由于本次评估估价目的是评估储备国有建设用地使用权的“抵押价格”，因此本次评估设定土地开发程度为红线外市政基础设施达“七通”、宗地红线内场地平整。</v>
      </c>
    </row>
    <row r="75" spans="1:2" s="3119" customFormat="1">
      <c r="A75" s="3135" t="s">
        <v>73</v>
      </c>
      <c r="B75" s="3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5" t="s">
        <v>74</v>
      </c>
      <c r="B76" s="3126" t="str">
        <f>'预评函-3'!A25</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2862" customWidth="1"/>
    <col min="2" max="2" width="11.375" style="2862" customWidth="1"/>
    <col min="3" max="3" width="12.625" style="2862" customWidth="1"/>
    <col min="4" max="4" width="11.75"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351</v>
      </c>
      <c r="B1" s="3178" t="str">
        <f>IF(B10="北京市","北京市",C10)&amp;F10&amp;B16&amp;"国有建设用地使用权"&amp;B9&amp;"预评估"</f>
        <v>山东省寿光市文苑路以西、文庙街以北出让国有建设用地使用权抵押价格预评估</v>
      </c>
      <c r="C1" s="3179"/>
      <c r="D1" s="3179"/>
      <c r="E1" s="3179"/>
      <c r="F1" s="3179"/>
      <c r="G1" s="3179"/>
      <c r="H1" s="3179"/>
      <c r="I1" s="3180"/>
      <c r="J1" s="2869"/>
      <c r="K1" s="2986" t="str">
        <f>IF(B10="北京市","北京市",C10)&amp;F10&amp;B16&amp;"国有建设用地使用权"&amp;B9</f>
        <v>山东省寿光市文苑路以西、文庙街以北出让国有建设用地使用权抵押价格</v>
      </c>
      <c r="L1" s="2987"/>
      <c r="M1" s="2987"/>
      <c r="N1" s="2869"/>
      <c r="O1" s="2988"/>
      <c r="P1" s="2869"/>
      <c r="Q1" s="2869"/>
      <c r="R1" s="2869"/>
      <c r="S1" s="2869"/>
      <c r="T1" s="2869"/>
      <c r="U1" s="2869"/>
    </row>
    <row r="2" spans="1:21">
      <c r="A2" s="2867" t="s">
        <v>352</v>
      </c>
      <c r="B2" s="2868"/>
      <c r="D2" s="2869"/>
      <c r="E2" s="2869"/>
      <c r="F2" s="2869"/>
      <c r="G2" s="2869"/>
      <c r="H2" s="2867"/>
      <c r="I2" s="2988"/>
      <c r="J2" s="2869"/>
      <c r="K2" s="2986" t="str">
        <f>IF(B10="北京市","北京市",C10)&amp;F10&amp;B16&amp;"国有建设用地使用权"</f>
        <v>山东省寿光市文苑路以西、文庙街以北出让国有建设用地使用权</v>
      </c>
      <c r="L2" s="2987"/>
      <c r="M2" s="2987"/>
      <c r="N2" s="2869"/>
      <c r="O2" s="2988"/>
      <c r="P2" s="2869"/>
      <c r="Q2" s="2869"/>
      <c r="R2" s="2869"/>
      <c r="S2" s="2869"/>
      <c r="T2" s="2869"/>
      <c r="U2" s="2869"/>
    </row>
    <row r="3" spans="1:21">
      <c r="A3" s="2870" t="s">
        <v>353</v>
      </c>
      <c r="B3" s="2871">
        <v>43600</v>
      </c>
      <c r="C3" s="2872" t="s">
        <v>354</v>
      </c>
      <c r="D3" s="2871">
        <v>43600</v>
      </c>
      <c r="E3" s="2869"/>
      <c r="F3" s="2869"/>
      <c r="G3" s="2869"/>
      <c r="H3" s="2867"/>
      <c r="I3" s="2988"/>
      <c r="J3" s="2869"/>
      <c r="K3" s="2989"/>
      <c r="L3" s="2987"/>
      <c r="M3" s="2987"/>
      <c r="N3" s="2869"/>
      <c r="O3" s="2988"/>
      <c r="P3" s="2869"/>
      <c r="Q3" s="2869"/>
      <c r="R3" s="2869"/>
      <c r="S3" s="2869"/>
      <c r="T3" s="2869"/>
      <c r="U3" s="2869"/>
    </row>
    <row r="4" spans="1:21">
      <c r="A4" s="2873" t="s">
        <v>355</v>
      </c>
      <c r="B4" s="2874" t="s">
        <v>199</v>
      </c>
      <c r="C4" s="2875">
        <f ca="1">SUMIF(土地估价师,B4,估价师及机构信息!E3:E24)</f>
        <v>2014110011</v>
      </c>
      <c r="D4" s="2874" t="s">
        <v>194</v>
      </c>
      <c r="E4" s="2875">
        <f ca="1">SUMIF(土地估价师,D4,估价师及机构信息!E3:E24)</f>
        <v>2002110030</v>
      </c>
      <c r="F4" s="2874" t="s">
        <v>138</v>
      </c>
      <c r="G4" s="2875">
        <f>SUMIF(土地估价师,F4,估价师及机构信息!E3:E24)</f>
        <v>0</v>
      </c>
      <c r="H4" s="2874" t="s">
        <v>138</v>
      </c>
      <c r="I4" s="2875">
        <f>SUMIF(土地估价师,H4,估价师及机构信息!E3:E24)</f>
        <v>0</v>
      </c>
      <c r="J4" s="2869"/>
      <c r="K4" s="2986" t="str">
        <f>IF(AND(F4="——",H4="——"),B4&amp;"、"&amp;D4,IF(AND(F4&lt;&gt;"——",H4="——"),B4&amp;"、"&amp;D4&amp;"、"&amp;F4,B4&amp;"、"&amp;D4&amp;"、"&amp;F4&amp;"、"&amp;H4))</f>
        <v>郑燚、王鹏</v>
      </c>
      <c r="L4" s="2987"/>
      <c r="M4" s="2987"/>
      <c r="N4" s="2869"/>
      <c r="O4" s="2988"/>
      <c r="P4" s="2869"/>
      <c r="Q4" s="2869"/>
      <c r="R4" s="2869"/>
      <c r="S4" s="2869"/>
      <c r="T4" s="2869"/>
      <c r="U4" s="2869"/>
    </row>
    <row r="5" spans="1:21">
      <c r="A5" s="2876" t="s">
        <v>356</v>
      </c>
      <c r="B5" s="2877" t="s">
        <v>357</v>
      </c>
      <c r="C5" s="2878"/>
      <c r="D5" s="2879"/>
      <c r="E5" s="2869"/>
      <c r="F5" s="2869"/>
      <c r="G5" s="2869"/>
      <c r="H5" s="2867"/>
      <c r="I5" s="2988"/>
      <c r="J5" s="2869"/>
      <c r="K5" s="2989"/>
      <c r="L5" s="2987"/>
      <c r="M5" s="2987"/>
      <c r="N5" s="2869"/>
      <c r="O5" s="2988"/>
      <c r="P5" s="2869"/>
      <c r="Q5" s="2869"/>
      <c r="R5" s="2869"/>
      <c r="S5" s="2869"/>
      <c r="T5" s="2869"/>
      <c r="U5" s="2869"/>
    </row>
    <row r="6" spans="1:21" ht="26.25">
      <c r="A6" s="2872" t="s">
        <v>358</v>
      </c>
      <c r="B6" s="2877"/>
      <c r="C6" s="2880"/>
      <c r="D6" s="2881"/>
      <c r="E6" s="2869"/>
      <c r="F6" s="2869"/>
      <c r="G6" s="2869"/>
      <c r="H6" s="2867"/>
      <c r="I6" s="2988"/>
      <c r="J6" s="2869"/>
      <c r="K6" s="2990" t="str">
        <f>IF(COUNTIF(B6,"*上海银行*"),"上海银行","")</f>
        <v/>
      </c>
      <c r="L6" s="2987"/>
      <c r="M6" s="2987"/>
      <c r="N6" s="2869"/>
      <c r="O6" s="2988"/>
      <c r="P6" s="2869"/>
      <c r="Q6" s="2869"/>
      <c r="R6" s="2869"/>
      <c r="S6" s="2869"/>
      <c r="T6" s="2869"/>
      <c r="U6" s="2869"/>
    </row>
    <row r="7" spans="1:21">
      <c r="A7" s="2882" t="s">
        <v>359</v>
      </c>
      <c r="B7" s="2877" t="s">
        <v>357</v>
      </c>
      <c r="C7" s="2880"/>
      <c r="D7" s="2881"/>
      <c r="E7" s="2869"/>
      <c r="F7" s="2869"/>
      <c r="G7" s="2869"/>
      <c r="H7" s="2867"/>
      <c r="I7" s="2988"/>
      <c r="J7" s="2869"/>
      <c r="K7" s="2989"/>
      <c r="L7" s="2987"/>
      <c r="M7" s="2987"/>
      <c r="N7" s="2869"/>
      <c r="O7" s="2988"/>
      <c r="P7" s="2869"/>
      <c r="Q7" s="2869"/>
      <c r="R7" s="2869"/>
      <c r="S7" s="2869"/>
      <c r="T7" s="2869"/>
      <c r="U7" s="2869"/>
    </row>
    <row r="8" spans="1:21">
      <c r="A8" s="2882" t="s">
        <v>336</v>
      </c>
      <c r="B8" s="2883" t="s">
        <v>338</v>
      </c>
      <c r="C8" s="2884"/>
      <c r="D8" s="3187" t="s">
        <v>360</v>
      </c>
      <c r="E8" s="2885" t="s">
        <v>343</v>
      </c>
      <c r="F8" s="2886"/>
      <c r="G8" s="2867"/>
      <c r="H8" s="2867"/>
      <c r="I8" s="2991"/>
      <c r="J8" s="2869"/>
      <c r="K8" s="2989"/>
      <c r="L8" s="2987"/>
      <c r="M8" s="2987"/>
      <c r="N8" s="2869"/>
      <c r="O8" s="2988"/>
      <c r="P8" s="2869"/>
      <c r="Q8" s="2869"/>
      <c r="R8" s="2869"/>
      <c r="S8" s="2869"/>
      <c r="T8" s="2869"/>
      <c r="U8" s="2869"/>
    </row>
    <row r="9" spans="1:21">
      <c r="A9" s="2887" t="s">
        <v>361</v>
      </c>
      <c r="B9" s="2888" t="s">
        <v>343</v>
      </c>
      <c r="C9" s="2889"/>
      <c r="D9" s="3188"/>
      <c r="E9" s="2888" t="s">
        <v>138</v>
      </c>
      <c r="F9" s="2890"/>
      <c r="G9" s="2891"/>
      <c r="H9" s="2891"/>
      <c r="I9" s="2992"/>
      <c r="J9" s="2869"/>
      <c r="K9" s="2989"/>
      <c r="L9" s="2987"/>
      <c r="M9" s="2987"/>
      <c r="N9" s="2869"/>
      <c r="O9" s="2988"/>
      <c r="P9" s="2869"/>
      <c r="Q9" s="2869"/>
      <c r="R9" s="2869"/>
      <c r="S9" s="2869"/>
      <c r="T9" s="2869"/>
      <c r="U9" s="2869"/>
    </row>
    <row r="10" spans="1:21">
      <c r="A10" s="2892" t="s">
        <v>362</v>
      </c>
      <c r="B10" s="2893"/>
      <c r="C10" s="2894" t="s">
        <v>363</v>
      </c>
      <c r="D10" s="2879"/>
      <c r="E10" s="2895" t="s">
        <v>364</v>
      </c>
      <c r="F10" s="2896" t="s">
        <v>365</v>
      </c>
      <c r="G10" s="2897"/>
      <c r="H10" s="2898"/>
      <c r="I10" s="2879"/>
      <c r="J10" s="2869"/>
      <c r="K10" s="2989"/>
      <c r="L10" s="2987"/>
      <c r="M10" s="2987"/>
      <c r="N10" s="2869"/>
      <c r="O10" s="2988"/>
      <c r="P10" s="2869"/>
      <c r="Q10" s="2869"/>
      <c r="R10" s="2869"/>
      <c r="S10" s="2869"/>
      <c r="T10" s="2869"/>
      <c r="U10" s="2869"/>
    </row>
    <row r="11" spans="1:21">
      <c r="A11" s="2899" t="s">
        <v>366</v>
      </c>
      <c r="B11" s="2900" t="s">
        <v>367</v>
      </c>
      <c r="C11" s="2877" t="s">
        <v>357</v>
      </c>
      <c r="D11" s="2901"/>
      <c r="E11" s="2867"/>
      <c r="F11" s="2867"/>
      <c r="G11" s="2867"/>
      <c r="H11" s="2867"/>
      <c r="I11" s="2867"/>
      <c r="J11" s="2869"/>
      <c r="K11" s="2989"/>
      <c r="L11" s="2987"/>
      <c r="M11" s="2987"/>
      <c r="N11" s="2869"/>
      <c r="O11" s="2988"/>
      <c r="P11" s="2869"/>
      <c r="Q11" s="2869"/>
      <c r="R11" s="2869"/>
      <c r="S11" s="2869"/>
      <c r="T11" s="2869"/>
      <c r="U11" s="2869"/>
    </row>
    <row r="12" spans="1:21">
      <c r="A12" s="2902" t="s">
        <v>368</v>
      </c>
      <c r="B12" s="3181" t="s">
        <v>369</v>
      </c>
      <c r="C12" s="3182"/>
      <c r="D12" s="3183"/>
      <c r="E12" s="2903" t="s">
        <v>370</v>
      </c>
      <c r="F12" s="3184" t="s">
        <v>371</v>
      </c>
      <c r="G12" s="3185"/>
      <c r="H12" s="3185"/>
      <c r="I12" s="3186"/>
      <c r="J12" s="2869"/>
      <c r="K12" s="2989"/>
      <c r="L12" s="2987"/>
      <c r="M12" s="2987"/>
      <c r="N12" s="2869"/>
      <c r="O12" s="2988"/>
      <c r="P12" s="2869"/>
      <c r="Q12" s="2869"/>
      <c r="R12" s="2869"/>
      <c r="S12" s="2869"/>
      <c r="T12" s="2869"/>
      <c r="U12" s="2869"/>
    </row>
    <row r="13" spans="1:21">
      <c r="A13" s="2904" t="s">
        <v>372</v>
      </c>
      <c r="B13" s="3181" t="s">
        <v>369</v>
      </c>
      <c r="C13" s="3182"/>
      <c r="D13" s="3183"/>
      <c r="E13" s="2903" t="s">
        <v>370</v>
      </c>
      <c r="F13" s="3184" t="s">
        <v>373</v>
      </c>
      <c r="G13" s="3185"/>
      <c r="H13" s="3185"/>
      <c r="I13" s="3186"/>
      <c r="J13" s="2869"/>
      <c r="K13" s="2989"/>
      <c r="L13" s="2987"/>
      <c r="M13" s="2987"/>
      <c r="N13" s="2869"/>
      <c r="O13" s="2988"/>
      <c r="P13" s="2869"/>
      <c r="Q13" s="2869"/>
      <c r="R13" s="2869"/>
      <c r="S13" s="2869"/>
      <c r="T13" s="2869"/>
      <c r="U13" s="2869"/>
    </row>
    <row r="14" spans="1:21">
      <c r="A14" s="2870" t="s">
        <v>374</v>
      </c>
      <c r="B14" s="2903"/>
      <c r="C14" s="2905" t="s">
        <v>375</v>
      </c>
      <c r="D14" s="2906" t="str">
        <f>IF(C14="不一致","是否符合证载地类范围","")</f>
        <v/>
      </c>
      <c r="E14" s="2903"/>
      <c r="F14" s="2907"/>
      <c r="G14" s="2908"/>
      <c r="H14" s="2908"/>
      <c r="I14" s="2993"/>
      <c r="J14" s="2869"/>
      <c r="K14" s="2989"/>
      <c r="L14" s="2987"/>
      <c r="M14" s="2987"/>
      <c r="N14" s="2869"/>
      <c r="O14" s="2988"/>
      <c r="P14" s="2869"/>
      <c r="Q14" s="2869"/>
      <c r="R14" s="2869"/>
      <c r="S14" s="2869"/>
      <c r="T14" s="2869"/>
      <c r="U14" s="2869"/>
    </row>
    <row r="15" spans="1:21" hidden="1">
      <c r="A15" s="2909"/>
      <c r="B15" s="2872"/>
      <c r="C15" s="2872"/>
      <c r="D15" s="2910" t="s">
        <v>376</v>
      </c>
      <c r="E15" s="2910" t="s">
        <v>377</v>
      </c>
      <c r="F15" s="2910" t="s">
        <v>378</v>
      </c>
      <c r="G15" s="2911" t="s">
        <v>379</v>
      </c>
      <c r="H15" s="2911" t="s">
        <v>380</v>
      </c>
      <c r="I15" s="2911" t="s">
        <v>164</v>
      </c>
      <c r="J15" s="2869"/>
      <c r="K15" s="2989"/>
      <c r="L15" s="2987"/>
      <c r="M15" s="2987"/>
      <c r="N15" s="2869"/>
      <c r="O15" s="2988"/>
      <c r="P15" s="2869"/>
      <c r="Q15" s="2869"/>
      <c r="R15" s="2869"/>
      <c r="S15" s="2869"/>
      <c r="T15" s="2869"/>
      <c r="U15" s="2869"/>
    </row>
    <row r="16" spans="1:21" ht="42.75">
      <c r="A16" s="2912" t="s">
        <v>381</v>
      </c>
      <c r="B16" s="2913" t="s">
        <v>382</v>
      </c>
      <c r="C16" s="2903" t="s">
        <v>348</v>
      </c>
      <c r="D16" s="2910" t="s">
        <v>376</v>
      </c>
      <c r="E16" s="2914" t="s">
        <v>377</v>
      </c>
      <c r="F16" s="2914"/>
      <c r="G16" s="2914" t="s">
        <v>493</v>
      </c>
      <c r="H16" s="2914"/>
      <c r="I16" s="2911" t="s">
        <v>164</v>
      </c>
      <c r="J16" s="2869"/>
      <c r="K16" s="2994" t="str">
        <f>IF(D17="","",D16&amp;TEXT(D17,"yyyy年m月d日;;"))</f>
        <v>住宅2088年11月22日</v>
      </c>
      <c r="L16" s="2903" t="str">
        <f>IF(OR(K16="",M16=""),"","、")</f>
        <v>、</v>
      </c>
      <c r="M16" s="2994" t="str">
        <f>IF(E17="","",E16&amp;TEXT(E17,"yyyy年m月d日;;"))</f>
        <v>商业2058年11月22日</v>
      </c>
      <c r="N16" s="2903" t="str">
        <f>IF(OR(M16="",O16=""),"","、")</f>
        <v/>
      </c>
      <c r="O16" s="2994" t="str">
        <f>IF(F17="","",F16&amp;TEXT(F17,"yyyy年m月d日;;"))</f>
        <v/>
      </c>
      <c r="P16" s="2903" t="str">
        <f>IF(OR(O16="",Q16=""),"","、")</f>
        <v/>
      </c>
      <c r="Q16" s="2994" t="str">
        <f>IF(G17="","",G16&amp;TEXT(G17,"yyyy年m月d日;;"))</f>
        <v>地下车库2068年11月22日</v>
      </c>
      <c r="R16" s="2903" t="str">
        <f>IF(OR(Q16="",S16=""),"","、")</f>
        <v/>
      </c>
      <c r="S16" s="2994" t="str">
        <f>IF(H17="","",H16&amp;TEXT(H17,"yyyy年m月d日;;"))</f>
        <v/>
      </c>
      <c r="T16" s="2903" t="str">
        <f>IF(OR(S16="",U16=""),"","、")</f>
        <v/>
      </c>
      <c r="U16" s="2994" t="str">
        <f>IF(I17="","",I16&amp;TEXT(I17,"yyyy年m月d日;;"))</f>
        <v/>
      </c>
    </row>
    <row r="17" spans="1:21">
      <c r="A17" s="2915"/>
      <c r="B17" s="2916"/>
      <c r="C17" s="2917" t="s">
        <v>383</v>
      </c>
      <c r="D17" s="2918">
        <v>68994</v>
      </c>
      <c r="E17" s="2918">
        <v>58036</v>
      </c>
      <c r="F17" s="2918"/>
      <c r="G17" s="3451">
        <v>61689</v>
      </c>
      <c r="H17" s="2918"/>
      <c r="I17" s="2918"/>
      <c r="J17" s="2869"/>
      <c r="K17" s="2986" t="str">
        <f>CONCATENATE(K16,L16,M16,N16,O16,P16,Q16,R16,S16,T16,,U16)</f>
        <v>住宅2088年11月22日、商业2058年11月22日地下车库2068年11月22日</v>
      </c>
      <c r="L17" s="2987"/>
      <c r="M17" s="2987"/>
      <c r="N17" s="2869"/>
      <c r="O17" s="2988"/>
      <c r="P17" s="2869"/>
      <c r="Q17" s="2869"/>
      <c r="R17" s="2869"/>
      <c r="S17" s="2869"/>
      <c r="T17" s="2869"/>
      <c r="U17" s="2869"/>
    </row>
    <row r="18" spans="1:21">
      <c r="A18" s="2915"/>
      <c r="B18" s="2916"/>
      <c r="C18" s="2917" t="s">
        <v>384</v>
      </c>
      <c r="D18" s="2919">
        <v>70</v>
      </c>
      <c r="E18" s="2919">
        <v>40</v>
      </c>
      <c r="F18" s="2919"/>
      <c r="G18" s="2919">
        <v>50</v>
      </c>
      <c r="H18" s="2919"/>
      <c r="I18" s="2919"/>
      <c r="J18" s="2869"/>
      <c r="K18" s="2989"/>
      <c r="L18" s="2987"/>
      <c r="M18" s="2987"/>
      <c r="N18" s="2869"/>
      <c r="O18" s="2988"/>
      <c r="P18" s="2869"/>
      <c r="Q18" s="2869"/>
      <c r="R18" s="2869"/>
      <c r="S18" s="2869"/>
      <c r="T18" s="2869"/>
      <c r="U18" s="2869"/>
    </row>
    <row r="19" spans="1:21">
      <c r="A19" s="2915"/>
      <c r="B19" s="2916"/>
      <c r="C19" s="2867" t="s">
        <v>385</v>
      </c>
      <c r="D19" s="2920">
        <f>IF(B16="出让",IF(D17="","",ROUNDDOWN(MIN((D17-$D$3)/365,D18),2)),D18)</f>
        <v>69.569999999999993</v>
      </c>
      <c r="E19" s="2921">
        <f>IF(B16="出让",IF(E17="","",ROUNDDOWN(MIN((E17-$D$3)/365,E18),2)),E18)</f>
        <v>39.549999999999997</v>
      </c>
      <c r="F19" s="2921" t="str">
        <f>IF(B16="出让",IF(F17="","",ROUNDDOWN(MIN((F17-$D$3)/365,F18),2)),F18)</f>
        <v/>
      </c>
      <c r="G19" s="2921">
        <f>IF(B16="出让",IF(G17="","",ROUNDDOWN(MIN((G17-$D$3)/365,G18),2)),G18)</f>
        <v>49.55</v>
      </c>
      <c r="H19" s="2921" t="str">
        <f>IF(B16="出让",IF(H17="","",ROUNDDOWN(MIN((H17-$D$3)/365,H18),2)),H18)</f>
        <v/>
      </c>
      <c r="I19" s="2921" t="str">
        <f>IF(B16="出让",IF(I17="","",ROUNDDOWN(MIN((I17-$D$3)/365,I18),2)),I18)</f>
        <v/>
      </c>
      <c r="J19" s="2869"/>
      <c r="K19" s="2989"/>
      <c r="L19" s="2987"/>
      <c r="M19" s="2987"/>
      <c r="N19" s="2869"/>
      <c r="O19" s="2988"/>
      <c r="P19" s="2869"/>
      <c r="Q19" s="2869"/>
      <c r="R19" s="2869"/>
      <c r="S19" s="2869"/>
      <c r="T19" s="2869"/>
      <c r="U19" s="2869"/>
    </row>
    <row r="20" spans="1:21">
      <c r="A20" s="2922"/>
      <c r="B20" s="2923"/>
      <c r="C20" s="2924" t="s">
        <v>386</v>
      </c>
      <c r="D20" s="3189" t="s">
        <v>387</v>
      </c>
      <c r="E20" s="3190"/>
      <c r="F20" s="3190"/>
      <c r="G20" s="3190"/>
      <c r="H20" s="3190"/>
      <c r="I20" s="3191"/>
      <c r="J20" s="2869"/>
      <c r="K20" s="2989"/>
      <c r="L20" s="2987"/>
      <c r="M20" s="2987"/>
      <c r="N20" s="2869"/>
      <c r="O20" s="2988"/>
      <c r="P20" s="2869"/>
      <c r="Q20" s="2869"/>
      <c r="R20" s="2869"/>
      <c r="S20" s="2869"/>
      <c r="T20" s="2869"/>
      <c r="U20" s="2869"/>
    </row>
    <row r="21" spans="1:21">
      <c r="A21" s="2915" t="s">
        <v>388</v>
      </c>
      <c r="B21" s="2925" t="s">
        <v>389</v>
      </c>
      <c r="C21" s="2926">
        <f>'数据-汇总表'!E3</f>
        <v>73411.47</v>
      </c>
      <c r="D21" s="2927" t="s">
        <v>390</v>
      </c>
      <c r="E21" s="3192" t="s">
        <v>391</v>
      </c>
      <c r="F21" s="3193"/>
      <c r="G21" s="3193"/>
      <c r="H21" s="3193"/>
      <c r="I21" s="3194"/>
      <c r="J21" s="2869"/>
      <c r="K21" s="2989"/>
      <c r="L21" s="2987"/>
      <c r="M21" s="2987"/>
      <c r="N21" s="2869"/>
      <c r="O21" s="2988"/>
      <c r="P21" s="2869"/>
      <c r="Q21" s="2869"/>
      <c r="R21" s="2869"/>
      <c r="S21" s="2869"/>
      <c r="T21" s="2869"/>
      <c r="U21" s="2869"/>
    </row>
    <row r="22" spans="1:21">
      <c r="A22" s="2928" t="s">
        <v>138</v>
      </c>
      <c r="B22" s="2870" t="s">
        <v>392</v>
      </c>
      <c r="C22" s="2911">
        <f>'数据-汇总表'!D3</f>
        <v>42969</v>
      </c>
      <c r="D22" s="2904" t="s">
        <v>390</v>
      </c>
      <c r="E22" s="3192" t="s">
        <v>371</v>
      </c>
      <c r="F22" s="3193"/>
      <c r="G22" s="3193"/>
      <c r="H22" s="3193"/>
      <c r="I22" s="3194"/>
      <c r="J22" s="2869"/>
      <c r="K22" s="2989"/>
      <c r="L22" s="2987"/>
      <c r="M22" s="2987"/>
      <c r="N22" s="2869"/>
      <c r="O22" s="2988"/>
      <c r="P22" s="2869"/>
      <c r="Q22" s="2869"/>
      <c r="R22" s="2869"/>
      <c r="S22" s="2869"/>
      <c r="T22" s="2869"/>
      <c r="U22" s="2869"/>
    </row>
    <row r="23" spans="1:21" ht="42.75">
      <c r="A23" s="2929" t="s">
        <v>393</v>
      </c>
      <c r="B23" s="2930" t="s">
        <v>394</v>
      </c>
      <c r="C23" s="2931" t="s">
        <v>395</v>
      </c>
      <c r="D23" s="2932" t="s">
        <v>396</v>
      </c>
      <c r="E23" s="2933" t="s">
        <v>395</v>
      </c>
      <c r="F23" s="2934" t="str">
        <f>IF(AND(C23="是",E23="否"),"是否提供他项权证或相关说明","")</f>
        <v/>
      </c>
      <c r="G23" s="2935" t="s">
        <v>395</v>
      </c>
      <c r="H23" s="2869"/>
      <c r="I23" s="2991"/>
      <c r="J23" s="2869"/>
      <c r="K23" s="2989"/>
      <c r="L23" s="2987"/>
      <c r="M23" s="2987"/>
      <c r="N23" s="2869"/>
      <c r="O23" s="2988"/>
      <c r="P23" s="2869"/>
      <c r="Q23" s="2869"/>
      <c r="R23" s="2869"/>
      <c r="S23" s="2869"/>
      <c r="T23" s="2869"/>
      <c r="U23" s="2869"/>
    </row>
    <row r="24" spans="1:21">
      <c r="A24" s="2936" t="s">
        <v>370</v>
      </c>
      <c r="B24" s="3195" t="s">
        <v>397</v>
      </c>
      <c r="C24" s="3196"/>
      <c r="D24" s="3197" t="s">
        <v>398</v>
      </c>
      <c r="E24" s="3198"/>
      <c r="F24" s="2937" t="s">
        <v>399</v>
      </c>
      <c r="G24" s="2869"/>
      <c r="H24" s="2869"/>
      <c r="I24" s="2991"/>
      <c r="J24" s="2869"/>
      <c r="K24" s="3199" t="s">
        <v>400</v>
      </c>
      <c r="L24" s="299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7"/>
      <c r="N24" s="2869"/>
      <c r="O24" s="2988"/>
      <c r="P24" s="2869"/>
      <c r="Q24" s="2869"/>
      <c r="R24" s="2869"/>
      <c r="S24" s="2869"/>
      <c r="T24" s="2869"/>
      <c r="U24" s="2869"/>
    </row>
    <row r="25" spans="1:21" ht="28.5">
      <c r="A25" s="2938"/>
      <c r="B25" s="2939" t="s">
        <v>401</v>
      </c>
      <c r="C25" s="2940" t="s">
        <v>402</v>
      </c>
      <c r="D25" s="2941"/>
      <c r="E25" s="2942" t="s">
        <v>138</v>
      </c>
      <c r="F25" s="2943"/>
      <c r="G25" s="2869"/>
      <c r="H25" s="2869"/>
      <c r="I25" s="2991"/>
      <c r="J25" s="2869"/>
      <c r="K25" s="3199"/>
      <c r="L25" s="29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7"/>
      <c r="N25" s="2869"/>
      <c r="O25" s="2988"/>
      <c r="P25" s="2869"/>
      <c r="Q25" s="2869"/>
      <c r="R25" s="2869"/>
      <c r="S25" s="2869"/>
      <c r="T25" s="2869"/>
      <c r="U25" s="2869"/>
    </row>
    <row r="26" spans="1:21" ht="28.5">
      <c r="A26" s="2944"/>
      <c r="B26" s="2945" t="s">
        <v>403</v>
      </c>
      <c r="C26" s="2940" t="s">
        <v>402</v>
      </c>
      <c r="D26" s="2867"/>
      <c r="E26" s="2867"/>
      <c r="F26" s="2946"/>
      <c r="G26" s="2869"/>
      <c r="H26" s="2869"/>
      <c r="I26" s="2991"/>
      <c r="J26" s="2869"/>
      <c r="K26" s="3199"/>
      <c r="L26" s="29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7"/>
      <c r="N26" s="2869"/>
      <c r="O26" s="2988"/>
      <c r="P26" s="2869"/>
      <c r="Q26" s="2869"/>
      <c r="R26" s="2869"/>
      <c r="S26" s="2869"/>
      <c r="T26" s="2869"/>
      <c r="U26" s="2869"/>
    </row>
    <row r="27" spans="1:21">
      <c r="A27" s="2947" t="s">
        <v>404</v>
      </c>
      <c r="B27" s="2948" t="s">
        <v>405</v>
      </c>
      <c r="C27" s="2949"/>
      <c r="D27" s="2950" t="s">
        <v>405</v>
      </c>
      <c r="E27" s="2951"/>
      <c r="F27" s="2946"/>
      <c r="G27" s="2869"/>
      <c r="H27" s="2869"/>
      <c r="I27" s="2991"/>
      <c r="J27" s="2869"/>
      <c r="K27" s="2989"/>
      <c r="L27" s="2987"/>
      <c r="M27" s="2987"/>
      <c r="N27" s="2869"/>
      <c r="O27" s="2988"/>
      <c r="P27" s="2869"/>
      <c r="Q27" s="2869"/>
      <c r="R27" s="2869"/>
      <c r="S27" s="2869"/>
      <c r="T27" s="2869"/>
      <c r="U27" s="2869"/>
    </row>
    <row r="28" spans="1:21">
      <c r="A28" s="2952"/>
      <c r="B28" s="2948" t="s">
        <v>406</v>
      </c>
      <c r="C28" s="2953"/>
      <c r="D28" s="2954" t="s">
        <v>406</v>
      </c>
      <c r="E28" s="2955"/>
      <c r="F28" s="2946"/>
      <c r="G28" s="2869"/>
      <c r="H28" s="2869"/>
      <c r="I28" s="2991"/>
      <c r="J28" s="2869"/>
      <c r="K28" s="2989"/>
      <c r="L28" s="2987"/>
      <c r="M28" s="2987"/>
      <c r="N28" s="2869"/>
      <c r="O28" s="2988"/>
      <c r="P28" s="2869"/>
      <c r="Q28" s="2869"/>
      <c r="R28" s="2869"/>
      <c r="S28" s="2869"/>
      <c r="T28" s="2869"/>
      <c r="U28" s="2869"/>
    </row>
    <row r="29" spans="1:21">
      <c r="A29" s="2952"/>
      <c r="B29" s="2948" t="s">
        <v>407</v>
      </c>
      <c r="C29" s="2953"/>
      <c r="D29" s="2954" t="s">
        <v>407</v>
      </c>
      <c r="E29" s="2955"/>
      <c r="F29" s="2946"/>
      <c r="G29" s="2869"/>
      <c r="H29" s="2869"/>
      <c r="I29" s="2991"/>
      <c r="J29" s="2869"/>
      <c r="K29" s="2989"/>
      <c r="L29" s="2987"/>
      <c r="M29" s="2987"/>
      <c r="N29" s="2869"/>
      <c r="O29" s="2988"/>
      <c r="P29" s="2869"/>
      <c r="Q29" s="2869"/>
      <c r="R29" s="2869"/>
      <c r="S29" s="2869"/>
      <c r="T29" s="2869"/>
      <c r="U29" s="2869"/>
    </row>
    <row r="30" spans="1:21">
      <c r="A30" s="2956"/>
      <c r="B30" s="2957" t="s">
        <v>408</v>
      </c>
      <c r="C30" s="2958"/>
      <c r="D30" s="2959" t="s">
        <v>408</v>
      </c>
      <c r="E30" s="2960"/>
      <c r="F30" s="2961"/>
      <c r="G30" s="2891"/>
      <c r="H30" s="2891"/>
      <c r="I30" s="2992"/>
      <c r="J30" s="2869"/>
      <c r="K30" s="2989"/>
      <c r="L30" s="2987"/>
      <c r="M30" s="2987"/>
      <c r="N30" s="2869"/>
      <c r="O30" s="2988"/>
      <c r="P30" s="2869"/>
      <c r="Q30" s="2869"/>
      <c r="R30" s="2869"/>
      <c r="S30" s="2869"/>
      <c r="T30" s="2869"/>
      <c r="U30" s="2869"/>
    </row>
    <row r="31" spans="1:21">
      <c r="A31" s="3202" t="s">
        <v>409</v>
      </c>
      <c r="B31" s="2925" t="s">
        <v>410</v>
      </c>
      <c r="C31" s="3208" t="s">
        <v>411</v>
      </c>
      <c r="D31" s="3209"/>
      <c r="E31" s="2869"/>
      <c r="F31" s="2869"/>
      <c r="G31" s="2869"/>
      <c r="H31" s="2869"/>
      <c r="I31" s="2991"/>
      <c r="J31" s="2869"/>
      <c r="K31" s="2996"/>
      <c r="L31" s="2869"/>
      <c r="M31" s="2869"/>
      <c r="N31" s="2869"/>
      <c r="O31" s="2869"/>
      <c r="P31" s="2869"/>
      <c r="Q31" s="2869"/>
      <c r="R31" s="2869"/>
      <c r="S31" s="2869"/>
      <c r="T31" s="2869"/>
      <c r="U31" s="2869"/>
    </row>
    <row r="32" spans="1:21">
      <c r="A32" s="3202"/>
      <c r="B32" s="2870" t="s">
        <v>412</v>
      </c>
      <c r="C32" s="2893"/>
      <c r="D32" s="2962"/>
      <c r="E32" s="2869"/>
      <c r="F32" s="2869"/>
      <c r="G32" s="2869"/>
      <c r="H32" s="2869"/>
      <c r="I32" s="2991"/>
      <c r="J32" s="2869"/>
      <c r="K32" s="2996"/>
      <c r="L32" s="2869"/>
      <c r="M32" s="2869"/>
      <c r="N32" s="2869"/>
      <c r="O32" s="2869"/>
      <c r="P32" s="2869"/>
      <c r="Q32" s="2869"/>
      <c r="R32" s="2869"/>
      <c r="S32" s="2869"/>
      <c r="T32" s="2869"/>
      <c r="U32" s="2869"/>
    </row>
    <row r="33" spans="1:21">
      <c r="A33" s="3202"/>
      <c r="B33" s="2870" t="s">
        <v>413</v>
      </c>
      <c r="C33" s="2963"/>
      <c r="D33" s="2964"/>
      <c r="E33" s="2869"/>
      <c r="F33" s="2869"/>
      <c r="G33" s="2869"/>
      <c r="H33" s="2869"/>
      <c r="I33" s="2991"/>
      <c r="J33" s="2869"/>
      <c r="K33" s="2996"/>
      <c r="L33" s="2869"/>
      <c r="M33" s="2869"/>
      <c r="N33" s="2869"/>
      <c r="O33" s="2869"/>
      <c r="P33" s="2869"/>
      <c r="Q33" s="2869"/>
      <c r="R33" s="2869"/>
      <c r="S33" s="2869"/>
      <c r="T33" s="2869"/>
      <c r="U33" s="2869"/>
    </row>
    <row r="34" spans="1:21">
      <c r="A34" s="3203"/>
      <c r="B34" s="2870" t="s">
        <v>414</v>
      </c>
      <c r="C34" s="3210"/>
      <c r="D34" s="3211"/>
      <c r="E34" s="2869"/>
      <c r="F34" s="2869"/>
      <c r="G34" s="2869"/>
      <c r="H34" s="2869"/>
      <c r="I34" s="2991"/>
      <c r="J34" s="2869"/>
      <c r="K34" s="2996"/>
      <c r="L34" s="2869"/>
      <c r="M34" s="2869"/>
      <c r="N34" s="2869"/>
      <c r="O34" s="2869"/>
      <c r="P34" s="2869"/>
      <c r="Q34" s="2869"/>
      <c r="R34" s="2869"/>
      <c r="S34" s="2869"/>
      <c r="T34" s="2869"/>
      <c r="U34" s="2869"/>
    </row>
    <row r="35" spans="1:21">
      <c r="A35" s="3204" t="s">
        <v>415</v>
      </c>
      <c r="B35" s="2914"/>
      <c r="C35" s="2965" t="str">
        <f>IF(B35="场地平整","——","具体情况：")</f>
        <v>具体情况：</v>
      </c>
      <c r="D35" s="3212"/>
      <c r="E35" s="3213"/>
      <c r="F35" s="3213"/>
      <c r="G35" s="3213"/>
      <c r="H35" s="3213"/>
      <c r="I35" s="3214"/>
      <c r="J35" s="2869"/>
      <c r="K35" s="2997"/>
      <c r="L35" s="2987"/>
      <c r="M35" s="2987"/>
      <c r="N35" s="2869"/>
      <c r="O35" s="2988"/>
      <c r="P35" s="2869"/>
      <c r="Q35" s="2869"/>
      <c r="R35" s="2869"/>
      <c r="S35" s="2869"/>
      <c r="T35" s="2869"/>
      <c r="U35" s="2869"/>
    </row>
    <row r="36" spans="1:21">
      <c r="A36" s="3202"/>
      <c r="B36" s="3215" t="s">
        <v>416</v>
      </c>
      <c r="C36" s="3216"/>
      <c r="D36" s="2966" t="s">
        <v>417</v>
      </c>
      <c r="E36" s="3217"/>
      <c r="F36" s="3217"/>
      <c r="G36" s="2904" t="str">
        <f>IF(B35="场地未平整","估价结果处理","")</f>
        <v/>
      </c>
      <c r="H36" s="3218"/>
      <c r="I36" s="3218"/>
      <c r="J36" s="2869"/>
      <c r="K36" s="2997"/>
      <c r="L36" s="2987"/>
      <c r="M36" s="2987"/>
      <c r="N36" s="2869"/>
      <c r="O36" s="2988"/>
      <c r="P36" s="2869"/>
      <c r="Q36" s="2869"/>
      <c r="R36" s="2869"/>
      <c r="S36" s="2869"/>
      <c r="T36" s="2869"/>
      <c r="U36" s="2869"/>
    </row>
    <row r="37" spans="1:21" ht="28.5">
      <c r="A37" s="3202"/>
      <c r="B37" s="3205" t="s">
        <v>418</v>
      </c>
      <c r="C37" s="2967" t="s">
        <v>419</v>
      </c>
      <c r="D37" s="2968"/>
      <c r="E37" s="2969"/>
      <c r="F37" s="2869"/>
      <c r="G37" s="2869"/>
      <c r="H37" s="2869"/>
      <c r="I37" s="2991"/>
      <c r="J37" s="2869"/>
      <c r="K37" s="2997"/>
      <c r="L37" s="2869"/>
      <c r="M37" s="2869"/>
      <c r="N37" s="2869"/>
      <c r="O37" s="2869"/>
      <c r="P37" s="2869"/>
      <c r="Q37" s="2869"/>
      <c r="R37" s="2869"/>
      <c r="S37" s="2869"/>
      <c r="T37" s="2869"/>
      <c r="U37" s="2869"/>
    </row>
    <row r="38" spans="1:21">
      <c r="A38" s="3202"/>
      <c r="B38" s="3206"/>
      <c r="C38" s="2882" t="s">
        <v>420</v>
      </c>
      <c r="D38" s="2970">
        <f>ROUNDDOWN(MIN(('数据-取费表'!$B$2-D37)/365,D34),1)</f>
        <v>119.4</v>
      </c>
      <c r="E38" s="2971" t="s">
        <v>421</v>
      </c>
      <c r="F38" s="2869"/>
      <c r="G38" s="2869"/>
      <c r="H38" s="2869"/>
      <c r="I38" s="2991"/>
      <c r="J38" s="2869"/>
      <c r="K38" s="2997"/>
      <c r="L38" s="2869"/>
      <c r="M38" s="2869"/>
      <c r="N38" s="2869"/>
      <c r="O38" s="2869"/>
      <c r="P38" s="2869"/>
      <c r="Q38" s="2869"/>
      <c r="R38" s="2869"/>
      <c r="S38" s="2869"/>
      <c r="T38" s="2869"/>
      <c r="U38" s="2869"/>
    </row>
    <row r="39" spans="1:21">
      <c r="A39" s="3203"/>
      <c r="B39" s="3207"/>
      <c r="C39" s="2899" t="str">
        <f>IF(D38&lt;1,"不存在土地闲置",IF(B35="宗地内已开工建设","已开工，不存在土地闲置","估价对象已涉嫌土地闲置"))</f>
        <v>估价对象已涉嫌土地闲置</v>
      </c>
      <c r="D39" s="2908"/>
      <c r="E39" s="2972"/>
      <c r="F39" s="2869"/>
      <c r="G39" s="2869"/>
      <c r="H39" s="2869"/>
      <c r="I39" s="2991"/>
      <c r="J39" s="2869"/>
      <c r="K39" s="2989"/>
      <c r="L39" s="2987"/>
      <c r="M39" s="2987"/>
      <c r="N39" s="2869"/>
      <c r="O39" s="2988"/>
      <c r="P39" s="2869"/>
      <c r="Q39" s="2869"/>
      <c r="R39" s="2869"/>
      <c r="S39" s="2869"/>
      <c r="T39" s="2869"/>
      <c r="U39" s="2869"/>
    </row>
    <row r="40" spans="1:21">
      <c r="A40" s="2904" t="s">
        <v>422</v>
      </c>
      <c r="B40" s="2973"/>
      <c r="C40" s="2973"/>
      <c r="D40" s="2973"/>
      <c r="E40" s="2973"/>
      <c r="F40" s="2973"/>
      <c r="G40" s="2973"/>
      <c r="H40" s="2973"/>
      <c r="I40" s="2991"/>
      <c r="J40" s="2869"/>
      <c r="K40" s="2985">
        <f>COUNTIF(B40:H40,"——")</f>
        <v>0</v>
      </c>
      <c r="L40" s="2903" t="s">
        <v>423</v>
      </c>
      <c r="M40" s="2984" t="s">
        <v>424</v>
      </c>
      <c r="N40" s="2984" t="s">
        <v>290</v>
      </c>
      <c r="O40" s="2984" t="s">
        <v>282</v>
      </c>
      <c r="P40" s="2984" t="s">
        <v>272</v>
      </c>
      <c r="Q40" s="2984" t="s">
        <v>261</v>
      </c>
      <c r="R40" s="2984" t="s">
        <v>249</v>
      </c>
      <c r="S40" s="3200" t="s">
        <v>425</v>
      </c>
      <c r="T40" s="3006" t="str">
        <f>NUMBERSTRING(7-K40,1)&amp;"通"</f>
        <v>七通</v>
      </c>
      <c r="U40" s="2869"/>
    </row>
    <row r="41" spans="1:21">
      <c r="A41" s="2872"/>
      <c r="B41" s="3201" t="s">
        <v>426</v>
      </c>
      <c r="C41" s="3201"/>
      <c r="D41" s="3201"/>
      <c r="E41" s="3201"/>
      <c r="F41" s="2974" t="str">
        <f>C10</f>
        <v>山东省</v>
      </c>
      <c r="G41" s="2869"/>
      <c r="H41" s="2869"/>
      <c r="I41" s="2991"/>
      <c r="J41" s="2869"/>
      <c r="K41" s="2903"/>
      <c r="L41" s="2984">
        <f>B40</f>
        <v>0</v>
      </c>
      <c r="M41" s="2906" t="str">
        <f>B40&amp;"、"&amp;C40</f>
        <v>、</v>
      </c>
      <c r="N41" s="2998" t="str">
        <f>B40&amp;"、"&amp;C40&amp;"、"&amp;D40</f>
        <v>、、</v>
      </c>
      <c r="O41" s="2998" t="str">
        <f>B40&amp;"、"&amp;C40&amp;"、"&amp;D40&amp;"、"&amp;E40</f>
        <v>、、、</v>
      </c>
      <c r="P41" s="2998" t="str">
        <f>B40&amp;"、"&amp;C40&amp;"、"&amp;D40&amp;"、"&amp;E40&amp;"、"&amp;F40</f>
        <v>、、、、</v>
      </c>
      <c r="Q41" s="2998" t="str">
        <f>B40&amp;"、"&amp;C40&amp;"、"&amp;D40&amp;"、"&amp;E40&amp;"、"&amp;F40&amp;"、"&amp;G40</f>
        <v>、、、、、</v>
      </c>
      <c r="R41" s="2998" t="str">
        <f>B40&amp;"、"&amp;C40&amp;"、"&amp;D40&amp;"、"&amp;E40&amp;"、"&amp;F40&amp;"、"&amp;G40&amp;"、"&amp;H40</f>
        <v>、、、、、、</v>
      </c>
      <c r="S41" s="3200"/>
      <c r="T41" s="2906" t="str">
        <f>IF(T40="一通",L41,IF(T40="二通",M41,IF(T40="三通",N41,IF(T40="四通",O41,IF(T40="五通",P41,IF(T40="六通",Q41,R41))))))</f>
        <v>、、、、、、</v>
      </c>
      <c r="U41" s="2869"/>
    </row>
    <row r="42" spans="1:21">
      <c r="A42" s="2975"/>
      <c r="B42" s="2910" t="s">
        <v>377</v>
      </c>
      <c r="C42" s="2910" t="s">
        <v>378</v>
      </c>
      <c r="D42" s="2910" t="s">
        <v>376</v>
      </c>
      <c r="E42" s="2903" t="s">
        <v>164</v>
      </c>
      <c r="F42" s="2976"/>
      <c r="G42" s="2869"/>
      <c r="H42" s="2869"/>
      <c r="I42" s="2991"/>
      <c r="J42" s="2869"/>
      <c r="K42" s="2989"/>
      <c r="L42" s="2987"/>
      <c r="M42" s="2987"/>
      <c r="N42" s="2869"/>
      <c r="O42" s="2988"/>
      <c r="P42" s="2869"/>
      <c r="Q42" s="2869"/>
      <c r="R42" s="2869"/>
      <c r="S42" s="2869"/>
      <c r="T42" s="2869"/>
      <c r="U42" s="2869"/>
    </row>
    <row r="43" spans="1:21">
      <c r="A43" s="2977" t="s">
        <v>219</v>
      </c>
      <c r="B43" s="2978"/>
      <c r="C43" s="2978"/>
      <c r="D43" s="2978"/>
      <c r="E43" s="2978"/>
      <c r="F43" s="2979"/>
      <c r="G43" s="2869"/>
      <c r="H43" s="2869"/>
      <c r="I43" s="2991"/>
      <c r="J43" s="2869"/>
      <c r="K43" s="2989"/>
      <c r="L43" s="2987"/>
      <c r="M43" s="2987"/>
      <c r="N43" s="2869"/>
      <c r="O43" s="2988"/>
      <c r="P43" s="2869"/>
      <c r="Q43" s="2869"/>
      <c r="R43" s="2869"/>
      <c r="S43" s="2869"/>
      <c r="T43" s="2869"/>
      <c r="U43" s="2869"/>
    </row>
    <row r="44" spans="1:21">
      <c r="A44" s="2977" t="s">
        <v>427</v>
      </c>
      <c r="B44" s="2978"/>
      <c r="C44" s="2978"/>
      <c r="D44" s="2978"/>
      <c r="E44" s="2966"/>
      <c r="F44" s="2979"/>
      <c r="G44" s="2869"/>
      <c r="H44" s="2869"/>
      <c r="I44" s="2991"/>
      <c r="J44" s="2869"/>
      <c r="K44" s="2989"/>
      <c r="L44" s="2987"/>
      <c r="M44" s="2987"/>
      <c r="N44" s="2869"/>
      <c r="O44" s="2988"/>
      <c r="P44" s="2869"/>
      <c r="Q44" s="2869"/>
      <c r="R44" s="2869"/>
      <c r="S44" s="2869"/>
      <c r="T44" s="2869"/>
      <c r="U44" s="2869"/>
    </row>
    <row r="45" spans="1:21" s="2861" customFormat="1" ht="20.25">
      <c r="A45" s="2980" t="s">
        <v>428</v>
      </c>
      <c r="B45" s="2981"/>
      <c r="C45" s="2981"/>
      <c r="D45" s="2981"/>
      <c r="E45" s="2981"/>
      <c r="F45" s="2981"/>
      <c r="G45" s="2981"/>
      <c r="H45" s="2981"/>
      <c r="I45" s="2999"/>
      <c r="J45" s="2981"/>
      <c r="K45" s="3000"/>
      <c r="L45" s="3001"/>
      <c r="M45" s="3001"/>
      <c r="N45" s="2981"/>
      <c r="O45" s="2999"/>
      <c r="P45" s="2981"/>
      <c r="Q45" s="2981"/>
      <c r="R45" s="2981"/>
      <c r="S45" s="2981"/>
      <c r="T45" s="2981"/>
      <c r="U45" s="2981"/>
    </row>
    <row r="46" spans="1:21">
      <c r="A46" s="2869"/>
      <c r="B46" s="2869"/>
      <c r="C46" s="2869"/>
      <c r="D46" s="2869"/>
      <c r="E46" s="2869"/>
      <c r="F46" s="2869"/>
      <c r="G46" s="2869"/>
      <c r="H46" s="2869"/>
      <c r="I46" s="2991"/>
      <c r="J46" s="2869"/>
      <c r="K46" s="2989"/>
      <c r="L46" s="2987"/>
      <c r="M46" s="2987"/>
      <c r="N46" s="2869"/>
      <c r="O46" s="2988"/>
      <c r="P46" s="2869"/>
      <c r="Q46" s="2869"/>
      <c r="R46" s="2869"/>
      <c r="S46" s="2869"/>
      <c r="T46" s="2869"/>
      <c r="U46" s="2869"/>
    </row>
    <row r="47" spans="1:21">
      <c r="A47" s="2982" t="s">
        <v>429</v>
      </c>
      <c r="B47" s="2983"/>
      <c r="C47" s="2972"/>
      <c r="D47" s="2869"/>
      <c r="E47" s="2869"/>
      <c r="F47" s="2869"/>
      <c r="G47" s="2869"/>
      <c r="H47" s="2869"/>
      <c r="I47" s="2988"/>
      <c r="J47" s="2869"/>
      <c r="K47" s="2989"/>
      <c r="L47" s="2987"/>
      <c r="M47" s="2987"/>
      <c r="N47" s="2869"/>
      <c r="O47" s="2988"/>
      <c r="P47" s="2869"/>
      <c r="Q47" s="2869"/>
      <c r="R47" s="2869"/>
      <c r="S47" s="2869"/>
      <c r="T47" s="2869"/>
      <c r="U47" s="2869"/>
    </row>
    <row r="48" spans="1:21" ht="28.5">
      <c r="A48" s="2903" t="s">
        <v>430</v>
      </c>
      <c r="B48" s="2911" t="s">
        <v>431</v>
      </c>
      <c r="C48" s="2911" t="s">
        <v>432</v>
      </c>
      <c r="D48" s="2911" t="s">
        <v>433</v>
      </c>
      <c r="E48" s="2911" t="s">
        <v>434</v>
      </c>
      <c r="F48" s="2911" t="s">
        <v>435</v>
      </c>
      <c r="G48" s="2911" t="s">
        <v>436</v>
      </c>
      <c r="H48" s="2911" t="s">
        <v>437</v>
      </c>
      <c r="I48" s="2911" t="s">
        <v>438</v>
      </c>
      <c r="J48" s="3002" t="s">
        <v>439</v>
      </c>
      <c r="K48" s="2910" t="s">
        <v>440</v>
      </c>
      <c r="L48" s="2910" t="s">
        <v>441</v>
      </c>
      <c r="M48" s="2910" t="s">
        <v>442</v>
      </c>
      <c r="N48" s="2911" t="s">
        <v>443</v>
      </c>
      <c r="O48" s="2911" t="s">
        <v>444</v>
      </c>
      <c r="P48" s="2911" t="s">
        <v>445</v>
      </c>
      <c r="Q48" s="2903" t="s">
        <v>446</v>
      </c>
      <c r="R48" s="2903" t="s">
        <v>447</v>
      </c>
      <c r="S48" s="2869"/>
      <c r="T48" s="2869"/>
      <c r="U48" s="2869"/>
    </row>
    <row r="49" spans="1:21">
      <c r="A49" s="2984"/>
      <c r="B49" s="2985"/>
      <c r="C49" s="2985"/>
      <c r="D49" s="2985"/>
      <c r="E49" s="2985"/>
      <c r="F49" s="2985"/>
      <c r="G49" s="2985"/>
      <c r="H49" s="2985"/>
      <c r="I49" s="2985"/>
      <c r="J49" s="3003"/>
      <c r="K49" s="3004"/>
      <c r="L49" s="3004"/>
      <c r="M49" s="2985"/>
      <c r="N49" s="2985"/>
      <c r="O49" s="2985"/>
      <c r="P49" s="2985"/>
      <c r="Q49" s="2985"/>
      <c r="R49" s="2985"/>
      <c r="S49" s="2869"/>
      <c r="T49" s="2869"/>
      <c r="U49" s="2869"/>
    </row>
    <row r="50" spans="1:21">
      <c r="A50" s="2984"/>
      <c r="B50" s="2984"/>
      <c r="C50" s="2985"/>
      <c r="D50" s="2985"/>
      <c r="E50" s="2985"/>
      <c r="F50" s="2985"/>
      <c r="G50" s="2985"/>
      <c r="H50" s="2985"/>
      <c r="I50" s="2985"/>
      <c r="J50" s="3003"/>
      <c r="K50" s="3004"/>
      <c r="L50" s="3004"/>
      <c r="M50" s="2985"/>
      <c r="N50" s="2985"/>
      <c r="O50" s="2985"/>
      <c r="P50" s="2985"/>
      <c r="Q50" s="2985"/>
      <c r="R50" s="2985"/>
      <c r="S50" s="2869"/>
      <c r="T50" s="2869"/>
      <c r="U50" s="2869"/>
    </row>
    <row r="51" spans="1:21">
      <c r="A51" s="2984"/>
      <c r="B51" s="2984"/>
      <c r="C51" s="2985"/>
      <c r="D51" s="2985"/>
      <c r="E51" s="2985"/>
      <c r="F51" s="2985"/>
      <c r="G51" s="2985"/>
      <c r="H51" s="2985"/>
      <c r="I51" s="2985"/>
      <c r="J51" s="3003"/>
      <c r="K51" s="3004"/>
      <c r="L51" s="3004"/>
      <c r="M51" s="2985"/>
      <c r="N51" s="2985"/>
      <c r="O51" s="2985"/>
      <c r="P51" s="2985"/>
      <c r="Q51" s="2985"/>
      <c r="R51" s="2985"/>
      <c r="S51" s="2869"/>
      <c r="T51" s="2869"/>
      <c r="U51" s="2869"/>
    </row>
    <row r="52" spans="1:21">
      <c r="A52" s="2984"/>
      <c r="B52" s="2984"/>
      <c r="C52" s="2985"/>
      <c r="D52" s="2985"/>
      <c r="E52" s="2985"/>
      <c r="F52" s="2985"/>
      <c r="G52" s="2985"/>
      <c r="H52" s="2985"/>
      <c r="I52" s="2985"/>
      <c r="J52" s="3003"/>
      <c r="K52" s="3004"/>
      <c r="L52" s="3004"/>
      <c r="M52" s="2985"/>
      <c r="N52" s="2985"/>
      <c r="O52" s="2985"/>
      <c r="P52" s="2985"/>
      <c r="Q52" s="2985"/>
      <c r="R52" s="2985"/>
      <c r="S52" s="2869"/>
      <c r="T52" s="2869"/>
      <c r="U52" s="2869"/>
    </row>
    <row r="53" spans="1:21">
      <c r="A53" s="2984"/>
      <c r="B53" s="2984"/>
      <c r="C53" s="2985"/>
      <c r="D53" s="2985"/>
      <c r="E53" s="2985"/>
      <c r="F53" s="2985"/>
      <c r="G53" s="2985"/>
      <c r="H53" s="2985"/>
      <c r="I53" s="2985"/>
      <c r="J53" s="3003"/>
      <c r="K53" s="3004"/>
      <c r="L53" s="3004"/>
      <c r="M53" s="2985"/>
      <c r="N53" s="2985"/>
      <c r="O53" s="2985"/>
      <c r="P53" s="2985"/>
      <c r="Q53" s="2985"/>
      <c r="R53" s="2985"/>
      <c r="S53" s="2869"/>
      <c r="T53" s="2869"/>
      <c r="U53" s="2869"/>
    </row>
    <row r="54" spans="1:21">
      <c r="A54" s="2984"/>
      <c r="B54" s="2984"/>
      <c r="C54" s="2984"/>
      <c r="D54" s="2984"/>
      <c r="E54" s="2984"/>
      <c r="F54" s="2985"/>
      <c r="G54" s="2984"/>
      <c r="H54" s="2984"/>
      <c r="I54" s="2984"/>
      <c r="J54" s="3005"/>
      <c r="K54" s="3004"/>
      <c r="L54" s="3004"/>
      <c r="M54" s="3004"/>
      <c r="N54" s="2984"/>
      <c r="O54" s="2984"/>
      <c r="P54" s="2984"/>
      <c r="Q54" s="2984"/>
      <c r="R54" s="2984"/>
      <c r="S54" s="2869"/>
      <c r="T54" s="2869"/>
      <c r="U54" s="2869"/>
    </row>
    <row r="55" spans="1:21">
      <c r="A55" s="2984"/>
      <c r="B55" s="2984"/>
      <c r="C55" s="2984"/>
      <c r="D55" s="2984"/>
      <c r="E55" s="2984"/>
      <c r="F55" s="2985"/>
      <c r="G55" s="2984"/>
      <c r="H55" s="2984"/>
      <c r="I55" s="2984"/>
      <c r="J55" s="3005"/>
      <c r="K55" s="3004"/>
      <c r="L55" s="3004"/>
      <c r="M55" s="3004"/>
      <c r="N55" s="2984"/>
      <c r="O55" s="2984"/>
      <c r="P55" s="2984"/>
      <c r="Q55" s="2984"/>
      <c r="R55" s="2984"/>
      <c r="S55" s="2869"/>
      <c r="T55" s="2869"/>
      <c r="U55" s="2869"/>
    </row>
    <row r="56" spans="1:21">
      <c r="A56" s="2984"/>
      <c r="B56" s="2984"/>
      <c r="C56" s="2984"/>
      <c r="D56" s="2984"/>
      <c r="E56" s="2984"/>
      <c r="F56" s="2985"/>
      <c r="G56" s="2984"/>
      <c r="H56" s="2984"/>
      <c r="I56" s="2984"/>
      <c r="J56" s="3005"/>
      <c r="K56" s="3004"/>
      <c r="L56" s="3004"/>
      <c r="M56" s="3004"/>
      <c r="N56" s="2984"/>
      <c r="O56" s="2984"/>
      <c r="P56" s="2984"/>
      <c r="Q56" s="2984"/>
      <c r="R56" s="2984"/>
      <c r="S56" s="2869"/>
      <c r="T56" s="2869"/>
      <c r="U56" s="2869"/>
    </row>
    <row r="57" spans="1:21">
      <c r="A57" s="2984"/>
      <c r="B57" s="2984"/>
      <c r="C57" s="2984"/>
      <c r="D57" s="2984"/>
      <c r="E57" s="2984"/>
      <c r="F57" s="2985"/>
      <c r="G57" s="2984"/>
      <c r="H57" s="2984"/>
      <c r="I57" s="2984"/>
      <c r="J57" s="3005"/>
      <c r="K57" s="3004"/>
      <c r="L57" s="3004"/>
      <c r="M57" s="3004"/>
      <c r="N57" s="2984"/>
      <c r="O57" s="2984"/>
      <c r="P57" s="2984"/>
      <c r="Q57" s="2984"/>
      <c r="R57" s="2984"/>
      <c r="S57" s="2869"/>
      <c r="T57" s="2869"/>
      <c r="U57" s="2869"/>
    </row>
    <row r="58" spans="1:21">
      <c r="A58" s="2984"/>
      <c r="B58" s="2984"/>
      <c r="C58" s="2984"/>
      <c r="D58" s="2984"/>
      <c r="E58" s="2984"/>
      <c r="F58" s="2985"/>
      <c r="G58" s="2984"/>
      <c r="H58" s="2984"/>
      <c r="I58" s="2984"/>
      <c r="J58" s="3005"/>
      <c r="K58" s="3004"/>
      <c r="L58" s="3004"/>
      <c r="M58" s="3004"/>
      <c r="N58" s="2984"/>
      <c r="O58" s="2984"/>
      <c r="P58" s="2984"/>
      <c r="Q58" s="2984"/>
      <c r="R58" s="2984"/>
      <c r="S58" s="2869"/>
      <c r="T58" s="2869"/>
      <c r="U58" s="2869"/>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4"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L13" activePane="bottomRight" state="frozen"/>
      <selection pane="topRight"/>
      <selection pane="bottomLeft"/>
      <selection pane="bottomRight" activeCell="V15" sqref="V15"/>
    </sheetView>
  </sheetViews>
  <sheetFormatPr defaultColWidth="8.875" defaultRowHeight="14.25"/>
  <cols>
    <col min="1" max="1" width="10.625" style="2748" customWidth="1"/>
    <col min="2" max="2" width="11" style="2748" customWidth="1"/>
    <col min="3" max="3" width="10.375" style="2748" customWidth="1"/>
    <col min="4" max="4" width="9.125" style="2748" customWidth="1"/>
    <col min="5" max="6" width="10" style="2746" customWidth="1"/>
    <col min="7" max="8" width="10" style="2748" customWidth="1"/>
    <col min="9" max="9" width="10.625" style="2748" customWidth="1"/>
    <col min="10" max="10" width="9.5" style="2748" customWidth="1"/>
    <col min="11" max="11" width="11" style="2748" customWidth="1"/>
    <col min="12" max="14" width="9.5" style="2748" customWidth="1"/>
    <col min="15" max="15" width="9.875" style="2748" customWidth="1"/>
    <col min="16" max="16" width="9.75" style="2748" customWidth="1"/>
    <col min="17" max="17" width="9.375" style="2748" customWidth="1"/>
    <col min="18" max="18" width="9.25" style="2748" customWidth="1"/>
    <col min="19" max="19" width="10.875" style="2748" customWidth="1"/>
    <col min="20" max="21" width="10.75" style="2748" customWidth="1"/>
    <col min="22" max="22" width="10.875" style="2748" customWidth="1"/>
    <col min="23" max="27" width="10.75" style="2748" customWidth="1"/>
    <col min="28" max="28" width="10.875" style="2748" customWidth="1"/>
    <col min="29" max="29" width="11" style="2748" customWidth="1"/>
    <col min="30" max="30" width="10" style="2748" customWidth="1"/>
    <col min="31" max="31" width="9.75" style="2748" customWidth="1"/>
    <col min="32" max="46" width="9.5" style="2748" customWidth="1"/>
    <col min="47" max="47" width="18.125" style="2748" customWidth="1"/>
    <col min="48" max="50" width="9.75" style="2748" customWidth="1"/>
    <col min="51" max="55" width="10.5" style="2748" customWidth="1"/>
    <col min="56" max="56" width="9.5" style="2748" customWidth="1"/>
    <col min="57" max="63" width="9.125" style="2748" customWidth="1"/>
    <col min="64" max="64" width="9.5" style="2748" customWidth="1"/>
    <col min="65" max="65" width="9.125" style="2748" customWidth="1"/>
    <col min="66" max="66" width="9.5" style="2748" customWidth="1"/>
    <col min="67" max="69" width="9.125" style="2748" customWidth="1"/>
    <col min="70" max="70" width="9.5" style="2748" customWidth="1"/>
    <col min="71" max="71" width="9" style="2748" customWidth="1"/>
    <col min="72" max="72" width="9.125" style="2748" customWidth="1"/>
    <col min="73" max="16384" width="8.875" style="2748"/>
  </cols>
  <sheetData>
    <row r="1" spans="1:72" ht="20.25">
      <c r="A1" s="2749" t="s">
        <v>448</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c r="AL1" s="2750"/>
      <c r="AM1" s="2750"/>
      <c r="AN1" s="2750"/>
      <c r="AO1" s="2750"/>
      <c r="AP1" s="2750"/>
      <c r="AQ1" s="2750"/>
      <c r="AR1" s="2750"/>
      <c r="AS1" s="2750"/>
      <c r="AT1" s="2750"/>
      <c r="AU1" s="2750"/>
      <c r="AV1" s="2817" t="s">
        <v>449</v>
      </c>
      <c r="AW1" s="2750"/>
      <c r="AX1" s="2750"/>
      <c r="AY1" s="2750"/>
      <c r="AZ1" s="2750"/>
      <c r="BA1" s="2750"/>
      <c r="BB1" s="2750"/>
      <c r="BC1" s="2750"/>
      <c r="BD1" s="2750"/>
      <c r="BE1" s="2750"/>
      <c r="BF1" s="2750"/>
      <c r="BG1" s="2750"/>
      <c r="BH1" s="2750"/>
      <c r="BI1" s="2750"/>
      <c r="BJ1" s="2750"/>
      <c r="BK1" s="2750"/>
      <c r="BL1" s="2750"/>
      <c r="BM1" s="2750"/>
      <c r="BN1" s="2750"/>
      <c r="BO1" s="2750"/>
      <c r="BP1" s="2750"/>
      <c r="BQ1" s="2750"/>
      <c r="BR1" s="2750"/>
      <c r="BS1" s="2750"/>
      <c r="BT1" s="2750"/>
    </row>
    <row r="2" spans="1:72" s="184" customFormat="1" ht="24">
      <c r="A2" s="124" t="s">
        <v>450</v>
      </c>
      <c r="B2" s="124" t="s">
        <v>451</v>
      </c>
      <c r="C2" s="124" t="s">
        <v>452</v>
      </c>
      <c r="D2" s="2751"/>
      <c r="E2" s="2256"/>
      <c r="F2" s="2250"/>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51"/>
      <c r="AO2" s="2751"/>
      <c r="AP2" s="2751"/>
      <c r="AQ2" s="2751"/>
      <c r="AR2" s="2751"/>
      <c r="AS2" s="2751"/>
      <c r="AT2" s="2751"/>
      <c r="AU2" s="2751"/>
      <c r="AV2" s="2751"/>
      <c r="AW2" s="2751"/>
      <c r="AX2" s="2751"/>
      <c r="AY2" s="2834" t="s">
        <v>453</v>
      </c>
      <c r="AZ2" s="2835" t="s">
        <v>454</v>
      </c>
      <c r="BA2" s="2836" t="s">
        <v>455</v>
      </c>
      <c r="BB2" s="2751"/>
      <c r="BC2" s="2751"/>
      <c r="BD2" s="2751"/>
      <c r="BE2" s="2751"/>
      <c r="BF2" s="2751"/>
      <c r="BG2" s="2751"/>
      <c r="BH2" s="2751"/>
      <c r="BI2" s="2751"/>
      <c r="BJ2" s="2751"/>
      <c r="BK2" s="2751"/>
      <c r="BL2" s="2751"/>
      <c r="BM2" s="2751"/>
      <c r="BN2" s="2751"/>
      <c r="BO2" s="2751"/>
      <c r="BP2" s="2751"/>
      <c r="BQ2" s="2751"/>
      <c r="BR2" s="2751"/>
      <c r="BS2" s="2751"/>
      <c r="BT2" s="2751"/>
    </row>
    <row r="3" spans="1:72" s="184" customFormat="1" ht="12.75">
      <c r="A3" s="2752">
        <v>42969</v>
      </c>
      <c r="B3" s="2753">
        <f>IF(C3="否",G5-AT5,G5)</f>
        <v>73411.47</v>
      </c>
      <c r="C3" s="2754" t="s">
        <v>395</v>
      </c>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51"/>
      <c r="AO3" s="2751"/>
      <c r="AP3" s="2751"/>
      <c r="AQ3" s="2751"/>
      <c r="AR3" s="2751"/>
      <c r="AS3" s="2751"/>
      <c r="AT3" s="2751"/>
      <c r="AU3" s="2751"/>
      <c r="AV3" s="2751"/>
      <c r="AW3" s="2751"/>
      <c r="AX3" s="2751"/>
      <c r="AY3" s="2837"/>
      <c r="AZ3" s="2838"/>
      <c r="BA3" s="2839"/>
      <c r="BB3" s="2751"/>
      <c r="BC3" s="2751"/>
      <c r="BD3" s="2751"/>
      <c r="BE3" s="2751"/>
      <c r="BF3" s="2751"/>
      <c r="BG3" s="2751"/>
      <c r="BH3" s="2751"/>
      <c r="BI3" s="2751"/>
      <c r="BJ3" s="2751"/>
      <c r="BK3" s="2751"/>
      <c r="BL3" s="2751"/>
      <c r="BM3" s="2751"/>
      <c r="BN3" s="2751"/>
      <c r="BO3" s="2751"/>
      <c r="BP3" s="2751"/>
      <c r="BQ3" s="2751"/>
      <c r="BR3" s="2751"/>
      <c r="BS3" s="2751"/>
      <c r="BT3" s="2751"/>
    </row>
    <row r="4" spans="1:72" s="2744" customFormat="1" ht="12.75">
      <c r="A4" s="2755"/>
      <c r="B4" s="2756"/>
      <c r="C4" s="2757"/>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c r="AI4" s="2751"/>
      <c r="AJ4" s="2751"/>
      <c r="AK4" s="2751"/>
      <c r="AL4" s="2751"/>
      <c r="AM4" s="2751"/>
      <c r="AN4" s="2751"/>
      <c r="AO4" s="2751"/>
      <c r="AP4" s="2751"/>
      <c r="AQ4" s="2751"/>
      <c r="AR4" s="2751"/>
      <c r="AS4" s="2751"/>
      <c r="AT4" s="2751"/>
      <c r="AU4" s="2751"/>
      <c r="AV4" s="2751"/>
      <c r="AW4" s="2751"/>
      <c r="AX4" s="2751"/>
      <c r="AY4" s="2751"/>
      <c r="AZ4" s="2751"/>
      <c r="BA4" s="2840"/>
      <c r="BB4" s="2751"/>
      <c r="BC4" s="2751"/>
      <c r="BD4" s="2751"/>
      <c r="BE4" s="2751"/>
      <c r="BF4" s="2751"/>
      <c r="BG4" s="2751"/>
      <c r="BH4" s="2751"/>
      <c r="BI4" s="2751"/>
      <c r="BJ4" s="2751"/>
      <c r="BK4" s="2751"/>
      <c r="BL4" s="2751"/>
      <c r="BM4" s="2751"/>
      <c r="BN4" s="2751"/>
      <c r="BO4" s="2751"/>
      <c r="BP4" s="2751"/>
      <c r="BQ4" s="2751"/>
      <c r="BR4" s="2751"/>
      <c r="BS4" s="2751"/>
      <c r="BT4" s="2751"/>
    </row>
    <row r="5" spans="1:72" s="184" customFormat="1" ht="12.75">
      <c r="A5" s="850" t="s">
        <v>456</v>
      </c>
      <c r="B5" s="957"/>
      <c r="C5" s="957"/>
      <c r="D5" s="2171"/>
      <c r="E5" s="2758" t="s">
        <v>138</v>
      </c>
      <c r="F5" s="2758">
        <f>SUM(F13:F572)</f>
        <v>0</v>
      </c>
      <c r="G5" s="2758">
        <f>SUM(G13:G572)</f>
        <v>73411.47</v>
      </c>
      <c r="H5" s="2758">
        <f t="shared" ref="H5:AT5" si="0">SUM(H13:H641)</f>
        <v>73411.47</v>
      </c>
      <c r="I5" s="2758">
        <f t="shared" si="0"/>
        <v>46660.33</v>
      </c>
      <c r="J5" s="2758">
        <f t="shared" si="0"/>
        <v>0</v>
      </c>
      <c r="K5" s="2758">
        <f t="shared" si="0"/>
        <v>1733.03</v>
      </c>
      <c r="L5" s="2758">
        <f t="shared" si="0"/>
        <v>0</v>
      </c>
      <c r="M5" s="2758">
        <f t="shared" si="0"/>
        <v>25018.11</v>
      </c>
      <c r="N5" s="2758">
        <f t="shared" si="0"/>
        <v>0</v>
      </c>
      <c r="O5" s="2758">
        <f t="shared" si="0"/>
        <v>0</v>
      </c>
      <c r="P5" s="2758">
        <f t="shared" si="0"/>
        <v>0</v>
      </c>
      <c r="Q5" s="2758">
        <f t="shared" si="0"/>
        <v>0</v>
      </c>
      <c r="R5" s="2758">
        <f t="shared" si="0"/>
        <v>0</v>
      </c>
      <c r="S5" s="2758">
        <f t="shared" si="0"/>
        <v>0</v>
      </c>
      <c r="T5" s="2758">
        <f t="shared" si="0"/>
        <v>0</v>
      </c>
      <c r="U5" s="2758">
        <f t="shared" si="0"/>
        <v>0</v>
      </c>
      <c r="V5" s="2758">
        <f t="shared" si="0"/>
        <v>0</v>
      </c>
      <c r="W5" s="2758">
        <f t="shared" si="0"/>
        <v>0</v>
      </c>
      <c r="X5" s="2758">
        <f t="shared" si="0"/>
        <v>0</v>
      </c>
      <c r="Y5" s="2758">
        <f t="shared" si="0"/>
        <v>0</v>
      </c>
      <c r="Z5" s="2758">
        <f t="shared" si="0"/>
        <v>0</v>
      </c>
      <c r="AA5" s="2758">
        <f t="shared" si="0"/>
        <v>0</v>
      </c>
      <c r="AB5" s="2758">
        <f t="shared" si="0"/>
        <v>0</v>
      </c>
      <c r="AC5" s="2758">
        <f t="shared" si="0"/>
        <v>0</v>
      </c>
      <c r="AD5" s="2758">
        <f t="shared" si="0"/>
        <v>0</v>
      </c>
      <c r="AE5" s="2758">
        <f t="shared" si="0"/>
        <v>0</v>
      </c>
      <c r="AF5" s="2758">
        <f t="shared" si="0"/>
        <v>0</v>
      </c>
      <c r="AG5" s="2758">
        <f t="shared" si="0"/>
        <v>0</v>
      </c>
      <c r="AH5" s="2758">
        <f t="shared" si="0"/>
        <v>0</v>
      </c>
      <c r="AI5" s="2758">
        <f t="shared" si="0"/>
        <v>0</v>
      </c>
      <c r="AJ5" s="2758">
        <f t="shared" si="0"/>
        <v>0</v>
      </c>
      <c r="AK5" s="2758">
        <f t="shared" si="0"/>
        <v>0</v>
      </c>
      <c r="AL5" s="2758">
        <f t="shared" si="0"/>
        <v>0</v>
      </c>
      <c r="AM5" s="2758">
        <f t="shared" si="0"/>
        <v>0</v>
      </c>
      <c r="AN5" s="2758">
        <f t="shared" si="0"/>
        <v>0</v>
      </c>
      <c r="AO5" s="2758">
        <f t="shared" si="0"/>
        <v>0</v>
      </c>
      <c r="AP5" s="2758">
        <f t="shared" si="0"/>
        <v>0</v>
      </c>
      <c r="AQ5" s="2758">
        <f t="shared" si="0"/>
        <v>0</v>
      </c>
      <c r="AR5" s="2758">
        <f t="shared" si="0"/>
        <v>0</v>
      </c>
      <c r="AS5" s="2758">
        <f t="shared" si="0"/>
        <v>0</v>
      </c>
      <c r="AT5" s="2758">
        <f t="shared" si="0"/>
        <v>0</v>
      </c>
      <c r="AU5" s="2060"/>
      <c r="AV5" s="850" t="s">
        <v>456</v>
      </c>
      <c r="AW5" s="957"/>
      <c r="AX5" s="957"/>
      <c r="AY5" s="2841" t="s">
        <v>138</v>
      </c>
      <c r="AZ5" s="2842">
        <f t="shared" ref="AZ5:BT5" si="1">SUM(AZ13:AZ641)</f>
        <v>73411.47</v>
      </c>
      <c r="BA5" s="2842">
        <f t="shared" si="1"/>
        <v>73411.47</v>
      </c>
      <c r="BB5" s="2842">
        <f t="shared" si="1"/>
        <v>46660.33</v>
      </c>
      <c r="BC5" s="2842">
        <f t="shared" si="1"/>
        <v>1733.03</v>
      </c>
      <c r="BD5" s="2842">
        <f t="shared" si="1"/>
        <v>25018.11</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5" customFormat="1" ht="12.75">
      <c r="A6" s="850" t="s">
        <v>457</v>
      </c>
      <c r="B6" s="2759"/>
      <c r="C6" s="2759"/>
      <c r="D6" s="2760"/>
      <c r="E6" s="2758">
        <f>H6+AC6+AT6</f>
        <v>42969</v>
      </c>
      <c r="F6" s="2758" t="s">
        <v>138</v>
      </c>
      <c r="G6" s="2758" t="s">
        <v>138</v>
      </c>
      <c r="H6" s="2761">
        <f>SUMIF(I$12:AB$12,"总值",I6:AB6)</f>
        <v>42969</v>
      </c>
      <c r="I6" s="2758">
        <f t="shared" ref="I6:AB6" si="2">ROUND($A$3*I5/$B$3,2)</f>
        <v>27311.1</v>
      </c>
      <c r="J6" s="2758">
        <f t="shared" si="2"/>
        <v>0</v>
      </c>
      <c r="K6" s="2758">
        <f t="shared" si="2"/>
        <v>1014.37</v>
      </c>
      <c r="L6" s="2758">
        <f t="shared" si="2"/>
        <v>0</v>
      </c>
      <c r="M6" s="2758">
        <f t="shared" si="2"/>
        <v>14643.53</v>
      </c>
      <c r="N6" s="2758">
        <f t="shared" si="2"/>
        <v>0</v>
      </c>
      <c r="O6" s="2758">
        <f t="shared" si="2"/>
        <v>0</v>
      </c>
      <c r="P6" s="2758">
        <f t="shared" si="2"/>
        <v>0</v>
      </c>
      <c r="Q6" s="2758">
        <f t="shared" si="2"/>
        <v>0</v>
      </c>
      <c r="R6" s="2758">
        <f t="shared" si="2"/>
        <v>0</v>
      </c>
      <c r="S6" s="2758">
        <f t="shared" si="2"/>
        <v>0</v>
      </c>
      <c r="T6" s="2758">
        <f t="shared" si="2"/>
        <v>0</v>
      </c>
      <c r="U6" s="2758">
        <f t="shared" si="2"/>
        <v>0</v>
      </c>
      <c r="V6" s="2758">
        <f t="shared" si="2"/>
        <v>0</v>
      </c>
      <c r="W6" s="2758">
        <f t="shared" si="2"/>
        <v>0</v>
      </c>
      <c r="X6" s="2758">
        <f t="shared" si="2"/>
        <v>0</v>
      </c>
      <c r="Y6" s="2758">
        <f t="shared" si="2"/>
        <v>0</v>
      </c>
      <c r="Z6" s="2758">
        <f t="shared" si="2"/>
        <v>0</v>
      </c>
      <c r="AA6" s="2758">
        <f t="shared" si="2"/>
        <v>0</v>
      </c>
      <c r="AB6" s="2758">
        <f t="shared" si="2"/>
        <v>0</v>
      </c>
      <c r="AC6" s="2761">
        <f>SUMIF(AD$12:AS$12,"总值",AD6:AS6)</f>
        <v>0</v>
      </c>
      <c r="AD6" s="2758">
        <f t="shared" ref="AD6:AS6" si="3">ROUND($A$3*AD5/$B$3,2)</f>
        <v>0</v>
      </c>
      <c r="AE6" s="2758">
        <f t="shared" si="3"/>
        <v>0</v>
      </c>
      <c r="AF6" s="2758">
        <f t="shared" si="3"/>
        <v>0</v>
      </c>
      <c r="AG6" s="2758">
        <f t="shared" si="3"/>
        <v>0</v>
      </c>
      <c r="AH6" s="2758">
        <f t="shared" si="3"/>
        <v>0</v>
      </c>
      <c r="AI6" s="2758">
        <f t="shared" si="3"/>
        <v>0</v>
      </c>
      <c r="AJ6" s="2758">
        <f t="shared" si="3"/>
        <v>0</v>
      </c>
      <c r="AK6" s="2758">
        <f t="shared" si="3"/>
        <v>0</v>
      </c>
      <c r="AL6" s="2758">
        <f t="shared" si="3"/>
        <v>0</v>
      </c>
      <c r="AM6" s="2758">
        <f t="shared" si="3"/>
        <v>0</v>
      </c>
      <c r="AN6" s="2758">
        <f t="shared" si="3"/>
        <v>0</v>
      </c>
      <c r="AO6" s="2758">
        <f t="shared" si="3"/>
        <v>0</v>
      </c>
      <c r="AP6" s="2758">
        <f t="shared" si="3"/>
        <v>0</v>
      </c>
      <c r="AQ6" s="2758">
        <f t="shared" si="3"/>
        <v>0</v>
      </c>
      <c r="AR6" s="2758">
        <f t="shared" si="3"/>
        <v>0</v>
      </c>
      <c r="AS6" s="2758">
        <f t="shared" si="3"/>
        <v>0</v>
      </c>
      <c r="AT6" s="2761">
        <f>IF(C3="是",ROUND($A$3*AT5/$B$3,2),0)</f>
        <v>0</v>
      </c>
      <c r="AU6" s="2818"/>
      <c r="AV6" s="850" t="s">
        <v>457</v>
      </c>
      <c r="AW6" s="2759"/>
      <c r="AX6" s="2759"/>
      <c r="AY6" s="2843">
        <f>IF(AY3&gt;0,AY3,ROUND($A$3*AZ5/$B$3,2))</f>
        <v>42969</v>
      </c>
      <c r="AZ6" s="2758" t="s">
        <v>138</v>
      </c>
      <c r="BA6" s="2758">
        <f>ROUND($AY$6*BA5/$AZ$5,2)</f>
        <v>42969</v>
      </c>
      <c r="BB6" s="2758">
        <f>ROUND($AY$6*BB5/$AZ$5,2)</f>
        <v>27311.1</v>
      </c>
      <c r="BC6" s="2758">
        <f t="shared" ref="BC6:BH6" si="4">ROUND($AY$6*BC5/$AZ$5,2)</f>
        <v>1014.37</v>
      </c>
      <c r="BD6" s="2758">
        <f t="shared" si="4"/>
        <v>14643.53</v>
      </c>
      <c r="BE6" s="2758">
        <f t="shared" si="4"/>
        <v>0</v>
      </c>
      <c r="BF6" s="2758">
        <f t="shared" si="4"/>
        <v>0</v>
      </c>
      <c r="BG6" s="2758">
        <f t="shared" si="4"/>
        <v>0</v>
      </c>
      <c r="BH6" s="2758">
        <f t="shared" si="4"/>
        <v>0</v>
      </c>
      <c r="BI6" s="2758">
        <f t="shared" ref="BI6:BT6" si="5">ROUND($AY$6*BI5/$AZ$5,2)</f>
        <v>0</v>
      </c>
      <c r="BJ6" s="2758">
        <f t="shared" si="5"/>
        <v>0</v>
      </c>
      <c r="BK6" s="2758">
        <f t="shared" si="5"/>
        <v>0</v>
      </c>
      <c r="BL6" s="2758">
        <f t="shared" si="5"/>
        <v>0</v>
      </c>
      <c r="BM6" s="2758">
        <f t="shared" si="5"/>
        <v>0</v>
      </c>
      <c r="BN6" s="2758">
        <f t="shared" si="5"/>
        <v>0</v>
      </c>
      <c r="BO6" s="2758">
        <f t="shared" si="5"/>
        <v>0</v>
      </c>
      <c r="BP6" s="2758">
        <f t="shared" si="5"/>
        <v>0</v>
      </c>
      <c r="BQ6" s="2758">
        <f t="shared" si="5"/>
        <v>0</v>
      </c>
      <c r="BR6" s="2758">
        <f t="shared" si="5"/>
        <v>0</v>
      </c>
      <c r="BS6" s="2758">
        <f t="shared" si="5"/>
        <v>0</v>
      </c>
      <c r="BT6" s="2852">
        <f t="shared" si="5"/>
        <v>0</v>
      </c>
    </row>
    <row r="7" spans="1:72" s="184" customFormat="1" ht="24.75">
      <c r="A7" s="2762" t="s">
        <v>458</v>
      </c>
      <c r="B7" s="2762" t="s">
        <v>459</v>
      </c>
      <c r="C7" s="2762" t="s">
        <v>460</v>
      </c>
      <c r="D7" s="2762" t="s">
        <v>461</v>
      </c>
      <c r="E7" s="2762" t="s">
        <v>457</v>
      </c>
      <c r="F7" s="2762" t="s">
        <v>462</v>
      </c>
      <c r="G7" s="2763" t="s">
        <v>463</v>
      </c>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819"/>
      <c r="AU7" s="2764" t="s">
        <v>464</v>
      </c>
      <c r="AV7" s="2231" t="s">
        <v>458</v>
      </c>
      <c r="AW7" s="2250" t="s">
        <v>459</v>
      </c>
      <c r="AX7" s="2231" t="s">
        <v>460</v>
      </c>
      <c r="AY7" s="957" t="s">
        <v>465</v>
      </c>
      <c r="AZ7" s="2807"/>
      <c r="BA7" s="2764"/>
      <c r="BB7" s="2764"/>
      <c r="BC7" s="2764"/>
      <c r="BD7" s="2764"/>
      <c r="BE7" s="2764"/>
      <c r="BF7" s="2764"/>
      <c r="BG7" s="2764"/>
      <c r="BH7" s="2764"/>
      <c r="BI7" s="2764"/>
      <c r="BJ7" s="2764"/>
      <c r="BK7" s="2764"/>
      <c r="BL7" s="2764"/>
      <c r="BM7" s="2764"/>
      <c r="BN7" s="2764"/>
      <c r="BO7" s="2764"/>
      <c r="BP7" s="2764"/>
      <c r="BQ7" s="2764"/>
      <c r="BR7" s="2764"/>
      <c r="BS7" s="2764"/>
      <c r="BT7" s="2853"/>
    </row>
    <row r="8" spans="1:72" s="187" customFormat="1" ht="24">
      <c r="A8" s="2765"/>
      <c r="B8" s="2765"/>
      <c r="C8" s="2765"/>
      <c r="D8" s="2765"/>
      <c r="E8" s="2765"/>
      <c r="F8" s="2765"/>
      <c r="G8" s="2766" t="s">
        <v>466</v>
      </c>
      <c r="H8" s="2767" t="s">
        <v>467</v>
      </c>
      <c r="I8" s="2791"/>
      <c r="J8" s="123"/>
      <c r="K8" s="123"/>
      <c r="L8" s="123"/>
      <c r="M8" s="123"/>
      <c r="N8" s="123"/>
      <c r="O8" s="123"/>
      <c r="P8" s="123"/>
      <c r="Q8" s="123"/>
      <c r="R8" s="123"/>
      <c r="S8" s="123"/>
      <c r="T8" s="123"/>
      <c r="U8" s="123"/>
      <c r="V8" s="2803"/>
      <c r="W8" s="123"/>
      <c r="X8" s="123"/>
      <c r="Y8" s="123"/>
      <c r="Z8" s="123"/>
      <c r="AA8" s="2803"/>
      <c r="AB8" s="2805"/>
      <c r="AC8" s="1977" t="s">
        <v>468</v>
      </c>
      <c r="AD8" s="2806"/>
      <c r="AE8" s="2807"/>
      <c r="AF8" s="123"/>
      <c r="AG8" s="123"/>
      <c r="AH8" s="123"/>
      <c r="AI8" s="123"/>
      <c r="AJ8" s="123"/>
      <c r="AK8" s="123"/>
      <c r="AL8" s="123"/>
      <c r="AM8" s="123"/>
      <c r="AN8" s="123"/>
      <c r="AO8" s="123"/>
      <c r="AP8" s="123"/>
      <c r="AQ8" s="123"/>
      <c r="AR8" s="123"/>
      <c r="AS8" s="181"/>
      <c r="AT8" s="2820" t="s">
        <v>469</v>
      </c>
      <c r="AU8" s="2765" t="s">
        <v>470</v>
      </c>
      <c r="AV8" s="728"/>
      <c r="AW8" s="2256"/>
      <c r="AX8" s="728"/>
      <c r="AY8" s="2250" t="s">
        <v>457</v>
      </c>
      <c r="AZ8" s="122" t="s">
        <v>451</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65"/>
      <c r="B9" s="2765"/>
      <c r="C9" s="2765"/>
      <c r="D9" s="2765"/>
      <c r="E9" s="2765"/>
      <c r="F9" s="2765"/>
      <c r="G9" s="728"/>
      <c r="H9" s="2768" t="s">
        <v>471</v>
      </c>
      <c r="I9" s="2792" t="s">
        <v>472</v>
      </c>
      <c r="J9" s="1977"/>
      <c r="K9" s="2792" t="s">
        <v>472</v>
      </c>
      <c r="L9" s="1977"/>
      <c r="M9" s="2792" t="s">
        <v>473</v>
      </c>
      <c r="N9" s="1977"/>
      <c r="O9" s="2793"/>
      <c r="P9" s="1977"/>
      <c r="Q9" s="2793"/>
      <c r="R9" s="1977"/>
      <c r="S9" s="2793"/>
      <c r="T9" s="1977"/>
      <c r="U9" s="2793"/>
      <c r="V9" s="1977"/>
      <c r="W9" s="2793"/>
      <c r="X9" s="2804"/>
      <c r="Y9" s="2793"/>
      <c r="Z9" s="1977"/>
      <c r="AA9" s="2793"/>
      <c r="AB9" s="1977"/>
      <c r="AC9" s="2766" t="s">
        <v>471</v>
      </c>
      <c r="AD9" s="850" t="s">
        <v>474</v>
      </c>
      <c r="AE9" s="1207"/>
      <c r="AF9" s="850" t="s">
        <v>475</v>
      </c>
      <c r="AG9" s="1207"/>
      <c r="AH9" s="850" t="s">
        <v>474</v>
      </c>
      <c r="AI9" s="1207"/>
      <c r="AJ9" s="850" t="s">
        <v>475</v>
      </c>
      <c r="AK9" s="1207"/>
      <c r="AL9" s="850" t="s">
        <v>474</v>
      </c>
      <c r="AM9" s="1207"/>
      <c r="AN9" s="850" t="s">
        <v>475</v>
      </c>
      <c r="AO9" s="1207"/>
      <c r="AP9" s="2821" t="s">
        <v>474</v>
      </c>
      <c r="AQ9" s="2822"/>
      <c r="AR9" s="2821" t="s">
        <v>475</v>
      </c>
      <c r="AS9" s="2823"/>
      <c r="AT9" s="2765"/>
      <c r="AU9" s="2765" t="s">
        <v>476</v>
      </c>
      <c r="AV9" s="728"/>
      <c r="AW9" s="2256"/>
      <c r="AX9" s="728"/>
      <c r="AY9" s="2232"/>
      <c r="AZ9" s="2232" t="s">
        <v>466</v>
      </c>
      <c r="BA9" s="2844" t="s">
        <v>477</v>
      </c>
      <c r="BB9" s="2845"/>
      <c r="BC9" s="798"/>
      <c r="BD9" s="798"/>
      <c r="BE9" s="798"/>
      <c r="BF9" s="798"/>
      <c r="BG9" s="798"/>
      <c r="BH9" s="798"/>
      <c r="BI9" s="798"/>
      <c r="BJ9" s="798"/>
      <c r="BK9" s="2850"/>
      <c r="BL9" s="850" t="s">
        <v>478</v>
      </c>
      <c r="BM9" s="123"/>
      <c r="BN9" s="2791"/>
      <c r="BO9" s="123"/>
      <c r="BP9" s="123"/>
      <c r="BQ9" s="123"/>
      <c r="BR9" s="123"/>
      <c r="BS9" s="123"/>
      <c r="BT9" s="778"/>
    </row>
    <row r="10" spans="1:72" s="187" customFormat="1" ht="12.75">
      <c r="A10" s="2765"/>
      <c r="B10" s="2765"/>
      <c r="C10" s="2765"/>
      <c r="D10" s="2765"/>
      <c r="E10" s="2765"/>
      <c r="F10" s="2765"/>
      <c r="G10" s="728"/>
      <c r="H10" s="2232"/>
      <c r="I10" s="2792" t="s">
        <v>376</v>
      </c>
      <c r="J10" s="1977"/>
      <c r="K10" s="2794" t="s">
        <v>377</v>
      </c>
      <c r="L10" s="1977"/>
      <c r="M10" s="2794" t="s">
        <v>379</v>
      </c>
      <c r="N10" s="1977"/>
      <c r="O10" s="2795"/>
      <c r="P10" s="1977"/>
      <c r="Q10" s="2795"/>
      <c r="R10" s="1977"/>
      <c r="S10" s="2795"/>
      <c r="T10" s="1977"/>
      <c r="U10" s="2795"/>
      <c r="V10" s="1977"/>
      <c r="W10" s="2795"/>
      <c r="X10" s="1977"/>
      <c r="Y10" s="2795"/>
      <c r="Z10" s="1977"/>
      <c r="AA10" s="2795"/>
      <c r="AB10" s="1977"/>
      <c r="AC10" s="728"/>
      <c r="AD10" s="2350" t="s">
        <v>233</v>
      </c>
      <c r="AE10" s="2808"/>
      <c r="AF10" s="2350" t="s">
        <v>233</v>
      </c>
      <c r="AG10" s="2808"/>
      <c r="AH10" s="2350" t="s">
        <v>479</v>
      </c>
      <c r="AI10" s="2808"/>
      <c r="AJ10" s="850" t="s">
        <v>480</v>
      </c>
      <c r="AK10" s="2814"/>
      <c r="AL10" s="2350" t="s">
        <v>481</v>
      </c>
      <c r="AM10" s="2815"/>
      <c r="AN10" s="850" t="s">
        <v>482</v>
      </c>
      <c r="AO10" s="1207"/>
      <c r="AP10" s="2821" t="s">
        <v>483</v>
      </c>
      <c r="AQ10" s="2822"/>
      <c r="AR10" s="2821" t="s">
        <v>483</v>
      </c>
      <c r="AS10" s="2822"/>
      <c r="AT10" s="2765"/>
      <c r="AU10" s="2765"/>
      <c r="AV10" s="728"/>
      <c r="AW10" s="2256"/>
      <c r="AX10" s="728"/>
      <c r="AY10" s="2232"/>
      <c r="AZ10" s="2232"/>
      <c r="BA10" s="2769" t="s">
        <v>471</v>
      </c>
      <c r="BB10" s="2846" t="str">
        <f>I9</f>
        <v>地上</v>
      </c>
      <c r="BC10" s="811" t="str">
        <f>K9</f>
        <v>地上</v>
      </c>
      <c r="BD10" s="811" t="str">
        <f>M9</f>
        <v>地下</v>
      </c>
      <c r="BE10" s="811">
        <f>O9</f>
        <v>0</v>
      </c>
      <c r="BF10" s="811">
        <f>Q9</f>
        <v>0</v>
      </c>
      <c r="BG10" s="811">
        <f>S9</f>
        <v>0</v>
      </c>
      <c r="BH10" s="811">
        <f>U9</f>
        <v>0</v>
      </c>
      <c r="BI10" s="811">
        <f>W9</f>
        <v>0</v>
      </c>
      <c r="BJ10" s="811">
        <f>Y9</f>
        <v>0</v>
      </c>
      <c r="BK10" s="811">
        <f>AA9</f>
        <v>0</v>
      </c>
      <c r="BL10" s="807" t="s">
        <v>471</v>
      </c>
      <c r="BM10" s="122" t="str">
        <f>AD9</f>
        <v>地上</v>
      </c>
      <c r="BN10" s="811" t="str">
        <f>AF9</f>
        <v>地下</v>
      </c>
      <c r="BO10" s="122" t="str">
        <f>AH9</f>
        <v>地上</v>
      </c>
      <c r="BP10" s="811" t="str">
        <f>AJ9</f>
        <v>地下</v>
      </c>
      <c r="BQ10" s="122" t="str">
        <f>AL9</f>
        <v>地上</v>
      </c>
      <c r="BR10" s="811" t="str">
        <f>AN9</f>
        <v>地下</v>
      </c>
      <c r="BS10" s="122" t="str">
        <f>AP9</f>
        <v>地上</v>
      </c>
      <c r="BT10" s="2241" t="str">
        <f>AR9</f>
        <v>地下</v>
      </c>
    </row>
    <row r="11" spans="1:72" s="187" customFormat="1" ht="12.75">
      <c r="A11" s="2765"/>
      <c r="B11" s="2765"/>
      <c r="C11" s="2765"/>
      <c r="D11" s="2765"/>
      <c r="E11" s="2765"/>
      <c r="F11" s="2765"/>
      <c r="G11" s="728"/>
      <c r="H11" s="2769"/>
      <c r="I11" s="2796" t="s">
        <v>484</v>
      </c>
      <c r="J11" s="2797"/>
      <c r="K11" s="2796" t="s">
        <v>485</v>
      </c>
      <c r="L11" s="2797"/>
      <c r="M11" s="2798" t="s">
        <v>379</v>
      </c>
      <c r="N11" s="2797"/>
      <c r="O11" s="2798"/>
      <c r="P11" s="2797"/>
      <c r="Q11" s="2798"/>
      <c r="R11" s="2797"/>
      <c r="S11" s="2798"/>
      <c r="T11" s="2797"/>
      <c r="U11" s="2798"/>
      <c r="V11" s="2797"/>
      <c r="W11" s="2798"/>
      <c r="X11" s="2797"/>
      <c r="Y11" s="2798"/>
      <c r="Z11" s="2797"/>
      <c r="AA11" s="2798"/>
      <c r="AB11" s="2797"/>
      <c r="AC11" s="728"/>
      <c r="AD11" s="2809" t="s">
        <v>486</v>
      </c>
      <c r="AE11" s="181"/>
      <c r="AF11" s="2809" t="s">
        <v>486</v>
      </c>
      <c r="AG11" s="181"/>
      <c r="AH11" s="2809" t="s">
        <v>487</v>
      </c>
      <c r="AI11" s="2816"/>
      <c r="AJ11" s="2809" t="s">
        <v>487</v>
      </c>
      <c r="AK11" s="2814"/>
      <c r="AL11" s="122"/>
      <c r="AM11" s="181"/>
      <c r="AN11" s="122"/>
      <c r="AO11" s="181"/>
      <c r="AP11" s="2824"/>
      <c r="AQ11" s="2825"/>
      <c r="AR11" s="2824"/>
      <c r="AS11" s="2825"/>
      <c r="AT11" s="2256"/>
      <c r="AU11" s="2765"/>
      <c r="AV11" s="728"/>
      <c r="AW11" s="2256"/>
      <c r="AX11" s="728"/>
      <c r="AY11" s="2232"/>
      <c r="AZ11" s="2232"/>
      <c r="BA11" s="2232"/>
      <c r="BB11" s="2805" t="str">
        <f>I10</f>
        <v>住宅</v>
      </c>
      <c r="BC11" s="2805" t="str">
        <f>K10</f>
        <v>商业</v>
      </c>
      <c r="BD11" s="2805" t="str">
        <f>M10</f>
        <v>车库</v>
      </c>
      <c r="BE11" s="2805">
        <f>O10</f>
        <v>0</v>
      </c>
      <c r="BF11" s="2805">
        <f>Q10</f>
        <v>0</v>
      </c>
      <c r="BG11" s="2805">
        <f>S10</f>
        <v>0</v>
      </c>
      <c r="BH11" s="2805">
        <f>U10</f>
        <v>0</v>
      </c>
      <c r="BI11" s="2805">
        <f>W10</f>
        <v>0</v>
      </c>
      <c r="BJ11" s="2805">
        <f>Y10</f>
        <v>0</v>
      </c>
      <c r="BK11" s="2805">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33" t="str">
        <f>AR10</f>
        <v>未注明</v>
      </c>
    </row>
    <row r="12" spans="1:72" s="184" customFormat="1" ht="12.75">
      <c r="A12" s="2770"/>
      <c r="B12" s="2770"/>
      <c r="C12" s="2770"/>
      <c r="D12" s="2770"/>
      <c r="E12" s="2770"/>
      <c r="F12" s="2770"/>
      <c r="G12" s="2240"/>
      <c r="H12" s="2771"/>
      <c r="I12" s="2171"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060" t="s">
        <v>489</v>
      </c>
      <c r="W12" s="124" t="s">
        <v>488</v>
      </c>
      <c r="X12" s="124" t="s">
        <v>489</v>
      </c>
      <c r="Y12" s="124" t="s">
        <v>488</v>
      </c>
      <c r="Z12" s="124" t="s">
        <v>489</v>
      </c>
      <c r="AA12" s="124" t="s">
        <v>488</v>
      </c>
      <c r="AB12" s="124" t="s">
        <v>489</v>
      </c>
      <c r="AC12" s="2810"/>
      <c r="AD12" s="2171"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2826" t="s">
        <v>488</v>
      </c>
      <c r="AQ12" s="2826" t="s">
        <v>489</v>
      </c>
      <c r="AR12" s="2827" t="s">
        <v>488</v>
      </c>
      <c r="AS12" s="2828" t="s">
        <v>489</v>
      </c>
      <c r="AT12" s="2829"/>
      <c r="AU12" s="2770"/>
      <c r="AV12" s="2236"/>
      <c r="AW12" s="2250"/>
      <c r="AX12" s="2236"/>
      <c r="AY12" s="2847"/>
      <c r="AZ12" s="2232"/>
      <c r="BA12" s="2769"/>
      <c r="BB12" s="121" t="str">
        <f>I11</f>
        <v>普通住宅</v>
      </c>
      <c r="BC12" s="2848" t="str">
        <f>K11</f>
        <v>底商</v>
      </c>
      <c r="BD12" s="2848" t="str">
        <f>M11</f>
        <v>车库</v>
      </c>
      <c r="BE12" s="2805">
        <f>O11</f>
        <v>0</v>
      </c>
      <c r="BF12" s="2805">
        <f>Q11</f>
        <v>0</v>
      </c>
      <c r="BG12" s="2805">
        <f>S11</f>
        <v>0</v>
      </c>
      <c r="BH12" s="2805">
        <f>U11</f>
        <v>0</v>
      </c>
      <c r="BI12" s="2805">
        <f>W11</f>
        <v>0</v>
      </c>
      <c r="BJ12" s="2805">
        <f>Y11</f>
        <v>0</v>
      </c>
      <c r="BK12" s="2805">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33">
        <f>AR11</f>
        <v>0</v>
      </c>
    </row>
    <row r="13" spans="1:72" s="184" customFormat="1" ht="12.75">
      <c r="A13" s="2772"/>
      <c r="B13" s="2772"/>
      <c r="C13" s="2772" t="s">
        <v>490</v>
      </c>
      <c r="D13" s="2773" t="s">
        <v>491</v>
      </c>
      <c r="E13" s="2758">
        <f t="shared" ref="E13:E20" si="6">IF($C$3="是",ROUND($A$3*G13/$B$3,2),ROUND($A$3*(G13-AT13)/$B$3,2))</f>
        <v>27311.1</v>
      </c>
      <c r="F13" s="2774"/>
      <c r="G13" s="2775">
        <f t="shared" ref="G13:G20" si="7">H13+AC13+AT13</f>
        <v>46660.33</v>
      </c>
      <c r="H13" s="2761">
        <f t="shared" ref="H13:H20" si="8">SUMIF(I$12:AB$12,"总值",I13:AB13)</f>
        <v>46660.33</v>
      </c>
      <c r="I13" s="2799">
        <v>46660.33</v>
      </c>
      <c r="J13" s="2799"/>
      <c r="K13" s="2799"/>
      <c r="L13" s="2799"/>
      <c r="M13" s="2799"/>
      <c r="N13" s="2800"/>
      <c r="O13" s="2800"/>
      <c r="P13" s="2800"/>
      <c r="Q13" s="2800"/>
      <c r="R13" s="2800"/>
      <c r="S13" s="2800"/>
      <c r="T13" s="2800"/>
      <c r="U13" s="2800"/>
      <c r="V13" s="2800"/>
      <c r="W13" s="2800"/>
      <c r="X13" s="2800"/>
      <c r="Y13" s="2800"/>
      <c r="Z13" s="2800"/>
      <c r="AA13" s="2800"/>
      <c r="AB13" s="2800"/>
      <c r="AC13" s="2758">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t="str">
        <f t="shared" si="10"/>
        <v>地上住宅</v>
      </c>
      <c r="AY13" s="2171">
        <f t="shared" ref="AY13:AY20" si="11">ROUND($AY$6*AZ13/$AZ$5,2)</f>
        <v>27311.1</v>
      </c>
      <c r="AZ13" s="2758">
        <f t="shared" ref="AZ13:AZ20" si="12">BA13+BL13</f>
        <v>46660.33</v>
      </c>
      <c r="BA13" s="2758">
        <f t="shared" ref="BA13:BA20" si="13">SUM(BB13:BK13)</f>
        <v>46660.33</v>
      </c>
      <c r="BB13" s="2758">
        <f t="shared" ref="BB13:BB20" si="14">IF($D13="是",I13-J13,0)</f>
        <v>46660.33</v>
      </c>
      <c r="BC13" s="2758">
        <f t="shared" ref="BC13:BC20" si="15">IF($D13="是",K13-L13,0)</f>
        <v>0</v>
      </c>
      <c r="BD13" s="2758">
        <f t="shared" ref="BD13:BD20" si="16">IF($D13="是",M13-N13,0)</f>
        <v>0</v>
      </c>
      <c r="BE13" s="2758">
        <f t="shared" ref="BE13:BE20" si="17">IF($D13="是",O13-P13,0)</f>
        <v>0</v>
      </c>
      <c r="BF13" s="2758">
        <f t="shared" ref="BF13:BF20" si="18">IF($D13="是",Q13-R13,0)</f>
        <v>0</v>
      </c>
      <c r="BG13" s="2758">
        <f t="shared" ref="BG13:BG20" si="19">IF($D13="是",S13-T13,0)</f>
        <v>0</v>
      </c>
      <c r="BH13" s="2758">
        <f t="shared" ref="BH13:BH20" si="20">IF($D13="是",U13-V13,0)</f>
        <v>0</v>
      </c>
      <c r="BI13" s="2758">
        <f t="shared" ref="BI13:BI20" si="21">IF($D13="是",W13-X13,0)</f>
        <v>0</v>
      </c>
      <c r="BJ13" s="2758">
        <f t="shared" ref="BJ13:BJ20" si="22">IF($D13="是",Y13-Z13,0)</f>
        <v>0</v>
      </c>
      <c r="BK13" s="2758">
        <f t="shared" ref="BK13:BK20" si="23">IF($D13="是",AA13-AB13,0)</f>
        <v>0</v>
      </c>
      <c r="BL13" s="2758">
        <f t="shared" ref="BL13:BL20" si="24">SUM(BM13:BT13)</f>
        <v>0</v>
      </c>
      <c r="BM13" s="2758">
        <f t="shared" ref="BM13:BM20" si="25">IF($D13="是",AD13-AE13,0)</f>
        <v>0</v>
      </c>
      <c r="BN13" s="2758">
        <f t="shared" ref="BN13:BN20" si="26">IF($D13="是",AF13-AG13,0)</f>
        <v>0</v>
      </c>
      <c r="BO13" s="2758">
        <f t="shared" ref="BO13:BO20" si="27">IF($D13="是",AH13-AI13,0)</f>
        <v>0</v>
      </c>
      <c r="BP13" s="2758">
        <f t="shared" ref="BP13:BP20" si="28">IF($D13="是",AJ13-AK13,0)</f>
        <v>0</v>
      </c>
      <c r="BQ13" s="2758">
        <f t="shared" ref="BQ13:BQ20" si="29">IF($D13="是",AL13-AM13,0)</f>
        <v>0</v>
      </c>
      <c r="BR13" s="2758">
        <f t="shared" ref="BR13:BR20" si="30">IF($D13="是",AN13-AO13,0)</f>
        <v>0</v>
      </c>
      <c r="BS13" s="2758">
        <f t="shared" ref="BS13:BS20" si="31">IF($D13="是",AP13-AQ13,0)</f>
        <v>0</v>
      </c>
      <c r="BT13" s="2852">
        <f t="shared" ref="BT13:BT20" si="32">IF($D13="是",AR13-AS13,0)</f>
        <v>0</v>
      </c>
    </row>
    <row r="14" spans="1:72" s="184" customFormat="1" ht="12.75">
      <c r="A14" s="2772"/>
      <c r="B14" s="2772"/>
      <c r="C14" s="2776" t="s">
        <v>492</v>
      </c>
      <c r="D14" s="2773" t="s">
        <v>491</v>
      </c>
      <c r="E14" s="2758">
        <f t="shared" si="6"/>
        <v>1014.37</v>
      </c>
      <c r="F14" s="2774"/>
      <c r="G14" s="2775">
        <f t="shared" si="7"/>
        <v>1733.03</v>
      </c>
      <c r="H14" s="2761">
        <f t="shared" si="8"/>
        <v>1733.03</v>
      </c>
      <c r="I14" s="2799"/>
      <c r="J14" s="2799"/>
      <c r="K14" s="2799">
        <v>1733.03</v>
      </c>
      <c r="L14" s="2799"/>
      <c r="M14" s="2799"/>
      <c r="N14" s="2800"/>
      <c r="O14" s="2800"/>
      <c r="P14" s="2800"/>
      <c r="Q14" s="2800"/>
      <c r="R14" s="2800"/>
      <c r="S14" s="2800"/>
      <c r="T14" s="2800"/>
      <c r="U14" s="2800"/>
      <c r="V14" s="2800"/>
      <c r="W14" s="2800"/>
      <c r="X14" s="2800"/>
      <c r="Y14" s="2800"/>
      <c r="Z14" s="2800"/>
      <c r="AA14" s="2800"/>
      <c r="AB14" s="2800"/>
      <c r="AC14" s="2758">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t="str">
        <f t="shared" si="10"/>
        <v>地上商业</v>
      </c>
      <c r="AY14" s="2171">
        <f t="shared" si="11"/>
        <v>1014.37</v>
      </c>
      <c r="AZ14" s="2758">
        <f t="shared" si="12"/>
        <v>1733.03</v>
      </c>
      <c r="BA14" s="2758">
        <f t="shared" si="13"/>
        <v>1733.03</v>
      </c>
      <c r="BB14" s="2758">
        <f t="shared" si="14"/>
        <v>0</v>
      </c>
      <c r="BC14" s="2758">
        <f t="shared" si="15"/>
        <v>1733.03</v>
      </c>
      <c r="BD14" s="2758">
        <f t="shared" si="16"/>
        <v>0</v>
      </c>
      <c r="BE14" s="2758">
        <f t="shared" si="17"/>
        <v>0</v>
      </c>
      <c r="BF14" s="2758">
        <f t="shared" si="18"/>
        <v>0</v>
      </c>
      <c r="BG14" s="2758">
        <f t="shared" si="19"/>
        <v>0</v>
      </c>
      <c r="BH14" s="2758">
        <f t="shared" si="20"/>
        <v>0</v>
      </c>
      <c r="BI14" s="2758">
        <f t="shared" si="21"/>
        <v>0</v>
      </c>
      <c r="BJ14" s="2758">
        <f t="shared" si="22"/>
        <v>0</v>
      </c>
      <c r="BK14" s="2758">
        <f t="shared" si="23"/>
        <v>0</v>
      </c>
      <c r="BL14" s="2758">
        <f t="shared" si="24"/>
        <v>0</v>
      </c>
      <c r="BM14" s="2758">
        <f t="shared" si="25"/>
        <v>0</v>
      </c>
      <c r="BN14" s="2758">
        <f t="shared" si="26"/>
        <v>0</v>
      </c>
      <c r="BO14" s="2758">
        <f t="shared" si="27"/>
        <v>0</v>
      </c>
      <c r="BP14" s="2758">
        <f t="shared" si="28"/>
        <v>0</v>
      </c>
      <c r="BQ14" s="2758">
        <f t="shared" si="29"/>
        <v>0</v>
      </c>
      <c r="BR14" s="2758">
        <f t="shared" si="30"/>
        <v>0</v>
      </c>
      <c r="BS14" s="2758">
        <f t="shared" si="31"/>
        <v>0</v>
      </c>
      <c r="BT14" s="2852">
        <f t="shared" si="32"/>
        <v>0</v>
      </c>
    </row>
    <row r="15" spans="1:72" s="184" customFormat="1" ht="12.75">
      <c r="A15" s="2772"/>
      <c r="B15" s="2772"/>
      <c r="C15" s="2776" t="s">
        <v>493</v>
      </c>
      <c r="D15" s="2773" t="s">
        <v>491</v>
      </c>
      <c r="E15" s="2758">
        <f t="shared" si="6"/>
        <v>14643.53</v>
      </c>
      <c r="F15" s="2774"/>
      <c r="G15" s="2775">
        <f t="shared" si="7"/>
        <v>25018.11</v>
      </c>
      <c r="H15" s="2761">
        <f t="shared" si="8"/>
        <v>25018.11</v>
      </c>
      <c r="I15" s="2799"/>
      <c r="J15" s="2799"/>
      <c r="K15" s="2799"/>
      <c r="L15" s="2799"/>
      <c r="M15" s="2799">
        <v>25018.11</v>
      </c>
      <c r="N15" s="2800"/>
      <c r="O15" s="2800"/>
      <c r="P15" s="2800"/>
      <c r="Q15" s="2800"/>
      <c r="R15" s="2800"/>
      <c r="S15" s="2800"/>
      <c r="T15" s="2800"/>
      <c r="U15" s="2800"/>
      <c r="V15" s="2800"/>
      <c r="W15" s="2800"/>
      <c r="X15" s="2800"/>
      <c r="Y15" s="2800"/>
      <c r="Z15" s="2800"/>
      <c r="AA15" s="2800"/>
      <c r="AB15" s="2800"/>
      <c r="AC15" s="2758">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t="str">
        <f t="shared" si="10"/>
        <v>地下车库</v>
      </c>
      <c r="AY15" s="2171">
        <f t="shared" si="11"/>
        <v>14643.53</v>
      </c>
      <c r="AZ15" s="2758">
        <f t="shared" si="12"/>
        <v>25018.11</v>
      </c>
      <c r="BA15" s="2758">
        <f t="shared" si="13"/>
        <v>25018.11</v>
      </c>
      <c r="BB15" s="2758">
        <f t="shared" si="14"/>
        <v>0</v>
      </c>
      <c r="BC15" s="2758">
        <f t="shared" si="15"/>
        <v>0</v>
      </c>
      <c r="BD15" s="2758">
        <f t="shared" si="16"/>
        <v>25018.11</v>
      </c>
      <c r="BE15" s="2758">
        <f t="shared" si="17"/>
        <v>0</v>
      </c>
      <c r="BF15" s="2758">
        <f t="shared" si="18"/>
        <v>0</v>
      </c>
      <c r="BG15" s="2758">
        <f t="shared" si="19"/>
        <v>0</v>
      </c>
      <c r="BH15" s="2758">
        <f t="shared" si="20"/>
        <v>0</v>
      </c>
      <c r="BI15" s="2758">
        <f t="shared" si="21"/>
        <v>0</v>
      </c>
      <c r="BJ15" s="2758">
        <f t="shared" si="22"/>
        <v>0</v>
      </c>
      <c r="BK15" s="2758">
        <f t="shared" si="23"/>
        <v>0</v>
      </c>
      <c r="BL15" s="2758">
        <f t="shared" si="24"/>
        <v>0</v>
      </c>
      <c r="BM15" s="2758">
        <f t="shared" si="25"/>
        <v>0</v>
      </c>
      <c r="BN15" s="2758">
        <f t="shared" si="26"/>
        <v>0</v>
      </c>
      <c r="BO15" s="2758">
        <f t="shared" si="27"/>
        <v>0</v>
      </c>
      <c r="BP15" s="2758">
        <f t="shared" si="28"/>
        <v>0</v>
      </c>
      <c r="BQ15" s="2758">
        <f t="shared" si="29"/>
        <v>0</v>
      </c>
      <c r="BR15" s="2758">
        <f t="shared" si="30"/>
        <v>0</v>
      </c>
      <c r="BS15" s="2758">
        <f t="shared" si="31"/>
        <v>0</v>
      </c>
      <c r="BT15" s="2852">
        <f t="shared" si="32"/>
        <v>0</v>
      </c>
    </row>
    <row r="16" spans="1:72" s="184" customFormat="1" ht="12.75">
      <c r="A16" s="2772"/>
      <c r="B16" s="2772"/>
      <c r="C16" s="2776"/>
      <c r="D16" s="2773"/>
      <c r="E16" s="2758">
        <f t="shared" si="6"/>
        <v>0</v>
      </c>
      <c r="F16" s="2774"/>
      <c r="G16" s="2775">
        <f t="shared" si="7"/>
        <v>0</v>
      </c>
      <c r="H16" s="2761">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58">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58">
        <f t="shared" si="12"/>
        <v>0</v>
      </c>
      <c r="BA16" s="2758">
        <f t="shared" si="13"/>
        <v>0</v>
      </c>
      <c r="BB16" s="2758">
        <f t="shared" si="14"/>
        <v>0</v>
      </c>
      <c r="BC16" s="2758">
        <f t="shared" si="15"/>
        <v>0</v>
      </c>
      <c r="BD16" s="2758">
        <f t="shared" si="16"/>
        <v>0</v>
      </c>
      <c r="BE16" s="2758">
        <f t="shared" si="17"/>
        <v>0</v>
      </c>
      <c r="BF16" s="2758">
        <f t="shared" si="18"/>
        <v>0</v>
      </c>
      <c r="BG16" s="2758">
        <f t="shared" si="19"/>
        <v>0</v>
      </c>
      <c r="BH16" s="2758">
        <f t="shared" si="20"/>
        <v>0</v>
      </c>
      <c r="BI16" s="2758">
        <f t="shared" si="21"/>
        <v>0</v>
      </c>
      <c r="BJ16" s="2758">
        <f t="shared" si="22"/>
        <v>0</v>
      </c>
      <c r="BK16" s="2758">
        <f t="shared" si="23"/>
        <v>0</v>
      </c>
      <c r="BL16" s="2758">
        <f t="shared" si="24"/>
        <v>0</v>
      </c>
      <c r="BM16" s="2758">
        <f t="shared" si="25"/>
        <v>0</v>
      </c>
      <c r="BN16" s="2758">
        <f t="shared" si="26"/>
        <v>0</v>
      </c>
      <c r="BO16" s="2758">
        <f t="shared" si="27"/>
        <v>0</v>
      </c>
      <c r="BP16" s="2758">
        <f t="shared" si="28"/>
        <v>0</v>
      </c>
      <c r="BQ16" s="2758">
        <f t="shared" si="29"/>
        <v>0</v>
      </c>
      <c r="BR16" s="2758">
        <f t="shared" si="30"/>
        <v>0</v>
      </c>
      <c r="BS16" s="2758">
        <f t="shared" si="31"/>
        <v>0</v>
      </c>
      <c r="BT16" s="2852">
        <f t="shared" si="32"/>
        <v>0</v>
      </c>
    </row>
    <row r="17" spans="1:72" s="184" customFormat="1" ht="12.75">
      <c r="A17" s="2772"/>
      <c r="B17" s="2772"/>
      <c r="C17" s="2776"/>
      <c r="D17" s="2773"/>
      <c r="E17" s="2758">
        <f t="shared" si="6"/>
        <v>0</v>
      </c>
      <c r="F17" s="2774"/>
      <c r="G17" s="2775">
        <f t="shared" si="7"/>
        <v>0</v>
      </c>
      <c r="H17" s="2761">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58">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58">
        <f t="shared" si="12"/>
        <v>0</v>
      </c>
      <c r="BA17" s="2758">
        <f t="shared" si="13"/>
        <v>0</v>
      </c>
      <c r="BB17" s="2758">
        <f t="shared" si="14"/>
        <v>0</v>
      </c>
      <c r="BC17" s="2758">
        <f t="shared" si="15"/>
        <v>0</v>
      </c>
      <c r="BD17" s="2758">
        <f t="shared" si="16"/>
        <v>0</v>
      </c>
      <c r="BE17" s="2758">
        <f t="shared" si="17"/>
        <v>0</v>
      </c>
      <c r="BF17" s="2758">
        <f t="shared" si="18"/>
        <v>0</v>
      </c>
      <c r="BG17" s="2758">
        <f t="shared" si="19"/>
        <v>0</v>
      </c>
      <c r="BH17" s="2758">
        <f t="shared" si="20"/>
        <v>0</v>
      </c>
      <c r="BI17" s="2758">
        <f t="shared" si="21"/>
        <v>0</v>
      </c>
      <c r="BJ17" s="2758">
        <f t="shared" si="22"/>
        <v>0</v>
      </c>
      <c r="BK17" s="2758">
        <f t="shared" si="23"/>
        <v>0</v>
      </c>
      <c r="BL17" s="2758">
        <f t="shared" si="24"/>
        <v>0</v>
      </c>
      <c r="BM17" s="2758">
        <f t="shared" si="25"/>
        <v>0</v>
      </c>
      <c r="BN17" s="2758">
        <f t="shared" si="26"/>
        <v>0</v>
      </c>
      <c r="BO17" s="2758">
        <f t="shared" si="27"/>
        <v>0</v>
      </c>
      <c r="BP17" s="2758">
        <f t="shared" si="28"/>
        <v>0</v>
      </c>
      <c r="BQ17" s="2758">
        <f t="shared" si="29"/>
        <v>0</v>
      </c>
      <c r="BR17" s="2758">
        <f t="shared" si="30"/>
        <v>0</v>
      </c>
      <c r="BS17" s="2758">
        <f t="shared" si="31"/>
        <v>0</v>
      </c>
      <c r="BT17" s="2852">
        <f t="shared" si="32"/>
        <v>0</v>
      </c>
    </row>
    <row r="18" spans="1:72">
      <c r="A18" s="2777"/>
      <c r="B18" s="2778"/>
      <c r="C18" s="2778"/>
      <c r="D18" s="2779"/>
      <c r="E18" s="2780">
        <f t="shared" si="6"/>
        <v>0</v>
      </c>
      <c r="F18" s="2781"/>
      <c r="G18" s="2782">
        <f t="shared" si="7"/>
        <v>0</v>
      </c>
      <c r="H18" s="2783">
        <f t="shared" si="8"/>
        <v>0</v>
      </c>
      <c r="I18" s="2785"/>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7"/>
      <c r="B19" s="2784"/>
      <c r="C19" s="2785"/>
      <c r="D19" s="2786"/>
      <c r="E19" s="2780">
        <f t="shared" si="6"/>
        <v>0</v>
      </c>
      <c r="F19" s="2781"/>
      <c r="G19" s="2782">
        <f t="shared" si="7"/>
        <v>0</v>
      </c>
      <c r="H19" s="2783">
        <f t="shared" si="8"/>
        <v>0</v>
      </c>
      <c r="I19" s="2785"/>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2785"/>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7"/>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7"/>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7"/>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7"/>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7"/>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7"/>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7"/>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7"/>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7"/>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7"/>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7"/>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7"/>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7"/>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7"/>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7"/>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7"/>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7"/>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7"/>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7"/>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7"/>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7"/>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7"/>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7"/>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7"/>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7"/>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7"/>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7"/>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7"/>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7"/>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7"/>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7"/>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7"/>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7"/>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7"/>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7"/>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7"/>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7"/>
      <c r="B56" s="2778"/>
      <c r="C56" s="2778"/>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7"/>
      <c r="B57" s="2778"/>
      <c r="C57" s="2778"/>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7"/>
      <c r="B58" s="2778"/>
      <c r="C58" s="2778"/>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7"/>
      <c r="B59" s="2778"/>
      <c r="C59" s="2778"/>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7"/>
      <c r="B60" s="2778"/>
      <c r="C60" s="2778"/>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7"/>
      <c r="B61" s="2778"/>
      <c r="C61" s="2778"/>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7"/>
      <c r="B62" s="2778"/>
      <c r="C62" s="2778"/>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7"/>
      <c r="B63" s="2778"/>
      <c r="C63" s="2778"/>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7"/>
      <c r="B64" s="2778"/>
      <c r="C64" s="2778"/>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7"/>
      <c r="B65" s="2778"/>
      <c r="C65" s="2778"/>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7"/>
      <c r="B66" s="2778"/>
      <c r="C66" s="2778"/>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7"/>
      <c r="B67" s="2778"/>
      <c r="C67" s="2778"/>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7"/>
      <c r="B68" s="2778"/>
      <c r="C68" s="2778"/>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7"/>
      <c r="B69" s="2778"/>
      <c r="C69" s="2778"/>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7"/>
      <c r="B70" s="2778"/>
      <c r="C70" s="2778"/>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7"/>
      <c r="B71" s="2778"/>
      <c r="C71" s="2778"/>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7"/>
      <c r="B72" s="2778"/>
      <c r="C72" s="2778"/>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7"/>
      <c r="B73" s="2778"/>
      <c r="C73" s="2778"/>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7"/>
      <c r="B74" s="2778"/>
      <c r="C74" s="2778"/>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7"/>
      <c r="B75" s="2778"/>
      <c r="C75" s="2778"/>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7"/>
      <c r="B76" s="2778"/>
      <c r="C76" s="2778"/>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7"/>
      <c r="B77" s="2778"/>
      <c r="C77" s="2778"/>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7"/>
      <c r="B78" s="2778"/>
      <c r="C78" s="2778"/>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7"/>
      <c r="B79" s="2778"/>
      <c r="C79" s="2778"/>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7"/>
      <c r="B80" s="2778"/>
      <c r="C80" s="2778"/>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7"/>
      <c r="B81" s="2778"/>
      <c r="C81" s="2778"/>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7"/>
      <c r="B82" s="2778"/>
      <c r="C82" s="2778"/>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7"/>
      <c r="B83" s="2778"/>
      <c r="C83" s="2778"/>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7"/>
      <c r="B84" s="2778"/>
      <c r="C84" s="2778"/>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7"/>
      <c r="B85" s="2778"/>
      <c r="C85" s="2778"/>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7"/>
      <c r="B86" s="2778"/>
      <c r="C86" s="2778"/>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7"/>
      <c r="B87" s="2778"/>
      <c r="C87" s="2778"/>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7"/>
      <c r="B88" s="2778"/>
      <c r="C88" s="2778"/>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7"/>
      <c r="B89" s="2778"/>
      <c r="C89" s="2778"/>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7"/>
      <c r="B90" s="2778"/>
      <c r="C90" s="2778"/>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7"/>
      <c r="B91" s="2778"/>
      <c r="C91" s="2778"/>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7"/>
      <c r="B92" s="2778"/>
      <c r="C92" s="2778"/>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7"/>
      <c r="B93" s="2778"/>
      <c r="C93" s="2778"/>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7"/>
      <c r="B94" s="2778"/>
      <c r="C94" s="2778"/>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7"/>
      <c r="B95" s="2778"/>
      <c r="C95" s="2778"/>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7"/>
      <c r="B96" s="2778"/>
      <c r="C96" s="2778"/>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7"/>
      <c r="B97" s="2778"/>
      <c r="C97" s="2778"/>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7"/>
      <c r="B98" s="2778"/>
      <c r="C98" s="2778"/>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7"/>
      <c r="B99" s="2778"/>
      <c r="C99" s="2778"/>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7"/>
      <c r="B100" s="2778"/>
      <c r="C100" s="2778"/>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7"/>
      <c r="B101" s="2778"/>
      <c r="C101" s="2778"/>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7"/>
      <c r="B102" s="2778"/>
      <c r="C102" s="2778"/>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7"/>
      <c r="B103" s="2778"/>
      <c r="C103" s="2778"/>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7"/>
      <c r="B104" s="2778"/>
      <c r="C104" s="2778"/>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7"/>
      <c r="B105" s="2778"/>
      <c r="C105" s="2778"/>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7"/>
      <c r="B106" s="2778"/>
      <c r="C106" s="2778"/>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7"/>
      <c r="B107" s="2778"/>
      <c r="C107" s="2778"/>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7"/>
      <c r="B108" s="2778"/>
      <c r="C108" s="2778"/>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7"/>
      <c r="B109" s="2778"/>
      <c r="C109" s="2778"/>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7"/>
      <c r="B110" s="2777"/>
      <c r="C110" s="2777"/>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7"/>
      <c r="B111" s="2777"/>
      <c r="C111" s="2777"/>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7"/>
      <c r="B112" s="2777"/>
      <c r="C112" s="2777"/>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7"/>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7"/>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7"/>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7"/>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7"/>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7"/>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7"/>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7"/>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7"/>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7"/>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7"/>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7"/>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7"/>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7"/>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7"/>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7"/>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7"/>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7"/>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7"/>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7"/>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7"/>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7"/>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7"/>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7"/>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7"/>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7"/>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7"/>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7"/>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7"/>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7"/>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7"/>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7"/>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7"/>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7"/>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7"/>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7"/>
      <c r="B148" s="2778"/>
      <c r="C148" s="2778"/>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7"/>
      <c r="B149" s="2778"/>
      <c r="C149" s="2778"/>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7"/>
      <c r="B150" s="2778"/>
      <c r="C150" s="2778"/>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7"/>
      <c r="B151" s="2778"/>
      <c r="C151" s="2778"/>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7"/>
      <c r="B152" s="2778"/>
      <c r="C152" s="2778"/>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7"/>
      <c r="B153" s="2778"/>
      <c r="C153" s="2778"/>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7"/>
      <c r="B154" s="2778"/>
      <c r="C154" s="2778"/>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7"/>
      <c r="B155" s="2778"/>
      <c r="C155" s="2778"/>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7"/>
      <c r="B156" s="2778"/>
      <c r="C156" s="2778"/>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7"/>
      <c r="B157" s="2778"/>
      <c r="C157" s="2778"/>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7"/>
      <c r="B158" s="2778"/>
      <c r="C158" s="2778"/>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7"/>
      <c r="B159" s="2778"/>
      <c r="C159" s="2778"/>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7"/>
      <c r="B160" s="2778"/>
      <c r="C160" s="2778"/>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7"/>
      <c r="B161" s="2778"/>
      <c r="C161" s="2778"/>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7"/>
      <c r="B162" s="2778"/>
      <c r="C162" s="2778"/>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7"/>
      <c r="B163" s="2778"/>
      <c r="C163" s="2778"/>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7"/>
      <c r="B164" s="2778"/>
      <c r="C164" s="2778"/>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7"/>
      <c r="B165" s="2778"/>
      <c r="C165" s="2778"/>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7"/>
      <c r="B166" s="2778"/>
      <c r="C166" s="2778"/>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7"/>
      <c r="B167" s="2778"/>
      <c r="C167" s="2778"/>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7"/>
      <c r="B168" s="2778"/>
      <c r="C168" s="2778"/>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7"/>
      <c r="B169" s="2778"/>
      <c r="C169" s="2778"/>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7"/>
      <c r="B170" s="2778"/>
      <c r="C170" s="2778"/>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7"/>
      <c r="B171" s="2778"/>
      <c r="C171" s="2778"/>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7"/>
      <c r="B172" s="2778"/>
      <c r="C172" s="2778"/>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7"/>
      <c r="B173" s="2778"/>
      <c r="C173" s="2778"/>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7"/>
      <c r="B174" s="2778"/>
      <c r="C174" s="2778"/>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7"/>
      <c r="B175" s="2778"/>
      <c r="C175" s="2778"/>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7"/>
      <c r="B176" s="2778"/>
      <c r="C176" s="2778"/>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7"/>
      <c r="B177" s="2778"/>
      <c r="C177" s="2778"/>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7"/>
      <c r="B178" s="2778"/>
      <c r="C178" s="2778"/>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7"/>
      <c r="B179" s="2778"/>
      <c r="C179" s="2778"/>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7"/>
      <c r="B180" s="2778"/>
      <c r="C180" s="2778"/>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7"/>
      <c r="B181" s="2778"/>
      <c r="C181" s="2778"/>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7"/>
      <c r="B182" s="2778"/>
      <c r="C182" s="2778"/>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7"/>
      <c r="B183" s="2778"/>
      <c r="C183" s="2778"/>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7"/>
      <c r="B184" s="2778"/>
      <c r="C184" s="2778"/>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7"/>
      <c r="B185" s="2778"/>
      <c r="C185" s="2778"/>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7"/>
      <c r="B186" s="2778"/>
      <c r="C186" s="2778"/>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7"/>
      <c r="B187" s="2778"/>
      <c r="C187" s="2778"/>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7"/>
      <c r="B188" s="2778"/>
      <c r="C188" s="2778"/>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7"/>
      <c r="B189" s="2778"/>
      <c r="C189" s="2778"/>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7"/>
      <c r="B190" s="2778"/>
      <c r="C190" s="2778"/>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7"/>
      <c r="B191" s="2778"/>
      <c r="C191" s="2778"/>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7"/>
      <c r="B192" s="2778"/>
      <c r="C192" s="2778"/>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7"/>
      <c r="B193" s="2778"/>
      <c r="C193" s="2778"/>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7"/>
      <c r="B194" s="2778"/>
      <c r="C194" s="2778"/>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7"/>
      <c r="B195" s="2778"/>
      <c r="C195" s="2778"/>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7"/>
      <c r="B196" s="2778"/>
      <c r="C196" s="2778"/>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7"/>
      <c r="B197" s="2778"/>
      <c r="C197" s="2778"/>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7"/>
      <c r="B198" s="2778"/>
      <c r="C198" s="2778"/>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7"/>
      <c r="B199" s="2778"/>
      <c r="C199" s="2778"/>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7"/>
      <c r="B200" s="2778"/>
      <c r="C200" s="2778"/>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7"/>
      <c r="B201" s="2778"/>
      <c r="C201" s="2778"/>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7"/>
      <c r="B202" s="2777"/>
      <c r="C202" s="2777"/>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7"/>
      <c r="B203" s="2777"/>
      <c r="C203" s="2777"/>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7"/>
      <c r="B204" s="2777"/>
      <c r="C204" s="2777"/>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7"/>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7"/>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7"/>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7"/>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7"/>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7"/>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7"/>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7"/>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7"/>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7"/>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7"/>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7"/>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7"/>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7"/>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7"/>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7"/>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7"/>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7"/>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7"/>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7"/>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7"/>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7"/>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7"/>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7"/>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7"/>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7"/>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7"/>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7"/>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7"/>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7"/>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7"/>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7"/>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7"/>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7"/>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7"/>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7"/>
      <c r="B240" s="2778"/>
      <c r="C240" s="2778"/>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7"/>
      <c r="B241" s="2778"/>
      <c r="C241" s="2778"/>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7"/>
      <c r="B242" s="2778"/>
      <c r="C242" s="2778"/>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7"/>
      <c r="B243" s="2778"/>
      <c r="C243" s="2778"/>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7"/>
      <c r="B244" s="2778"/>
      <c r="C244" s="2778"/>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7"/>
      <c r="B245" s="2778"/>
      <c r="C245" s="2778"/>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7"/>
      <c r="B246" s="2778"/>
      <c r="C246" s="2778"/>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7"/>
      <c r="B247" s="2778"/>
      <c r="C247" s="2778"/>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7"/>
      <c r="B248" s="2778"/>
      <c r="C248" s="2778"/>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7"/>
      <c r="B249" s="2778"/>
      <c r="C249" s="2778"/>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7"/>
      <c r="B250" s="2778"/>
      <c r="C250" s="2778"/>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7"/>
      <c r="B251" s="2778"/>
      <c r="C251" s="2778"/>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7"/>
      <c r="B252" s="2778"/>
      <c r="C252" s="2778"/>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7"/>
      <c r="B253" s="2778"/>
      <c r="C253" s="2778"/>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7"/>
      <c r="B254" s="2778"/>
      <c r="C254" s="2778"/>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7"/>
      <c r="B255" s="2778"/>
      <c r="C255" s="2778"/>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7"/>
      <c r="B256" s="2778"/>
      <c r="C256" s="2778"/>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7"/>
      <c r="B257" s="2778"/>
      <c r="C257" s="2778"/>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7"/>
      <c r="B258" s="2778"/>
      <c r="C258" s="2778"/>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7"/>
      <c r="B259" s="2778"/>
      <c r="C259" s="2778"/>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7"/>
      <c r="B260" s="2778"/>
      <c r="C260" s="2778"/>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7"/>
      <c r="B261" s="2778"/>
      <c r="C261" s="2778"/>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7"/>
      <c r="B262" s="2778"/>
      <c r="C262" s="2778"/>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7"/>
      <c r="B263" s="2778"/>
      <c r="C263" s="2778"/>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7"/>
      <c r="B264" s="2778"/>
      <c r="C264" s="2778"/>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7"/>
      <c r="B265" s="2778"/>
      <c r="C265" s="2778"/>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7"/>
      <c r="B266" s="2778"/>
      <c r="C266" s="2778"/>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7"/>
      <c r="B267" s="2778"/>
      <c r="C267" s="2778"/>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7"/>
      <c r="B268" s="2778"/>
      <c r="C268" s="2778"/>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7"/>
      <c r="B269" s="2778"/>
      <c r="C269" s="2778"/>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7"/>
      <c r="B270" s="2778"/>
      <c r="C270" s="2778"/>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7"/>
      <c r="B271" s="2778"/>
      <c r="C271" s="2778"/>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7"/>
      <c r="B272" s="2778"/>
      <c r="C272" s="2778"/>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7"/>
      <c r="B273" s="2778"/>
      <c r="C273" s="2778"/>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7"/>
      <c r="B274" s="2778"/>
      <c r="C274" s="2778"/>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7"/>
      <c r="B275" s="2778"/>
      <c r="C275" s="2778"/>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7"/>
      <c r="B276" s="2778"/>
      <c r="C276" s="2778"/>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7"/>
      <c r="B277" s="2778"/>
      <c r="C277" s="2778"/>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7"/>
      <c r="B278" s="2778"/>
      <c r="C278" s="2778"/>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7"/>
      <c r="B279" s="2778"/>
      <c r="C279" s="2778"/>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7"/>
      <c r="B280" s="2778"/>
      <c r="C280" s="2778"/>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7"/>
      <c r="B281" s="2778"/>
      <c r="C281" s="2778"/>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7"/>
      <c r="B282" s="2778"/>
      <c r="C282" s="2778"/>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7"/>
      <c r="B283" s="2778"/>
      <c r="C283" s="2778"/>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7"/>
      <c r="B284" s="2778"/>
      <c r="C284" s="2778"/>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7"/>
      <c r="B285" s="2778"/>
      <c r="C285" s="2778"/>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7"/>
      <c r="B286" s="2778"/>
      <c r="C286" s="2778"/>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7"/>
      <c r="B287" s="2778"/>
      <c r="C287" s="2778"/>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7"/>
      <c r="B288" s="2778"/>
      <c r="C288" s="2778"/>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7"/>
      <c r="B289" s="2778"/>
      <c r="C289" s="2778"/>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7"/>
      <c r="B290" s="2778"/>
      <c r="C290" s="2778"/>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7"/>
      <c r="B291" s="2778"/>
      <c r="C291" s="2778"/>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7"/>
      <c r="B292" s="2778"/>
      <c r="C292" s="2778"/>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7"/>
      <c r="B293" s="2778"/>
      <c r="C293" s="2778"/>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7"/>
      <c r="B294" s="2777"/>
      <c r="C294" s="2777"/>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7"/>
      <c r="B295" s="2777"/>
      <c r="C295" s="2777"/>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7"/>
      <c r="B296" s="2777"/>
      <c r="C296" s="2777"/>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7"/>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7"/>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7"/>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7"/>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7"/>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7"/>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7"/>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7"/>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7"/>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7"/>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7"/>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7"/>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7"/>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7"/>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7"/>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7"/>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7"/>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7"/>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7"/>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7"/>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7"/>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7"/>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7"/>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7"/>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7"/>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7"/>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7"/>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7"/>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7"/>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7"/>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7"/>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7"/>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7"/>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7"/>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7"/>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7"/>
      <c r="B332" s="2778"/>
      <c r="C332" s="2778"/>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7"/>
      <c r="B333" s="2778"/>
      <c r="C333" s="2778"/>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7"/>
      <c r="B334" s="2778"/>
      <c r="C334" s="2778"/>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7"/>
      <c r="B335" s="2778"/>
      <c r="C335" s="2778"/>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7"/>
      <c r="B336" s="2778"/>
      <c r="C336" s="2778"/>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7"/>
      <c r="B337" s="2778"/>
      <c r="C337" s="2778"/>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7"/>
      <c r="B338" s="2778"/>
      <c r="C338" s="2778"/>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7"/>
      <c r="B339" s="2778"/>
      <c r="C339" s="2778"/>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7"/>
      <c r="B340" s="2778"/>
      <c r="C340" s="2778"/>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7"/>
      <c r="B341" s="2778"/>
      <c r="C341" s="2778"/>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7"/>
      <c r="B342" s="2778"/>
      <c r="C342" s="2778"/>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7"/>
      <c r="B343" s="2778"/>
      <c r="C343" s="2778"/>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7"/>
      <c r="B344" s="2778"/>
      <c r="C344" s="2778"/>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7"/>
      <c r="B345" s="2778"/>
      <c r="C345" s="2778"/>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7"/>
      <c r="B346" s="2778"/>
      <c r="C346" s="2778"/>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7"/>
      <c r="B347" s="2778"/>
      <c r="C347" s="2778"/>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7"/>
      <c r="B348" s="2778"/>
      <c r="C348" s="2778"/>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7"/>
      <c r="B349" s="2778"/>
      <c r="C349" s="2778"/>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7"/>
      <c r="B350" s="2778"/>
      <c r="C350" s="2778"/>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7"/>
      <c r="B351" s="2778"/>
      <c r="C351" s="2778"/>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7"/>
      <c r="B352" s="2778"/>
      <c r="C352" s="2778"/>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7"/>
      <c r="B353" s="2778"/>
      <c r="C353" s="2778"/>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7"/>
      <c r="B354" s="2778"/>
      <c r="C354" s="2778"/>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7"/>
      <c r="B355" s="2778"/>
      <c r="C355" s="2778"/>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7"/>
      <c r="B356" s="2778"/>
      <c r="C356" s="2778"/>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7"/>
      <c r="B357" s="2778"/>
      <c r="C357" s="2778"/>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7"/>
      <c r="B358" s="2778"/>
      <c r="C358" s="2778"/>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7"/>
      <c r="B359" s="2778"/>
      <c r="C359" s="2778"/>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7"/>
      <c r="B360" s="2778"/>
      <c r="C360" s="2778"/>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7"/>
      <c r="B361" s="2778"/>
      <c r="C361" s="2778"/>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7"/>
      <c r="B362" s="2778"/>
      <c r="C362" s="2778"/>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7"/>
      <c r="B363" s="2778"/>
      <c r="C363" s="2778"/>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7"/>
      <c r="B364" s="2778"/>
      <c r="C364" s="2778"/>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7"/>
      <c r="B365" s="2778"/>
      <c r="C365" s="2778"/>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7"/>
      <c r="B366" s="2778"/>
      <c r="C366" s="2778"/>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7"/>
      <c r="B367" s="2778"/>
      <c r="C367" s="2778"/>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7"/>
      <c r="B368" s="2778"/>
      <c r="C368" s="2778"/>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7"/>
      <c r="B369" s="2778"/>
      <c r="C369" s="2778"/>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7"/>
      <c r="B370" s="2778"/>
      <c r="C370" s="2778"/>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7"/>
      <c r="B371" s="2778"/>
      <c r="C371" s="2778"/>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7"/>
      <c r="B372" s="2778"/>
      <c r="C372" s="2778"/>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7"/>
      <c r="B373" s="2778"/>
      <c r="C373" s="2778"/>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7"/>
      <c r="B374" s="2778"/>
      <c r="C374" s="2778"/>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7"/>
      <c r="B375" s="2778"/>
      <c r="C375" s="2778"/>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7"/>
      <c r="B376" s="2778"/>
      <c r="C376" s="2778"/>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7"/>
      <c r="B377" s="2778"/>
      <c r="C377" s="2778"/>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7"/>
      <c r="B378" s="2778"/>
      <c r="C378" s="2778"/>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7"/>
      <c r="B379" s="2778"/>
      <c r="C379" s="2778"/>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7"/>
      <c r="B380" s="2778"/>
      <c r="C380" s="2778"/>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7"/>
      <c r="B381" s="2778"/>
      <c r="C381" s="2778"/>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7"/>
      <c r="B382" s="2778"/>
      <c r="C382" s="2778"/>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7"/>
      <c r="B383" s="2778"/>
      <c r="C383" s="2778"/>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7"/>
      <c r="B384" s="2778"/>
      <c r="C384" s="2778"/>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7"/>
      <c r="B385" s="2778"/>
      <c r="C385" s="2778"/>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7"/>
      <c r="B386" s="2777"/>
      <c r="C386" s="2777"/>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7"/>
      <c r="B387" s="2777"/>
      <c r="C387" s="2777"/>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7"/>
      <c r="B388" s="2777"/>
      <c r="C388" s="2777"/>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7"/>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7"/>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7"/>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7"/>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7"/>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7"/>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7"/>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7"/>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7"/>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7"/>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7"/>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7"/>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7"/>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7"/>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7"/>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7"/>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7"/>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7"/>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7"/>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7"/>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7"/>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7"/>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7"/>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7"/>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7"/>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7"/>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7"/>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7"/>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7"/>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7"/>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7"/>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7"/>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7"/>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7"/>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7"/>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7"/>
      <c r="B424" s="2778"/>
      <c r="C424" s="2778"/>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7"/>
      <c r="B425" s="2778"/>
      <c r="C425" s="2778"/>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7"/>
      <c r="B426" s="2778"/>
      <c r="C426" s="2778"/>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7"/>
      <c r="B427" s="2778"/>
      <c r="C427" s="2778"/>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7"/>
      <c r="B428" s="2778"/>
      <c r="C428" s="2778"/>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7"/>
      <c r="B429" s="2778"/>
      <c r="C429" s="2778"/>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7"/>
      <c r="B430" s="2778"/>
      <c r="C430" s="2778"/>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7"/>
      <c r="B431" s="2778"/>
      <c r="C431" s="2778"/>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7"/>
      <c r="B432" s="2778"/>
      <c r="C432" s="2778"/>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7"/>
      <c r="B433" s="2778"/>
      <c r="C433" s="2778"/>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7"/>
      <c r="B434" s="2778"/>
      <c r="C434" s="2778"/>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7"/>
      <c r="B435" s="2778"/>
      <c r="C435" s="2778"/>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7"/>
      <c r="B436" s="2778"/>
      <c r="C436" s="2778"/>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7"/>
      <c r="B437" s="2778"/>
      <c r="C437" s="2778"/>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7"/>
      <c r="B438" s="2778"/>
      <c r="C438" s="2778"/>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7"/>
      <c r="B439" s="2778"/>
      <c r="C439" s="2778"/>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7"/>
      <c r="B440" s="2778"/>
      <c r="C440" s="2778"/>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7"/>
      <c r="B441" s="2778"/>
      <c r="C441" s="2778"/>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7"/>
      <c r="B442" s="2778"/>
      <c r="C442" s="2778"/>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7"/>
      <c r="B443" s="2778"/>
      <c r="C443" s="2778"/>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7"/>
      <c r="B444" s="2778"/>
      <c r="C444" s="2778"/>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7"/>
      <c r="B445" s="2778"/>
      <c r="C445" s="2778"/>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7"/>
      <c r="B446" s="2778"/>
      <c r="C446" s="2778"/>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7"/>
      <c r="B447" s="2778"/>
      <c r="C447" s="2778"/>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7"/>
      <c r="B448" s="2778"/>
      <c r="C448" s="2778"/>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7"/>
      <c r="B449" s="2778"/>
      <c r="C449" s="2778"/>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7"/>
      <c r="B450" s="2778"/>
      <c r="C450" s="2778"/>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7"/>
      <c r="B451" s="2778"/>
      <c r="C451" s="2778"/>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7"/>
      <c r="B452" s="2778"/>
      <c r="C452" s="2778"/>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7"/>
      <c r="B453" s="2778"/>
      <c r="C453" s="2778"/>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7"/>
      <c r="B454" s="2778"/>
      <c r="C454" s="2778"/>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7"/>
      <c r="B455" s="2778"/>
      <c r="C455" s="2778"/>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7"/>
      <c r="B456" s="2778"/>
      <c r="C456" s="2778"/>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7"/>
      <c r="B457" s="2778"/>
      <c r="C457" s="2778"/>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7"/>
      <c r="B458" s="2778"/>
      <c r="C458" s="2778"/>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7"/>
      <c r="B459" s="2778"/>
      <c r="C459" s="2778"/>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7"/>
      <c r="B460" s="2778"/>
      <c r="C460" s="2778"/>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7"/>
      <c r="B461" s="2778"/>
      <c r="C461" s="2778"/>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7"/>
      <c r="B462" s="2778"/>
      <c r="C462" s="2778"/>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7"/>
      <c r="B463" s="2778"/>
      <c r="C463" s="2778"/>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7"/>
      <c r="B464" s="2778"/>
      <c r="C464" s="2778"/>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7"/>
      <c r="B465" s="2778"/>
      <c r="C465" s="2778"/>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7"/>
      <c r="B466" s="2778"/>
      <c r="C466" s="2778"/>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7"/>
      <c r="B467" s="2778"/>
      <c r="C467" s="2778"/>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7"/>
      <c r="B468" s="2778"/>
      <c r="C468" s="2778"/>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7"/>
      <c r="B469" s="2778"/>
      <c r="C469" s="2778"/>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7"/>
      <c r="B470" s="2778"/>
      <c r="C470" s="2778"/>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7"/>
      <c r="B471" s="2778"/>
      <c r="C471" s="2778"/>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7"/>
      <c r="B472" s="2778"/>
      <c r="C472" s="2778"/>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7"/>
      <c r="B473" s="2778"/>
      <c r="C473" s="2778"/>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7"/>
      <c r="B474" s="2778"/>
      <c r="C474" s="2778"/>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7"/>
      <c r="B475" s="2778"/>
      <c r="C475" s="2778"/>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7"/>
      <c r="B476" s="2778"/>
      <c r="C476" s="2778"/>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7"/>
      <c r="B477" s="2778"/>
      <c r="C477" s="2778"/>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7"/>
      <c r="B478" s="2777"/>
      <c r="C478" s="2777"/>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7"/>
      <c r="B479" s="2777"/>
      <c r="C479" s="2777"/>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7"/>
      <c r="B480" s="2777"/>
      <c r="C480" s="2777"/>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7"/>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7"/>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7"/>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7"/>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7"/>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7"/>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7"/>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7"/>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7"/>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7"/>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7"/>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7"/>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7"/>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7"/>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7"/>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7"/>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7"/>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7"/>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7"/>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7"/>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7"/>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7"/>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7"/>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7"/>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7"/>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7"/>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7"/>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7"/>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7"/>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7"/>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7"/>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7"/>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7"/>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7"/>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7"/>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7"/>
      <c r="B516" s="2778"/>
      <c r="C516" s="2778"/>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7"/>
      <c r="B517" s="2778"/>
      <c r="C517" s="2778"/>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7"/>
      <c r="B518" s="2778"/>
      <c r="C518" s="2778"/>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7"/>
      <c r="B519" s="2778"/>
      <c r="C519" s="2778"/>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7"/>
      <c r="B520" s="2778"/>
      <c r="C520" s="2778"/>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7"/>
      <c r="B521" s="2778"/>
      <c r="C521" s="2778"/>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7"/>
      <c r="B522" s="2778"/>
      <c r="C522" s="2778"/>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7"/>
      <c r="B523" s="2778"/>
      <c r="C523" s="2778"/>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7"/>
      <c r="B524" s="2778"/>
      <c r="C524" s="2778"/>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7"/>
      <c r="B525" s="2778"/>
      <c r="C525" s="2778"/>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7"/>
      <c r="B526" s="2778"/>
      <c r="C526" s="2778"/>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7"/>
      <c r="B527" s="2778"/>
      <c r="C527" s="2778"/>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7"/>
      <c r="B528" s="2778"/>
      <c r="C528" s="2778"/>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7"/>
      <c r="B529" s="2778"/>
      <c r="C529" s="2778"/>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7"/>
      <c r="B530" s="2778"/>
      <c r="C530" s="2778"/>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7"/>
      <c r="B531" s="2778"/>
      <c r="C531" s="2778"/>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7"/>
      <c r="B532" s="2778"/>
      <c r="C532" s="2778"/>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7"/>
      <c r="B533" s="2778"/>
      <c r="C533" s="2778"/>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7"/>
      <c r="B534" s="2778"/>
      <c r="C534" s="2778"/>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7"/>
      <c r="B535" s="2778"/>
      <c r="C535" s="2778"/>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7"/>
      <c r="B536" s="2778"/>
      <c r="C536" s="2778"/>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7"/>
      <c r="B537" s="2778"/>
      <c r="C537" s="2778"/>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7"/>
      <c r="B538" s="2778"/>
      <c r="C538" s="2778"/>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7"/>
      <c r="B539" s="2778"/>
      <c r="C539" s="2778"/>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7"/>
      <c r="B540" s="2778"/>
      <c r="C540" s="2778"/>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7"/>
      <c r="B541" s="2778"/>
      <c r="C541" s="2778"/>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7"/>
      <c r="B542" s="2778"/>
      <c r="C542" s="2778"/>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7"/>
      <c r="B543" s="2778"/>
      <c r="C543" s="2778"/>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7"/>
      <c r="B544" s="2778"/>
      <c r="C544" s="2778"/>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7"/>
      <c r="B545" s="2778"/>
      <c r="C545" s="2778"/>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7"/>
      <c r="B546" s="2778"/>
      <c r="C546" s="2778"/>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7"/>
      <c r="B547" s="2778"/>
      <c r="C547" s="2778"/>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7"/>
      <c r="B548" s="2778"/>
      <c r="C548" s="2778"/>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7"/>
      <c r="B549" s="2778"/>
      <c r="C549" s="2778"/>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7"/>
      <c r="B550" s="2778"/>
      <c r="C550" s="2778"/>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7"/>
      <c r="B551" s="2778"/>
      <c r="C551" s="2778"/>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7"/>
      <c r="B552" s="2778"/>
      <c r="C552" s="2778"/>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7"/>
      <c r="B553" s="2778"/>
      <c r="C553" s="2778"/>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7"/>
      <c r="B554" s="2778"/>
      <c r="C554" s="2778"/>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7"/>
      <c r="B555" s="2778"/>
      <c r="C555" s="2778"/>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7"/>
      <c r="B556" s="2778"/>
      <c r="C556" s="2778"/>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7"/>
      <c r="B557" s="2778"/>
      <c r="C557" s="2778"/>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7"/>
      <c r="B558" s="2778"/>
      <c r="C558" s="2778"/>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7"/>
      <c r="B559" s="2778"/>
      <c r="C559" s="2778"/>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7"/>
      <c r="B560" s="2778"/>
      <c r="C560" s="2778"/>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7"/>
      <c r="B561" s="2778"/>
      <c r="C561" s="2778"/>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7"/>
      <c r="B562" s="2778"/>
      <c r="C562" s="2778"/>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7"/>
      <c r="B563" s="2778"/>
      <c r="C563" s="2778"/>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7"/>
      <c r="B564" s="2778"/>
      <c r="C564" s="2778"/>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7"/>
      <c r="B565" s="2778"/>
      <c r="C565" s="2778"/>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7"/>
      <c r="B566" s="2778"/>
      <c r="C566" s="2778"/>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7"/>
      <c r="B567" s="2778"/>
      <c r="C567" s="2778"/>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7"/>
      <c r="B568" s="2778"/>
      <c r="C568" s="2778"/>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7"/>
      <c r="B569" s="2778"/>
      <c r="C569" s="2778"/>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7"/>
      <c r="B570" s="2777"/>
      <c r="C570" s="2777"/>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7"/>
      <c r="B571" s="2777"/>
      <c r="C571" s="2777"/>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7"/>
      <c r="B572" s="2777"/>
      <c r="C572" s="2777"/>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6"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7" customFormat="1">
      <c r="C574" s="2860"/>
      <c r="D574" s="2860"/>
    </row>
    <row r="575" spans="1:72" s="2747" customFormat="1">
      <c r="C575" s="2860"/>
      <c r="D575" s="2860"/>
    </row>
    <row r="578" spans="2:2">
      <c r="B578" s="2860"/>
    </row>
  </sheetData>
  <sheetProtection password="C66D" sheet="1" objects="1" scenarios="1" formatCells="0" formatColumns="0" formatRows="0"/>
  <phoneticPr fontId="224"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1" customWidth="1"/>
    <col min="2" max="2" width="10.625" style="2741" customWidth="1"/>
    <col min="3" max="3" width="15.75" style="2741" customWidth="1"/>
    <col min="4" max="7" width="9.5" style="2741" customWidth="1"/>
    <col min="8" max="13" width="9.125" style="2741" customWidth="1"/>
    <col min="14" max="16384" width="9" style="2741"/>
  </cols>
  <sheetData>
    <row r="1" spans="1:13" ht="14.25">
      <c r="A1" s="3220" t="s">
        <v>494</v>
      </c>
      <c r="B1" s="3220" t="s">
        <v>495</v>
      </c>
      <c r="C1" s="3220" t="s">
        <v>431</v>
      </c>
      <c r="D1" s="3219" t="s">
        <v>496</v>
      </c>
      <c r="E1" s="3219" t="s">
        <v>389</v>
      </c>
      <c r="F1" s="3219"/>
      <c r="G1" s="3219"/>
      <c r="H1" s="3219"/>
      <c r="I1" s="3219"/>
      <c r="J1" s="3219"/>
      <c r="K1" s="3219"/>
      <c r="L1" s="3219"/>
      <c r="M1" s="3219"/>
    </row>
    <row r="2" spans="1:13" ht="27" customHeight="1">
      <c r="A2" s="3220"/>
      <c r="B2" s="3220"/>
      <c r="C2" s="3220"/>
      <c r="D2" s="3219"/>
      <c r="E2" s="3219" t="s">
        <v>497</v>
      </c>
      <c r="F2" s="3219" t="s">
        <v>498</v>
      </c>
      <c r="G2" s="3219"/>
      <c r="H2" s="3219"/>
      <c r="I2" s="3219"/>
      <c r="J2" s="3219" t="s">
        <v>499</v>
      </c>
      <c r="K2" s="3219"/>
      <c r="L2" s="3219"/>
      <c r="M2" s="3219"/>
    </row>
    <row r="3" spans="1:13" ht="28.5">
      <c r="A3" s="3220"/>
      <c r="B3" s="3220"/>
      <c r="C3" s="3220"/>
      <c r="D3" s="3219"/>
      <c r="E3" s="3219"/>
      <c r="F3" s="2743" t="s">
        <v>500</v>
      </c>
      <c r="G3" s="2743" t="s">
        <v>501</v>
      </c>
      <c r="H3" s="2743" t="s">
        <v>502</v>
      </c>
      <c r="I3" s="2743" t="s">
        <v>493</v>
      </c>
      <c r="J3" s="2743" t="s">
        <v>500</v>
      </c>
      <c r="K3" s="2743" t="s">
        <v>503</v>
      </c>
      <c r="L3" s="2743" t="s">
        <v>504</v>
      </c>
      <c r="M3" s="2743" t="s">
        <v>505</v>
      </c>
    </row>
    <row r="4" spans="1:13" ht="42.75">
      <c r="A4" s="2743" t="s">
        <v>506</v>
      </c>
      <c r="B4" s="2743" t="s">
        <v>507</v>
      </c>
      <c r="C4" s="2743" t="s">
        <v>508</v>
      </c>
      <c r="D4" s="2742">
        <v>3807.94</v>
      </c>
      <c r="E4" s="2742">
        <v>20666.91</v>
      </c>
      <c r="F4" s="2742">
        <v>19673</v>
      </c>
      <c r="G4" s="2742">
        <v>0</v>
      </c>
      <c r="H4" s="2742">
        <v>19673</v>
      </c>
      <c r="I4" s="2742">
        <v>0</v>
      </c>
      <c r="J4" s="2742">
        <v>993.91</v>
      </c>
      <c r="K4" s="2742">
        <v>0</v>
      </c>
      <c r="L4" s="2742">
        <v>0</v>
      </c>
      <c r="M4" s="2742">
        <v>993.91</v>
      </c>
    </row>
    <row r="5" spans="1:13" ht="42.75">
      <c r="A5" s="2743" t="s">
        <v>506</v>
      </c>
      <c r="B5" s="2743" t="s">
        <v>509</v>
      </c>
      <c r="C5" s="2743" t="s">
        <v>510</v>
      </c>
      <c r="D5" s="2742">
        <v>3667.86</v>
      </c>
      <c r="E5" s="2742">
        <v>19906.61</v>
      </c>
      <c r="F5" s="2742">
        <v>18792.87</v>
      </c>
      <c r="G5" s="2742">
        <v>18792.87</v>
      </c>
      <c r="H5" s="2742">
        <v>0</v>
      </c>
      <c r="I5" s="2742">
        <v>0</v>
      </c>
      <c r="J5" s="2742">
        <v>1113.74</v>
      </c>
      <c r="K5" s="2742">
        <v>55.59</v>
      </c>
      <c r="L5" s="2742">
        <v>0</v>
      </c>
      <c r="M5" s="2742">
        <v>1058.1500000000001</v>
      </c>
    </row>
    <row r="6" spans="1:13" ht="42.75">
      <c r="A6" s="2743" t="s">
        <v>506</v>
      </c>
      <c r="B6" s="2743" t="s">
        <v>509</v>
      </c>
      <c r="C6" s="2743" t="s">
        <v>511</v>
      </c>
      <c r="D6" s="2742">
        <v>2067.52</v>
      </c>
      <c r="E6" s="2742">
        <v>11221.06</v>
      </c>
      <c r="F6" s="2742">
        <v>9934.1299999999992</v>
      </c>
      <c r="G6" s="2742">
        <v>9934.1299999999992</v>
      </c>
      <c r="H6" s="2742">
        <v>0</v>
      </c>
      <c r="I6" s="2742">
        <v>0</v>
      </c>
      <c r="J6" s="2742">
        <v>1286.93</v>
      </c>
      <c r="K6" s="2742">
        <v>0</v>
      </c>
      <c r="L6" s="2742">
        <v>0</v>
      </c>
      <c r="M6" s="2742">
        <v>1286.93</v>
      </c>
    </row>
    <row r="7" spans="1:13" ht="42.75">
      <c r="A7" s="2743" t="s">
        <v>506</v>
      </c>
      <c r="B7" s="2743" t="s">
        <v>509</v>
      </c>
      <c r="C7" s="2743" t="s">
        <v>512</v>
      </c>
      <c r="D7" s="2742">
        <v>8.18</v>
      </c>
      <c r="E7" s="2742">
        <v>44.41</v>
      </c>
      <c r="F7" s="2742">
        <v>0</v>
      </c>
      <c r="G7" s="2742">
        <v>0</v>
      </c>
      <c r="H7" s="2742">
        <v>0</v>
      </c>
      <c r="I7" s="2742">
        <v>0</v>
      </c>
      <c r="J7" s="2742">
        <v>44.41</v>
      </c>
      <c r="K7" s="2742">
        <v>44.41</v>
      </c>
      <c r="L7" s="2742">
        <v>0</v>
      </c>
      <c r="M7" s="2742">
        <v>0</v>
      </c>
    </row>
    <row r="8" spans="1:13" ht="42.75">
      <c r="A8" s="2743" t="s">
        <v>506</v>
      </c>
      <c r="B8" s="2743" t="s">
        <v>509</v>
      </c>
      <c r="C8" s="2743" t="s">
        <v>493</v>
      </c>
      <c r="D8" s="2742">
        <v>2455.5300000000002</v>
      </c>
      <c r="E8" s="2742">
        <v>13326.96</v>
      </c>
      <c r="F8" s="2742">
        <v>9231.0499999999993</v>
      </c>
      <c r="G8" s="2742">
        <v>0</v>
      </c>
      <c r="H8" s="2742">
        <v>0</v>
      </c>
      <c r="I8" s="2742">
        <v>9231.0499999999993</v>
      </c>
      <c r="J8" s="2742">
        <v>4095.91</v>
      </c>
      <c r="K8" s="2742">
        <v>0</v>
      </c>
      <c r="L8" s="2742">
        <v>3320.79</v>
      </c>
      <c r="M8" s="2742">
        <v>775.12</v>
      </c>
    </row>
    <row r="9" spans="1:13" ht="27" customHeight="1">
      <c r="A9" s="3219" t="s">
        <v>513</v>
      </c>
      <c r="B9" s="3219"/>
      <c r="C9" s="3219"/>
      <c r="D9" s="2742">
        <v>12007.03</v>
      </c>
      <c r="E9" s="2742">
        <v>65165.95</v>
      </c>
      <c r="F9" s="2742">
        <v>57631.05</v>
      </c>
      <c r="G9" s="2742">
        <v>28727</v>
      </c>
      <c r="H9" s="2742">
        <v>19673</v>
      </c>
      <c r="I9" s="2742">
        <v>9231.0499999999993</v>
      </c>
      <c r="J9" s="2742">
        <v>7534.9</v>
      </c>
      <c r="K9" s="2742">
        <v>100</v>
      </c>
      <c r="L9" s="2742">
        <v>3320.79</v>
      </c>
      <c r="M9" s="274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7" sqref="I7"/>
    </sheetView>
  </sheetViews>
  <sheetFormatPr defaultColWidth="9.25" defaultRowHeight="14.25"/>
  <cols>
    <col min="1" max="1" width="8.25" style="2653" customWidth="1"/>
    <col min="2" max="2" width="10.25" style="2653" customWidth="1"/>
    <col min="3" max="3" width="18.5" style="2653" customWidth="1"/>
    <col min="4" max="4" width="11.125" style="2653" customWidth="1"/>
    <col min="5" max="5" width="13.375" style="2653" customWidth="1"/>
    <col min="6" max="8" width="11.5" style="2653" customWidth="1"/>
    <col min="9" max="9" width="10.375" style="2653" customWidth="1"/>
    <col min="10" max="10" width="3.125" style="2653" customWidth="1"/>
    <col min="11" max="16" width="11.625" style="2653" customWidth="1"/>
    <col min="17" max="17" width="3.375" style="2653" customWidth="1"/>
    <col min="18" max="16384" width="9.25" style="2653"/>
  </cols>
  <sheetData>
    <row r="1" spans="1:16" ht="18.75">
      <c r="A1" s="2132" t="s">
        <v>514</v>
      </c>
      <c r="B1" s="2654"/>
      <c r="C1" s="2654"/>
      <c r="D1" s="2654"/>
      <c r="E1" s="2654"/>
      <c r="F1" s="2654"/>
      <c r="G1" s="2654"/>
      <c r="H1" s="2654"/>
      <c r="I1" s="2654"/>
      <c r="J1" s="2654"/>
      <c r="K1" s="2654"/>
      <c r="L1" s="2654"/>
    </row>
    <row r="2" spans="1:16" ht="15">
      <c r="A2" s="3230" t="s">
        <v>515</v>
      </c>
      <c r="B2" s="3230"/>
      <c r="C2" s="3230"/>
      <c r="D2" s="1954" t="s">
        <v>516</v>
      </c>
      <c r="E2" s="2655" t="s">
        <v>517</v>
      </c>
      <c r="F2" s="2654"/>
      <c r="G2" s="2656"/>
      <c r="H2" s="2657"/>
      <c r="I2" s="2715" t="s">
        <v>518</v>
      </c>
      <c r="J2" s="2654"/>
      <c r="K2" s="2654"/>
      <c r="L2" s="2654"/>
    </row>
    <row r="3" spans="1:16" ht="15">
      <c r="A3" s="3231" t="s">
        <v>519</v>
      </c>
      <c r="B3" s="3231"/>
      <c r="C3" s="3231"/>
      <c r="D3" s="2658">
        <f>'数据-基础表'!AY6</f>
        <v>42969</v>
      </c>
      <c r="E3" s="2658">
        <f>'数据-基础表'!AZ5</f>
        <v>73411.47</v>
      </c>
      <c r="F3" s="2654"/>
      <c r="G3" s="2080" t="s">
        <v>520</v>
      </c>
      <c r="H3" s="2076" t="s">
        <v>521</v>
      </c>
      <c r="I3" s="464">
        <f>ROUND('数据-基础表'!B3/'数据-基础表'!A3,2)</f>
        <v>1.71</v>
      </c>
      <c r="J3" s="2654"/>
      <c r="K3" s="2654"/>
      <c r="L3" s="2654"/>
    </row>
    <row r="4" spans="1:16" ht="15">
      <c r="A4" s="3232"/>
      <c r="B4" s="3233"/>
      <c r="C4" s="3234"/>
      <c r="D4" s="2659" t="s">
        <v>516</v>
      </c>
      <c r="E4" s="2660" t="s">
        <v>517</v>
      </c>
      <c r="F4" s="2654"/>
      <c r="G4" s="2661"/>
      <c r="H4" s="2076" t="s">
        <v>522</v>
      </c>
      <c r="I4" s="464">
        <f>ROUND(SUMIF('数据-基础表'!I9:AS9,"地上",'数据-基础表'!I5:AS5)/'数据-基础表'!A3,2)</f>
        <v>1.1299999999999999</v>
      </c>
      <c r="J4" s="2654"/>
      <c r="K4" s="2654"/>
      <c r="L4" s="2654"/>
    </row>
    <row r="5" spans="1:16">
      <c r="A5" s="2662" t="s">
        <v>523</v>
      </c>
      <c r="B5" s="3235" t="s">
        <v>245</v>
      </c>
      <c r="C5" s="3235"/>
      <c r="D5" s="2663">
        <f>ROUND($D$3*E5/$E$3,2)</f>
        <v>27311.1</v>
      </c>
      <c r="E5" s="2664">
        <f>SUMIF('数据-基础表'!$11:$11,"住宅",'数据-基础表'!$5:$5)</f>
        <v>46660.33</v>
      </c>
      <c r="F5" s="2654"/>
      <c r="G5" s="2080" t="s">
        <v>524</v>
      </c>
      <c r="H5" s="2076" t="s">
        <v>521</v>
      </c>
      <c r="I5" s="464">
        <f>ROUND(E31/D31,2)</f>
        <v>1.71</v>
      </c>
      <c r="J5" s="2654"/>
      <c r="K5" s="2654"/>
      <c r="L5" s="2654"/>
    </row>
    <row r="6" spans="1:16">
      <c r="A6" s="2665"/>
      <c r="B6" s="3235" t="s">
        <v>525</v>
      </c>
      <c r="C6" s="3235"/>
      <c r="D6" s="2663">
        <f>ROUND($D$3*E6/$E$3,2)</f>
        <v>15657.9</v>
      </c>
      <c r="E6" s="2664">
        <f>E3-E5</f>
        <v>26751.14</v>
      </c>
      <c r="F6" s="2654"/>
      <c r="G6" s="2661"/>
      <c r="H6" s="2076" t="s">
        <v>522</v>
      </c>
      <c r="I6" s="464">
        <f>ROUND(F31/D31,2)</f>
        <v>1.1299999999999999</v>
      </c>
      <c r="J6" s="2654"/>
      <c r="K6" s="2654"/>
      <c r="L6" s="2654"/>
    </row>
    <row r="7" spans="1:16" ht="15">
      <c r="A7" s="3221"/>
      <c r="B7" s="3222"/>
      <c r="C7" s="3223"/>
      <c r="D7" s="2659" t="s">
        <v>516</v>
      </c>
      <c r="E7" s="2666" t="s">
        <v>526</v>
      </c>
      <c r="F7" s="2654"/>
      <c r="G7" s="2667" t="s">
        <v>527</v>
      </c>
      <c r="H7" s="2668"/>
      <c r="I7" s="2716">
        <v>1.1299999999999999</v>
      </c>
      <c r="J7" s="2654"/>
      <c r="K7" s="2654"/>
      <c r="L7" s="2654"/>
    </row>
    <row r="8" spans="1:16">
      <c r="A8" s="2662" t="s">
        <v>528</v>
      </c>
      <c r="B8" s="2669" t="s">
        <v>529</v>
      </c>
      <c r="C8" s="2663" t="s">
        <v>530</v>
      </c>
      <c r="D8" s="2663">
        <f t="shared" ref="D8:D15" si="0">ROUND($D$3*E8/$E$3,2)</f>
        <v>28325.47</v>
      </c>
      <c r="E8" s="2670">
        <f>SUMIF('数据-基础表'!BB10:BK10,"地上",'数据-基础表'!BB5:BK5)</f>
        <v>48393.36</v>
      </c>
      <c r="F8" s="2654"/>
      <c r="G8" s="2671"/>
      <c r="H8" s="2671"/>
      <c r="I8" s="2654"/>
      <c r="J8" s="2654"/>
      <c r="K8" s="2654"/>
      <c r="L8" s="2654"/>
    </row>
    <row r="9" spans="1:16">
      <c r="A9" s="2672"/>
      <c r="B9" s="2673"/>
      <c r="C9" s="2663" t="s">
        <v>531</v>
      </c>
      <c r="D9" s="2663">
        <f t="shared" si="0"/>
        <v>0</v>
      </c>
      <c r="E9" s="2674">
        <v>0</v>
      </c>
      <c r="F9" s="2654"/>
      <c r="G9" s="2671"/>
      <c r="H9" s="2671"/>
      <c r="I9" s="2654"/>
      <c r="J9" s="2654"/>
      <c r="K9" s="2654"/>
      <c r="L9" s="2654"/>
    </row>
    <row r="10" spans="1:16">
      <c r="A10" s="2672"/>
      <c r="B10" s="2673"/>
      <c r="C10" s="2663" t="s">
        <v>532</v>
      </c>
      <c r="D10" s="2663">
        <f t="shared" si="0"/>
        <v>0</v>
      </c>
      <c r="E10" s="2670">
        <f>SUMPRODUCT(('数据-基础表'!BB10:BK10="地下")*('数据-基础表'!BB11:BK11="商业")*('数据-基础表'!BB5:BK5))</f>
        <v>0</v>
      </c>
      <c r="F10" s="2654"/>
      <c r="G10" s="2671"/>
      <c r="H10" s="2671"/>
      <c r="I10" s="2654"/>
      <c r="J10" s="2654"/>
      <c r="K10" s="2654"/>
      <c r="L10" s="2654"/>
    </row>
    <row r="11" spans="1:16">
      <c r="A11" s="2672"/>
      <c r="B11" s="2673"/>
      <c r="C11" s="2675" t="s">
        <v>533</v>
      </c>
      <c r="D11" s="2663">
        <f t="shared" si="0"/>
        <v>0</v>
      </c>
      <c r="E11" s="2670">
        <f>SUMPRODUCT(('数据-基础表'!BB10:BK10="地下")*('数据-基础表'!BB11:BK11="办公")*('数据-基础表'!BB5:BK5))+'数据-基础表'!AJ5</f>
        <v>0</v>
      </c>
      <c r="F11" s="2654"/>
      <c r="G11" s="2671"/>
      <c r="H11" s="2671"/>
      <c r="I11" s="2654"/>
      <c r="J11" s="2654"/>
      <c r="K11" s="2654"/>
      <c r="L11" s="2654"/>
    </row>
    <row r="12" spans="1:16">
      <c r="A12" s="2672"/>
      <c r="B12" s="2673"/>
      <c r="C12" s="2663" t="s">
        <v>534</v>
      </c>
      <c r="D12" s="2663">
        <f t="shared" si="0"/>
        <v>0</v>
      </c>
      <c r="E12" s="2670">
        <f>SUMPRODUCT(('数据-基础表'!BB10:BK10="地下")*('数据-基础表'!BB11:BK11="仓储")*('数据-基础表'!BB5:BK5))</f>
        <v>0</v>
      </c>
      <c r="F12" s="2654"/>
      <c r="G12" s="2671"/>
      <c r="H12" s="2671"/>
      <c r="I12" s="2654"/>
      <c r="J12" s="2654"/>
      <c r="K12" s="2654"/>
      <c r="L12" s="2654"/>
    </row>
    <row r="13" spans="1:16">
      <c r="A13" s="2672"/>
      <c r="B13" s="2673"/>
      <c r="C13" s="2675" t="s">
        <v>535</v>
      </c>
      <c r="D13" s="2663">
        <f t="shared" si="0"/>
        <v>14643.53</v>
      </c>
      <c r="E13" s="2670">
        <f>SUMPRODUCT(('数据-基础表'!BB10:BK10="地下")*('数据-基础表'!BB11:BK11="车库")*('数据-基础表'!BB5:BK5))</f>
        <v>25018.11</v>
      </c>
      <c r="F13" s="2654"/>
      <c r="G13" s="2671"/>
      <c r="H13" s="2671"/>
      <c r="I13" s="2654"/>
      <c r="J13" s="2654"/>
      <c r="K13" s="2654"/>
      <c r="L13" s="2654"/>
    </row>
    <row r="14" spans="1:16">
      <c r="A14" s="2672"/>
      <c r="B14" s="2673"/>
      <c r="C14" s="2663" t="s">
        <v>536</v>
      </c>
      <c r="D14" s="2663">
        <f t="shared" si="0"/>
        <v>0</v>
      </c>
      <c r="E14" s="2670">
        <f>SUMPRODUCT(('数据-基础表'!BB10:BK10="地下")*('数据-基础表'!BB11:BK11="车库—商业")*('数据-基础表'!BB5:BK5))</f>
        <v>0</v>
      </c>
      <c r="F14" s="2654"/>
      <c r="G14" s="2671"/>
      <c r="H14" s="2671"/>
      <c r="I14" s="2654"/>
      <c r="J14" s="2654"/>
      <c r="K14" s="2654"/>
      <c r="L14" s="2654"/>
    </row>
    <row r="15" spans="1:16">
      <c r="A15" s="2672"/>
      <c r="B15" s="2673"/>
      <c r="C15" s="2663" t="s">
        <v>537</v>
      </c>
      <c r="D15" s="2663">
        <f t="shared" si="0"/>
        <v>0</v>
      </c>
      <c r="E15" s="2670">
        <f>SUMPRODUCT(('数据-基础表'!BB10:BK10="地下")*('数据-基础表'!BB11:BK11="车库—办公")*('数据-基础表'!BB5:BK5))</f>
        <v>0</v>
      </c>
      <c r="F15" s="2654"/>
      <c r="G15" s="2671"/>
      <c r="H15" s="2671"/>
      <c r="I15" s="2654"/>
      <c r="J15" s="2654"/>
      <c r="K15" s="2654"/>
      <c r="L15" s="2654"/>
    </row>
    <row r="16" spans="1:16" ht="15">
      <c r="A16" s="2665"/>
      <c r="B16" s="2673"/>
      <c r="C16" s="2669" t="s">
        <v>538</v>
      </c>
      <c r="D16" s="2669">
        <f>SUM(D8:D15)</f>
        <v>42969</v>
      </c>
      <c r="E16" s="2676">
        <f>SUM(E8:E15)</f>
        <v>73411.47</v>
      </c>
      <c r="F16" s="2654"/>
      <c r="G16" s="2671"/>
      <c r="H16" s="2677" t="s">
        <v>539</v>
      </c>
      <c r="I16" s="2717"/>
      <c r="J16" s="2654"/>
      <c r="K16" s="3224" t="s">
        <v>540</v>
      </c>
      <c r="L16" s="3225"/>
      <c r="M16" s="3225"/>
      <c r="N16" s="3225"/>
      <c r="O16" s="3225"/>
      <c r="P16" s="3226"/>
    </row>
    <row r="17" spans="1:19" ht="15">
      <c r="A17" s="2620" t="s">
        <v>541</v>
      </c>
      <c r="B17" s="2678" t="s">
        <v>226</v>
      </c>
      <c r="C17" s="2679" t="s">
        <v>409</v>
      </c>
      <c r="D17" s="2659" t="s">
        <v>516</v>
      </c>
      <c r="E17" s="2680" t="s">
        <v>517</v>
      </c>
      <c r="F17" s="2681"/>
      <c r="G17" s="2682"/>
      <c r="H17" s="2683" t="s">
        <v>542</v>
      </c>
      <c r="I17" s="2718" t="s">
        <v>543</v>
      </c>
      <c r="J17" s="2654"/>
      <c r="K17" s="3227" t="s">
        <v>544</v>
      </c>
      <c r="L17" s="3228"/>
      <c r="M17" s="3229"/>
      <c r="N17" s="3227" t="s">
        <v>545</v>
      </c>
      <c r="O17" s="3228"/>
      <c r="P17" s="3229"/>
      <c r="R17" s="2737" t="s">
        <v>546</v>
      </c>
      <c r="S17" s="2064"/>
    </row>
    <row r="18" spans="1:19" ht="15">
      <c r="A18" s="2672"/>
      <c r="B18" s="2684"/>
      <c r="C18" s="2685"/>
      <c r="D18" s="1954"/>
      <c r="E18" s="2686" t="s">
        <v>547</v>
      </c>
      <c r="F18" s="2687" t="s">
        <v>244</v>
      </c>
      <c r="G18" s="2688" t="s">
        <v>268</v>
      </c>
      <c r="H18" s="2627" t="s">
        <v>548</v>
      </c>
      <c r="I18" s="2719" t="s">
        <v>549</v>
      </c>
      <c r="J18" s="2654"/>
      <c r="K18" s="2720" t="s">
        <v>550</v>
      </c>
      <c r="L18" s="2721" t="s">
        <v>551</v>
      </c>
      <c r="M18" s="2722" t="s">
        <v>552</v>
      </c>
      <c r="N18" s="2720" t="s">
        <v>550</v>
      </c>
      <c r="O18" s="2721" t="s">
        <v>551</v>
      </c>
      <c r="P18" s="2722" t="s">
        <v>552</v>
      </c>
      <c r="R18" s="2738" t="s">
        <v>392</v>
      </c>
      <c r="S18" s="2738" t="s">
        <v>389</v>
      </c>
    </row>
    <row r="19" spans="1:19">
      <c r="A19" s="2689"/>
      <c r="B19" s="2669" t="s">
        <v>247</v>
      </c>
      <c r="C19" s="2690" t="s">
        <v>490</v>
      </c>
      <c r="D19" s="2663">
        <f t="shared" ref="D19:D26" si="1">ROUND($D$3*E19/$E$3,2)</f>
        <v>27311.1</v>
      </c>
      <c r="E19" s="2691">
        <f t="shared" ref="E19:E26" si="2">SUM(F19:G19)</f>
        <v>46660.33</v>
      </c>
      <c r="F19" s="2692">
        <f>'数据-基础表'!I13</f>
        <v>46660.33</v>
      </c>
      <c r="G19" s="2693"/>
      <c r="H19" s="2610">
        <f>ROUND($D$3*I19/$E$3,2)</f>
        <v>0</v>
      </c>
      <c r="I19" s="2670">
        <f>IF($I$17="自定义",P19,M19)</f>
        <v>0</v>
      </c>
      <c r="J19" s="2654"/>
      <c r="K19" s="2723">
        <f t="shared" ref="K19:K26" si="3">ROUND(E$28*E19/E$27,2)</f>
        <v>0</v>
      </c>
      <c r="L19" s="2076">
        <f t="shared" ref="L19:L26" si="4">ROUND(IF(COUNTIF(C19,"*住宅*")&gt;0,E$29*E19/E$32,0),2)</f>
        <v>0</v>
      </c>
      <c r="M19" s="2724">
        <f>K19+L19</f>
        <v>0</v>
      </c>
      <c r="N19" s="2725"/>
      <c r="O19" s="2726"/>
      <c r="P19" s="2727">
        <f>N19+O19</f>
        <v>0</v>
      </c>
      <c r="R19" s="2076">
        <f t="shared" ref="R19:S26" si="5">D19+H19</f>
        <v>27311.1</v>
      </c>
      <c r="S19" s="2739">
        <f t="shared" si="5"/>
        <v>46660.33</v>
      </c>
    </row>
    <row r="20" spans="1:19">
      <c r="A20" s="2694"/>
      <c r="B20" s="2669" t="s">
        <v>247</v>
      </c>
      <c r="C20" s="2690" t="s">
        <v>492</v>
      </c>
      <c r="D20" s="2663">
        <f t="shared" si="1"/>
        <v>1014.37</v>
      </c>
      <c r="E20" s="2691">
        <f t="shared" si="2"/>
        <v>1733.03</v>
      </c>
      <c r="F20" s="2692">
        <f>'数据-基础表'!K14</f>
        <v>1733.03</v>
      </c>
      <c r="G20" s="2693"/>
      <c r="H20" s="2610">
        <f t="shared" ref="H20:H26" si="6">ROUND($D$3*I20/$E$3,2)</f>
        <v>0</v>
      </c>
      <c r="I20" s="2670">
        <f t="shared" ref="I20:I26" si="7">IF($I$17="自定义",P20,M20)</f>
        <v>0</v>
      </c>
      <c r="J20" s="2654"/>
      <c r="K20" s="2723">
        <f t="shared" si="3"/>
        <v>0</v>
      </c>
      <c r="L20" s="2076">
        <f t="shared" si="4"/>
        <v>0</v>
      </c>
      <c r="M20" s="2724">
        <f t="shared" ref="M20:M26" si="8">K20+L20</f>
        <v>0</v>
      </c>
      <c r="N20" s="2725"/>
      <c r="O20" s="2726"/>
      <c r="P20" s="2727">
        <f t="shared" ref="P20:P26" si="9">N20+O20</f>
        <v>0</v>
      </c>
      <c r="R20" s="2076">
        <f t="shared" si="5"/>
        <v>1014.37</v>
      </c>
      <c r="S20" s="2739">
        <f t="shared" si="5"/>
        <v>1733.03</v>
      </c>
    </row>
    <row r="21" spans="1:19">
      <c r="A21" s="2694"/>
      <c r="B21" s="2669" t="s">
        <v>247</v>
      </c>
      <c r="C21" s="2690" t="s">
        <v>493</v>
      </c>
      <c r="D21" s="2663">
        <f t="shared" si="1"/>
        <v>14643.53</v>
      </c>
      <c r="E21" s="2691">
        <f t="shared" si="2"/>
        <v>25018.11</v>
      </c>
      <c r="F21" s="2692"/>
      <c r="G21" s="2693">
        <f>'数据-基础表'!M15</f>
        <v>25018.11</v>
      </c>
      <c r="H21" s="2610">
        <f t="shared" si="6"/>
        <v>0</v>
      </c>
      <c r="I21" s="2670">
        <f t="shared" si="7"/>
        <v>0</v>
      </c>
      <c r="J21" s="2654"/>
      <c r="K21" s="2723">
        <f t="shared" si="3"/>
        <v>0</v>
      </c>
      <c r="L21" s="2076">
        <f t="shared" si="4"/>
        <v>0</v>
      </c>
      <c r="M21" s="2724">
        <f t="shared" si="8"/>
        <v>0</v>
      </c>
      <c r="N21" s="2725"/>
      <c r="O21" s="2726"/>
      <c r="P21" s="2727">
        <f t="shared" si="9"/>
        <v>0</v>
      </c>
      <c r="R21" s="2076">
        <f t="shared" si="5"/>
        <v>14643.53</v>
      </c>
      <c r="S21" s="2739">
        <f t="shared" si="5"/>
        <v>25018.11</v>
      </c>
    </row>
    <row r="22" spans="1:19">
      <c r="A22" s="2694"/>
      <c r="B22" s="2669" t="s">
        <v>247</v>
      </c>
      <c r="C22" s="2695"/>
      <c r="D22" s="2663">
        <f t="shared" si="1"/>
        <v>0</v>
      </c>
      <c r="E22" s="2691">
        <f t="shared" si="2"/>
        <v>0</v>
      </c>
      <c r="F22" s="2696"/>
      <c r="G22" s="2697"/>
      <c r="H22" s="2610">
        <f t="shared" si="6"/>
        <v>0</v>
      </c>
      <c r="I22" s="2670">
        <f t="shared" si="7"/>
        <v>0</v>
      </c>
      <c r="J22" s="2654"/>
      <c r="K22" s="2723">
        <f t="shared" si="3"/>
        <v>0</v>
      </c>
      <c r="L22" s="2076">
        <f t="shared" si="4"/>
        <v>0</v>
      </c>
      <c r="M22" s="2724">
        <f t="shared" si="8"/>
        <v>0</v>
      </c>
      <c r="N22" s="2725"/>
      <c r="O22" s="2726"/>
      <c r="P22" s="2727">
        <f t="shared" si="9"/>
        <v>0</v>
      </c>
      <c r="R22" s="2076">
        <f t="shared" si="5"/>
        <v>0</v>
      </c>
      <c r="S22" s="2739">
        <f t="shared" si="5"/>
        <v>0</v>
      </c>
    </row>
    <row r="23" spans="1:19">
      <c r="A23" s="2694"/>
      <c r="B23" s="2669" t="s">
        <v>247</v>
      </c>
      <c r="C23" s="2698"/>
      <c r="D23" s="2663">
        <f t="shared" si="1"/>
        <v>0</v>
      </c>
      <c r="E23" s="2691">
        <f t="shared" si="2"/>
        <v>0</v>
      </c>
      <c r="F23" s="2696"/>
      <c r="G23" s="2697"/>
      <c r="H23" s="2610">
        <f t="shared" si="6"/>
        <v>0</v>
      </c>
      <c r="I23" s="2670">
        <f t="shared" si="7"/>
        <v>0</v>
      </c>
      <c r="J23" s="2654"/>
      <c r="K23" s="2723">
        <f t="shared" si="3"/>
        <v>0</v>
      </c>
      <c r="L23" s="2076">
        <f t="shared" si="4"/>
        <v>0</v>
      </c>
      <c r="M23" s="2724">
        <f t="shared" si="8"/>
        <v>0</v>
      </c>
      <c r="N23" s="2725"/>
      <c r="O23" s="2726"/>
      <c r="P23" s="2727">
        <f t="shared" si="9"/>
        <v>0</v>
      </c>
      <c r="R23" s="2076">
        <f t="shared" si="5"/>
        <v>0</v>
      </c>
      <c r="S23" s="2739">
        <f t="shared" si="5"/>
        <v>0</v>
      </c>
    </row>
    <row r="24" spans="1:19">
      <c r="A24" s="2694"/>
      <c r="B24" s="2669" t="s">
        <v>247</v>
      </c>
      <c r="C24" s="2698"/>
      <c r="D24" s="2663">
        <f t="shared" si="1"/>
        <v>0</v>
      </c>
      <c r="E24" s="2691">
        <f t="shared" si="2"/>
        <v>0</v>
      </c>
      <c r="F24" s="2696"/>
      <c r="G24" s="2697"/>
      <c r="H24" s="2610">
        <f t="shared" si="6"/>
        <v>0</v>
      </c>
      <c r="I24" s="2670">
        <f t="shared" si="7"/>
        <v>0</v>
      </c>
      <c r="J24" s="2654"/>
      <c r="K24" s="2723">
        <f t="shared" si="3"/>
        <v>0</v>
      </c>
      <c r="L24" s="2076">
        <f t="shared" si="4"/>
        <v>0</v>
      </c>
      <c r="M24" s="2724">
        <f t="shared" si="8"/>
        <v>0</v>
      </c>
      <c r="N24" s="2725"/>
      <c r="O24" s="2726"/>
      <c r="P24" s="2727">
        <f t="shared" si="9"/>
        <v>0</v>
      </c>
      <c r="R24" s="2076">
        <f t="shared" si="5"/>
        <v>0</v>
      </c>
      <c r="S24" s="2739">
        <f t="shared" si="5"/>
        <v>0</v>
      </c>
    </row>
    <row r="25" spans="1:19">
      <c r="A25" s="2694"/>
      <c r="B25" s="2669" t="s">
        <v>247</v>
      </c>
      <c r="C25" s="2698"/>
      <c r="D25" s="2663">
        <f t="shared" si="1"/>
        <v>0</v>
      </c>
      <c r="E25" s="2691">
        <f t="shared" si="2"/>
        <v>0</v>
      </c>
      <c r="F25" s="2696"/>
      <c r="G25" s="2697"/>
      <c r="H25" s="2662">
        <f t="shared" si="6"/>
        <v>0</v>
      </c>
      <c r="I25" s="2670">
        <f t="shared" si="7"/>
        <v>0</v>
      </c>
      <c r="J25" s="2654"/>
      <c r="K25" s="2723">
        <f t="shared" si="3"/>
        <v>0</v>
      </c>
      <c r="L25" s="2076">
        <f t="shared" si="4"/>
        <v>0</v>
      </c>
      <c r="M25" s="2724">
        <f t="shared" si="8"/>
        <v>0</v>
      </c>
      <c r="N25" s="2725"/>
      <c r="O25" s="2726"/>
      <c r="P25" s="2727">
        <f t="shared" si="9"/>
        <v>0</v>
      </c>
      <c r="R25" s="2076">
        <f t="shared" si="5"/>
        <v>0</v>
      </c>
      <c r="S25" s="2739">
        <f t="shared" si="5"/>
        <v>0</v>
      </c>
    </row>
    <row r="26" spans="1:19">
      <c r="A26" s="2694"/>
      <c r="B26" s="2669" t="s">
        <v>247</v>
      </c>
      <c r="C26" s="2699"/>
      <c r="D26" s="2663">
        <f t="shared" si="1"/>
        <v>0</v>
      </c>
      <c r="E26" s="2691">
        <f t="shared" si="2"/>
        <v>0</v>
      </c>
      <c r="F26" s="2696"/>
      <c r="G26" s="2697"/>
      <c r="H26" s="2662">
        <f t="shared" si="6"/>
        <v>0</v>
      </c>
      <c r="I26" s="2670">
        <f t="shared" si="7"/>
        <v>0</v>
      </c>
      <c r="J26" s="2654"/>
      <c r="K26" s="2728">
        <f t="shared" si="3"/>
        <v>0</v>
      </c>
      <c r="L26" s="2080">
        <f t="shared" si="4"/>
        <v>0</v>
      </c>
      <c r="M26" s="2704">
        <f t="shared" si="8"/>
        <v>0</v>
      </c>
      <c r="N26" s="2729"/>
      <c r="O26" s="2730"/>
      <c r="P26" s="2731">
        <f t="shared" si="9"/>
        <v>0</v>
      </c>
      <c r="R26" s="2076">
        <f t="shared" si="5"/>
        <v>0</v>
      </c>
      <c r="S26" s="2739">
        <f t="shared" si="5"/>
        <v>0</v>
      </c>
    </row>
    <row r="27" spans="1:19" ht="15">
      <c r="A27" s="2694"/>
      <c r="B27" s="2663"/>
      <c r="C27" s="2116" t="s">
        <v>538</v>
      </c>
      <c r="D27" s="2691">
        <f>SUM(D19:D26)</f>
        <v>42969</v>
      </c>
      <c r="E27" s="2700">
        <f>IF(SUM(E19:E26)='数据-基础表'!BA5,SUM(E19:E26),IF(F27="地上面积有误","面积有误","地下面积有误"))</f>
        <v>73411.47</v>
      </c>
      <c r="F27" s="2691">
        <f>IF(SUM(F19:F26)=E8,SUM(F19:F26),"地上面积有误")</f>
        <v>48393.36</v>
      </c>
      <c r="G27" s="2664">
        <f>SUM(G19:G26)</f>
        <v>25018.11</v>
      </c>
      <c r="H27" s="2701">
        <f>SUM(H19:H26)</f>
        <v>0</v>
      </c>
      <c r="I27" s="2732">
        <f>SUM(I19:I26)</f>
        <v>0</v>
      </c>
      <c r="J27" s="2654"/>
      <c r="K27" s="2733">
        <f>SUM(K19:K26)</f>
        <v>0</v>
      </c>
      <c r="L27" s="2734">
        <f>SUM(L19:L26)</f>
        <v>0</v>
      </c>
      <c r="M27" s="2735">
        <f>SUM(M19:M26)</f>
        <v>0</v>
      </c>
      <c r="N27" s="2733">
        <f t="shared" ref="N27:P27" si="10">SUM(N19:N26)</f>
        <v>0</v>
      </c>
      <c r="O27" s="2734">
        <f t="shared" si="10"/>
        <v>0</v>
      </c>
      <c r="P27" s="2736">
        <f t="shared" si="10"/>
        <v>0</v>
      </c>
      <c r="R27" s="2740">
        <f>IF(SUM(R19:R26)=$D$3,SUM(R19:R26),SUM(R19:R26)&amp;"误差"&amp;ROUND(SUM(R19:R26)-$D$3,2))</f>
        <v>42969</v>
      </c>
      <c r="S27" s="2076">
        <f>IF(SUM(S19:S26)=$E$3,SUM(S19:S26),SUM(S19:S26)&amp;"误差"&amp;ROUND(SUM(S19:S26)-E3,2))</f>
        <v>73411.47</v>
      </c>
    </row>
    <row r="28" spans="1:19">
      <c r="A28" s="2694"/>
      <c r="B28" s="2669" t="s">
        <v>259</v>
      </c>
      <c r="C28" s="2630" t="s">
        <v>553</v>
      </c>
      <c r="D28" s="2663">
        <f>ROUND($D$3*E28/$E$3,2)</f>
        <v>0</v>
      </c>
      <c r="E28" s="2691">
        <f>SUM(F28:G28)</f>
        <v>0</v>
      </c>
      <c r="F28" s="2064">
        <f>'数据-基础表'!BQ5+'数据-基础表'!BS5</f>
        <v>0</v>
      </c>
      <c r="G28" s="2702">
        <f>'数据-基础表'!BR5+'数据-基础表'!BT5</f>
        <v>0</v>
      </c>
      <c r="H28" s="2654"/>
      <c r="I28" s="2654"/>
      <c r="J28" s="2654"/>
      <c r="K28" s="2654"/>
      <c r="L28" s="2654"/>
    </row>
    <row r="29" spans="1:19">
      <c r="A29" s="2694"/>
      <c r="B29" s="2669" t="s">
        <v>259</v>
      </c>
      <c r="C29" s="2703" t="s">
        <v>554</v>
      </c>
      <c r="D29" s="2663">
        <f>ROUND($D$3*E29/$E$3,2)</f>
        <v>0</v>
      </c>
      <c r="E29" s="2691">
        <f>SUM(F29:G29)</f>
        <v>0</v>
      </c>
      <c r="F29" s="2064">
        <f>'数据-基础表'!BM5+'数据-基础表'!BO5</f>
        <v>0</v>
      </c>
      <c r="G29" s="2704">
        <f>'数据-基础表'!BN5+'数据-基础表'!BP5</f>
        <v>0</v>
      </c>
      <c r="H29" s="2654"/>
      <c r="I29" s="2654"/>
      <c r="J29" s="2654"/>
      <c r="K29" s="2654"/>
      <c r="L29" s="2654"/>
    </row>
    <row r="30" spans="1:19">
      <c r="A30" s="2694"/>
      <c r="B30" s="2663"/>
      <c r="C30" s="2705" t="s">
        <v>538</v>
      </c>
      <c r="D30" s="2691">
        <f>SUM(D28:D29)</f>
        <v>0</v>
      </c>
      <c r="E30" s="2691">
        <f>SUM(E28:E29)</f>
        <v>0</v>
      </c>
      <c r="F30" s="2691">
        <f>SUM(F28:F29)</f>
        <v>0</v>
      </c>
      <c r="G30" s="2664">
        <f>SUM(G28:G29)</f>
        <v>0</v>
      </c>
      <c r="H30" s="2654"/>
      <c r="I30" s="2654"/>
      <c r="J30" s="2654"/>
      <c r="K30" s="2654"/>
      <c r="L30" s="2654"/>
    </row>
    <row r="31" spans="1:19" ht="32.25" customHeight="1">
      <c r="A31" s="2706"/>
      <c r="B31" s="2707" t="s">
        <v>555</v>
      </c>
      <c r="C31" s="2708" t="s">
        <v>556</v>
      </c>
      <c r="D31" s="2709">
        <f>D27+D30</f>
        <v>42969</v>
      </c>
      <c r="E31" s="2709">
        <f>E27+E30</f>
        <v>73411.47</v>
      </c>
      <c r="F31" s="2710">
        <f>F27+F30</f>
        <v>48393.36</v>
      </c>
      <c r="G31" s="2711">
        <f>G27+G30</f>
        <v>25018.11</v>
      </c>
      <c r="H31" s="2654"/>
      <c r="I31" s="2654"/>
      <c r="J31" s="2654"/>
      <c r="K31" s="2654"/>
      <c r="L31" s="2654"/>
    </row>
    <row r="32" spans="1:19">
      <c r="A32" s="2654"/>
      <c r="B32" s="2712" t="s">
        <v>557</v>
      </c>
      <c r="C32" s="2713"/>
      <c r="D32" s="2661"/>
      <c r="E32" s="2661">
        <f>SUMIF(C19:C26,"*住宅*",E19:E26)</f>
        <v>46660.33</v>
      </c>
      <c r="F32" s="2661"/>
      <c r="G32" s="2661"/>
    </row>
    <row r="33" spans="4:4">
      <c r="D33" s="27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N6" activePane="bottomRight" state="frozen"/>
      <selection pane="topRight"/>
      <selection pane="bottomLeft"/>
      <selection pane="bottomRight" activeCell="U8" sqref="U8"/>
    </sheetView>
  </sheetViews>
  <sheetFormatPr defaultColWidth="13.75" defaultRowHeight="12.75"/>
  <cols>
    <col min="1" max="1" width="20.875" style="2467" customWidth="1"/>
    <col min="2" max="3" width="12" style="2468" customWidth="1"/>
    <col min="4" max="4" width="9.125" style="2469" customWidth="1"/>
    <col min="5" max="5" width="17.5" style="2468" customWidth="1"/>
    <col min="6" max="10" width="8.875" style="2468" customWidth="1"/>
    <col min="11" max="12" width="12.375" style="76" customWidth="1"/>
    <col min="13" max="13" width="8.625" style="2468" customWidth="1"/>
    <col min="14" max="14" width="9.75" style="2468" customWidth="1"/>
    <col min="15" max="16" width="9.625" style="2468" customWidth="1"/>
    <col min="17" max="17" width="10.875" style="2468" customWidth="1"/>
    <col min="18" max="19" width="12.5" style="2468" customWidth="1"/>
    <col min="20" max="20" width="12.125" style="2468" customWidth="1"/>
    <col min="21" max="21" width="7.5" style="2468" customWidth="1"/>
    <col min="22" max="22" width="6.375" style="2468" customWidth="1"/>
    <col min="23" max="24" width="6.75" style="2468" customWidth="1"/>
    <col min="25" max="25" width="8.125" style="2468" customWidth="1"/>
    <col min="26" max="30" width="6.75" style="2468" customWidth="1"/>
    <col min="31" max="31" width="6.5" style="2468" customWidth="1"/>
    <col min="32" max="34" width="7.25" style="2468" customWidth="1"/>
    <col min="35" max="39" width="8" style="2468" customWidth="1"/>
    <col min="40" max="41" width="13.75" style="2466"/>
    <col min="42" max="42" width="13.75" style="2466" hidden="1" customWidth="1"/>
    <col min="43" max="83" width="13.75" style="2466"/>
    <col min="84" max="16384" width="13.75" style="2468"/>
  </cols>
  <sheetData>
    <row r="1" spans="1:83" ht="18.75">
      <c r="A1" s="2470" t="s">
        <v>558</v>
      </c>
      <c r="B1" s="2471"/>
      <c r="C1" s="823"/>
      <c r="D1" s="247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63" customFormat="1" ht="15">
      <c r="A2" s="2473" t="s">
        <v>559</v>
      </c>
      <c r="B2" s="2474">
        <f>项目基本情况!D3</f>
        <v>43600</v>
      </c>
      <c r="C2" s="2475"/>
      <c r="D2" s="2476"/>
      <c r="E2" s="2475"/>
      <c r="F2" s="2475"/>
      <c r="G2" s="2475"/>
      <c r="H2" s="2475"/>
      <c r="I2" s="2475"/>
      <c r="J2" s="2475"/>
      <c r="K2" s="456"/>
      <c r="L2" s="456"/>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634"/>
      <c r="AO2" s="2634"/>
      <c r="AP2" s="2634"/>
      <c r="AQ2" s="2634"/>
      <c r="AR2" s="2634"/>
      <c r="AS2" s="2634"/>
      <c r="AT2" s="2634"/>
      <c r="AU2" s="2634"/>
      <c r="AV2" s="2634"/>
      <c r="AW2" s="2634"/>
      <c r="AX2" s="2634"/>
      <c r="AY2" s="2634"/>
      <c r="AZ2" s="2634"/>
      <c r="BA2" s="2634"/>
      <c r="BB2" s="2634"/>
      <c r="BC2" s="2634"/>
      <c r="BD2" s="2634"/>
      <c r="BE2" s="2634"/>
      <c r="BF2" s="2634"/>
      <c r="BG2" s="2634"/>
      <c r="BH2" s="2634"/>
      <c r="BI2" s="2634"/>
      <c r="BJ2" s="2634"/>
      <c r="BK2" s="2634"/>
      <c r="BL2" s="2634"/>
      <c r="BM2" s="2634"/>
      <c r="BN2" s="2634"/>
      <c r="BO2" s="2634"/>
      <c r="BP2" s="2634"/>
      <c r="BQ2" s="2634"/>
      <c r="BR2" s="2634"/>
      <c r="BS2" s="2634"/>
      <c r="BT2" s="2634"/>
      <c r="BU2" s="2634"/>
      <c r="BV2" s="2634"/>
      <c r="BW2" s="2634"/>
      <c r="BX2" s="2634"/>
      <c r="BY2" s="2634"/>
      <c r="BZ2" s="2634"/>
      <c r="CA2" s="2634"/>
      <c r="CB2" s="2634"/>
      <c r="CC2" s="2634"/>
      <c r="CD2" s="2634"/>
      <c r="CE2" s="2634"/>
    </row>
    <row r="3" spans="1:83" s="2463" customFormat="1" ht="14.25">
      <c r="A3" s="2477"/>
      <c r="B3" s="2478"/>
      <c r="C3" s="2475"/>
      <c r="D3" s="2476"/>
      <c r="E3" s="2475"/>
      <c r="F3" s="2475"/>
      <c r="G3" s="2475"/>
      <c r="H3" s="2475"/>
      <c r="I3" s="2475"/>
      <c r="J3" s="2475"/>
      <c r="K3" s="456"/>
      <c r="L3" s="456"/>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row>
    <row r="4" spans="1:83" s="2463" customFormat="1" ht="14.25">
      <c r="A4" s="2479" t="s">
        <v>560</v>
      </c>
      <c r="B4" s="2480"/>
      <c r="C4" s="2481"/>
      <c r="D4" s="2482"/>
      <c r="E4" s="2483" t="s">
        <v>561</v>
      </c>
      <c r="F4" s="2481"/>
      <c r="G4" s="2481"/>
      <c r="H4" s="2481"/>
      <c r="I4" s="2481"/>
      <c r="J4" s="2570"/>
      <c r="K4" s="2571"/>
      <c r="L4" s="2572"/>
      <c r="M4" s="2481"/>
      <c r="N4" s="2483" t="s">
        <v>562</v>
      </c>
      <c r="O4" s="2481"/>
      <c r="P4" s="2481"/>
      <c r="Q4" s="2481"/>
      <c r="R4" s="2481"/>
      <c r="S4" s="2570"/>
      <c r="T4" s="2593" t="str">
        <f>'数据-汇总表'!I17</f>
        <v>按面积比例</v>
      </c>
      <c r="U4" s="2480" t="s">
        <v>563</v>
      </c>
      <c r="V4" s="2481"/>
      <c r="W4" s="2481"/>
      <c r="X4" s="2481"/>
      <c r="Y4" s="2570"/>
      <c r="Z4" s="2619" t="s">
        <v>564</v>
      </c>
      <c r="AA4" s="2619"/>
      <c r="AB4" s="2619"/>
      <c r="AC4" s="2619"/>
      <c r="AD4" s="2619"/>
      <c r="AE4" s="2620" t="s">
        <v>565</v>
      </c>
      <c r="AF4" s="2619"/>
      <c r="AG4" s="2635"/>
      <c r="AH4" s="2480"/>
      <c r="AI4" s="2481"/>
      <c r="AJ4" s="2481"/>
      <c r="AK4" s="2481"/>
      <c r="AL4" s="2481"/>
      <c r="AM4" s="2570"/>
      <c r="AN4" s="2634"/>
      <c r="AO4" s="2634"/>
      <c r="AP4" s="2634"/>
      <c r="AQ4" s="2634"/>
      <c r="AR4" s="2634"/>
      <c r="AS4" s="2634"/>
      <c r="AT4" s="2634"/>
      <c r="AU4" s="2634"/>
      <c r="AV4" s="2634"/>
      <c r="AW4" s="2634"/>
      <c r="AX4" s="2634"/>
      <c r="AY4" s="2634"/>
      <c r="AZ4" s="2634"/>
      <c r="BA4" s="2634"/>
      <c r="BB4" s="2634"/>
      <c r="BC4" s="2634"/>
      <c r="BD4" s="2634"/>
      <c r="BE4" s="2634"/>
      <c r="BF4" s="2634"/>
      <c r="BG4" s="2634"/>
      <c r="BH4" s="2634"/>
      <c r="BI4" s="2634"/>
      <c r="BJ4" s="2634"/>
      <c r="BK4" s="2634"/>
      <c r="BL4" s="2634"/>
      <c r="BM4" s="2634"/>
      <c r="BN4" s="2634"/>
      <c r="BO4" s="2634"/>
      <c r="BP4" s="2634"/>
      <c r="BQ4" s="2634"/>
      <c r="BR4" s="2634"/>
      <c r="BS4" s="2634"/>
      <c r="BT4" s="2634"/>
      <c r="BU4" s="2634"/>
      <c r="BV4" s="2634"/>
      <c r="BW4" s="2634"/>
      <c r="BX4" s="2634"/>
      <c r="BY4" s="2634"/>
      <c r="BZ4" s="2634"/>
      <c r="CA4" s="2634"/>
      <c r="CB4" s="2634"/>
      <c r="CC4" s="2634"/>
      <c r="CD4" s="2634"/>
      <c r="CE4" s="2634"/>
    </row>
    <row r="5" spans="1:83" s="2464" customFormat="1" ht="40.5">
      <c r="A5" s="2484" t="s">
        <v>409</v>
      </c>
      <c r="B5" s="2485" t="s">
        <v>566</v>
      </c>
      <c r="C5" s="2486" t="s">
        <v>567</v>
      </c>
      <c r="D5" s="2487" t="s">
        <v>568</v>
      </c>
      <c r="E5" s="2488" t="s">
        <v>569</v>
      </c>
      <c r="F5" s="2489" t="s">
        <v>570</v>
      </c>
      <c r="G5" s="2488" t="s">
        <v>571</v>
      </c>
      <c r="H5" s="2488" t="s">
        <v>572</v>
      </c>
      <c r="I5" s="2488" t="s">
        <v>573</v>
      </c>
      <c r="J5" s="2573" t="s">
        <v>574</v>
      </c>
      <c r="K5" s="2574" t="s">
        <v>575</v>
      </c>
      <c r="L5" s="2575" t="s">
        <v>576</v>
      </c>
      <c r="M5" s="2576" t="s">
        <v>577</v>
      </c>
      <c r="N5" s="2577" t="s">
        <v>578</v>
      </c>
      <c r="O5" s="2575" t="s">
        <v>579</v>
      </c>
      <c r="P5" s="2578" t="s">
        <v>580</v>
      </c>
      <c r="Q5" s="249" t="s">
        <v>581</v>
      </c>
      <c r="R5" s="2594" t="s">
        <v>582</v>
      </c>
      <c r="S5" s="2595" t="s">
        <v>583</v>
      </c>
      <c r="T5" s="2596" t="s">
        <v>584</v>
      </c>
      <c r="U5" s="2597" t="s">
        <v>585</v>
      </c>
      <c r="V5" s="2488" t="s">
        <v>586</v>
      </c>
      <c r="W5" s="2488" t="s">
        <v>587</v>
      </c>
      <c r="X5" s="2598"/>
      <c r="Y5" s="507" t="s">
        <v>588</v>
      </c>
      <c r="Z5" s="2621" t="s">
        <v>585</v>
      </c>
      <c r="AA5" s="2488" t="s">
        <v>586</v>
      </c>
      <c r="AB5" s="2488" t="s">
        <v>587</v>
      </c>
      <c r="AC5" s="2622"/>
      <c r="AD5" s="284" t="s">
        <v>588</v>
      </c>
      <c r="AE5" s="2623" t="s">
        <v>589</v>
      </c>
      <c r="AF5" s="2488" t="s">
        <v>590</v>
      </c>
      <c r="AG5" s="507" t="s">
        <v>591</v>
      </c>
      <c r="AH5" s="2622" t="s">
        <v>592</v>
      </c>
      <c r="AI5" s="2621" t="s">
        <v>593</v>
      </c>
      <c r="AJ5" s="2621" t="s">
        <v>594</v>
      </c>
      <c r="AK5" s="2488" t="s">
        <v>595</v>
      </c>
      <c r="AL5" s="2488" t="s">
        <v>596</v>
      </c>
      <c r="AM5" s="284" t="s">
        <v>597</v>
      </c>
      <c r="AN5" s="2636" t="s">
        <v>598</v>
      </c>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row>
    <row r="6" spans="1:83" s="2463" customFormat="1" ht="14.25">
      <c r="A6" s="2490" t="str">
        <f>'数据-汇总表'!C19</f>
        <v>地上住宅</v>
      </c>
      <c r="B6" s="2491" t="str">
        <f>IF(A6=0,"","经营性")</f>
        <v>经营性</v>
      </c>
      <c r="C6" s="2492" t="s">
        <v>376</v>
      </c>
      <c r="D6" s="2493">
        <f>SUMIF(项目基本情况!D$15:I$15,C6,项目基本情况!D$18:I$18)</f>
        <v>70</v>
      </c>
      <c r="E6" s="2494">
        <f>IF(B6="","",SUMIF(项目基本情况!D$15:I$15,C6,项目基本情况!D$17:I$17))</f>
        <v>68994</v>
      </c>
      <c r="F6" s="2495">
        <f>SUMIF(项目基本情况!D$15:I$15,C6,项目基本情况!D$19:I$19)</f>
        <v>69.569999999999993</v>
      </c>
      <c r="G6" s="2496">
        <f>IF(ISERROR(ROUND(POWER(1+H6,D6-F6)*(POWER(1+H6,F6)-1)/(POWER(1+H6,D6)-1),3)),0,ROUND(POWER(1+H6,D6-F6)*(POWER(1+H6,F6)-1)/(POWER(1+H6,D6)-1),3))</f>
        <v>0.999</v>
      </c>
      <c r="H6" s="2497">
        <v>4.4999999999999998E-2</v>
      </c>
      <c r="I6" s="2497">
        <v>0.05</v>
      </c>
      <c r="J6" s="2498">
        <v>0.08</v>
      </c>
      <c r="K6" s="2579">
        <f>SUMIF('数据-汇总表'!C$19:C$33,'数据-取费表'!A6,'数据-汇总表'!E$19:E$33)</f>
        <v>46660.33</v>
      </c>
      <c r="L6" s="2580">
        <v>2000</v>
      </c>
      <c r="M6" s="2581">
        <f t="shared" ref="M6:M14" si="0">ROUND(K6*L6/10000,0)</f>
        <v>9332</v>
      </c>
      <c r="N6" s="2582">
        <v>0</v>
      </c>
      <c r="O6" s="2581">
        <f>IF($N$5="成新度","——",ROUND(M6*N6,0))</f>
        <v>0</v>
      </c>
      <c r="P6" s="2583">
        <f>IF($N$5="成新度","——",M6-O6)</f>
        <v>9332</v>
      </c>
      <c r="Q6" s="2599">
        <v>0.1</v>
      </c>
      <c r="R6" s="2579">
        <f>SUMIF('数据-汇总表'!C$19:C$33,A6,'数据-汇总表'!R$19:R$33)</f>
        <v>27311.1</v>
      </c>
      <c r="S6" s="2600">
        <f>IF('数据-汇总表'!$I$17="按面积比例",SUMIF('数据-汇总表'!C$19:C$33,A6,'数据-汇总表'!K$19:K$33),SUMIF('数据-汇总表'!C$19:C$33,A6,'数据-汇总表'!N$19:N$33))</f>
        <v>0</v>
      </c>
      <c r="T6" s="2601" t="str">
        <f>IF($T$4="按面积比例",IF(ISERROR(ROUND($M$14*S6/S$16,0)),"0",ROUND($M$14*S6/S$16,0)),"需自行计算录入")</f>
        <v>0</v>
      </c>
      <c r="U6" s="2602"/>
      <c r="V6" s="2603"/>
      <c r="W6" s="2603"/>
      <c r="X6" s="2604"/>
      <c r="Y6" s="2624"/>
      <c r="Z6" s="2625"/>
      <c r="AA6" s="2498"/>
      <c r="AB6" s="2498"/>
      <c r="AC6" s="2607"/>
      <c r="AD6" s="2626"/>
      <c r="AE6" s="2627">
        <f ca="1">IF(AN6="",0,SUMIF(INDIRECT("'"&amp;AN6&amp;"'"&amp;"!E:E"),$AE$5,INDIRECT("'"&amp;AN6&amp;"'"&amp;"!F:F")))</f>
        <v>0</v>
      </c>
      <c r="AF6" s="2061"/>
      <c r="AG6" s="2637">
        <f>IF(AF6="",0,AE6-AF6)</f>
        <v>0</v>
      </c>
      <c r="AH6" s="2061"/>
      <c r="AI6" s="2638"/>
      <c r="AJ6" s="2639"/>
      <c r="AK6" s="2640"/>
      <c r="AL6" s="2641"/>
      <c r="AM6" s="2642"/>
      <c r="AN6" s="2643"/>
      <c r="AO6" s="2634"/>
      <c r="AP6" s="2478">
        <f>ROUND(1-1/(1+H6)^F6,3)</f>
        <v>0.95299999999999996</v>
      </c>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row>
    <row r="7" spans="1:83" s="2463" customFormat="1" ht="14.25">
      <c r="A7" s="2490" t="str">
        <f>'数据-汇总表'!C20</f>
        <v>地上商业</v>
      </c>
      <c r="B7" s="2491" t="str">
        <f t="shared" ref="B7:B13" si="1">IF(A7=0,"","经营性")</f>
        <v>经营性</v>
      </c>
      <c r="C7" s="2492" t="s">
        <v>377</v>
      </c>
      <c r="D7" s="2493">
        <f>SUMIF(项目基本情况!D$15:I$15,C7,项目基本情况!D$18:I$18)</f>
        <v>40</v>
      </c>
      <c r="E7" s="2494">
        <f>IF(B7="","",SUMIF(项目基本情况!D$15:I$15,C7,项目基本情况!D$17:I$17))</f>
        <v>58036</v>
      </c>
      <c r="F7" s="2495">
        <f>SUMIF(项目基本情况!D$15:I$15,C7,项目基本情况!D$19:I$19)</f>
        <v>39.549999999999997</v>
      </c>
      <c r="G7" s="2496">
        <f t="shared" ref="G7:G13" si="2">IF(ISERROR(ROUND(POWER(1+H7,D7-F7)*(POWER(1+H7,F7)-1)/(POWER(1+H7,D7)-1),3)),0,ROUND(POWER(1+H7,D7-F7)*(POWER(1+H7,F7)-1)/(POWER(1+H7,D7)-1),3))</f>
        <v>0.996</v>
      </c>
      <c r="H7" s="2497">
        <v>0.05</v>
      </c>
      <c r="I7" s="2497">
        <v>5.5E-2</v>
      </c>
      <c r="J7" s="2498">
        <v>0.08</v>
      </c>
      <c r="K7" s="2579">
        <f>SUMIF('数据-汇总表'!C$19:C$33,'数据-取费表'!A7,'数据-汇总表'!E$19:E$33)</f>
        <v>1733.03</v>
      </c>
      <c r="L7" s="2580">
        <v>2200</v>
      </c>
      <c r="M7" s="2581">
        <f t="shared" si="0"/>
        <v>381</v>
      </c>
      <c r="N7" s="2582">
        <v>0</v>
      </c>
      <c r="O7" s="2581">
        <f t="shared" ref="O7:O14" si="3">IF($N$5="成新度","——",ROUND(M7*N7,0))</f>
        <v>0</v>
      </c>
      <c r="P7" s="2583">
        <f t="shared" ref="P7:P14" si="4">IF($N$5="成新度","——",M7-O7)</f>
        <v>381</v>
      </c>
      <c r="Q7" s="2599">
        <v>0</v>
      </c>
      <c r="R7" s="2579">
        <f>SUMIF('数据-汇总表'!C$19:C$33,A7,'数据-汇总表'!R$19:R$33)</f>
        <v>1014.37</v>
      </c>
      <c r="S7" s="2600">
        <f>IF('数据-汇总表'!$I$17="按面积比例",SUMIF('数据-汇总表'!C$19:C$33,A7,'数据-汇总表'!K$19:K$33),SUMIF('数据-汇总表'!C$19:C$33,A7,'数据-汇总表'!N$19:N$33))</f>
        <v>0</v>
      </c>
      <c r="T7" s="2601" t="str">
        <f t="shared" ref="T7:T13" si="5">IF($T$4="按面积比例",IF(ISERROR(ROUND($M$14*S7/S$16,0)),"0",ROUND($M$14*S7/S$16,0)),"需自行计算录入")</f>
        <v>0</v>
      </c>
      <c r="U7" s="2602"/>
      <c r="V7" s="2603"/>
      <c r="W7" s="2603"/>
      <c r="X7" s="2604"/>
      <c r="Y7" s="2624"/>
      <c r="Z7" s="2625"/>
      <c r="AA7" s="2498"/>
      <c r="AB7" s="2498"/>
      <c r="AC7" s="2607"/>
      <c r="AD7" s="2626"/>
      <c r="AE7" s="2627">
        <f t="shared" ref="AE7:AE13" ca="1" si="6">IF(AN7="",0,SUMIF(INDIRECT("'"&amp;AN7&amp;"'"&amp;"!E:E"),$AE$5,INDIRECT("'"&amp;AN7&amp;"'"&amp;"!F:F")))</f>
        <v>0</v>
      </c>
      <c r="AF7" s="2061"/>
      <c r="AG7" s="2637">
        <f t="shared" ref="AG7:AG13" si="7">IF(AF7="",0,AE7-AF7)</f>
        <v>0</v>
      </c>
      <c r="AH7" s="2061"/>
      <c r="AI7" s="2638"/>
      <c r="AJ7" s="2639"/>
      <c r="AK7" s="2640"/>
      <c r="AL7" s="2641"/>
      <c r="AM7" s="2644"/>
      <c r="AN7" s="2643"/>
      <c r="AO7" s="2634"/>
      <c r="AP7" s="2478">
        <f t="shared" ref="AP7:AP13" si="8">ROUND(1-1/(1+H7)^F7,3)</f>
        <v>0.85499999999999998</v>
      </c>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row>
    <row r="8" spans="1:83" s="2463" customFormat="1" ht="14.25">
      <c r="A8" s="2490" t="str">
        <f>'数据-汇总表'!C21</f>
        <v>地下车库</v>
      </c>
      <c r="B8" s="2491" t="str">
        <f t="shared" si="1"/>
        <v>经营性</v>
      </c>
      <c r="C8" s="2492" t="s">
        <v>379</v>
      </c>
      <c r="D8" s="2493">
        <f>SUMIF(项目基本情况!D$15:I$15,C8,项目基本情况!D$18:I$18)</f>
        <v>50</v>
      </c>
      <c r="E8" s="2494">
        <f>IF(B8="","",SUMIF(项目基本情况!D$15:I$15,C8,项目基本情况!D$17:I$17))</f>
        <v>61689</v>
      </c>
      <c r="F8" s="2495">
        <f>SUMIF(项目基本情况!D$15:I$15,C8,项目基本情况!D$19:I$19)</f>
        <v>49.55</v>
      </c>
      <c r="G8" s="2496">
        <f t="shared" si="2"/>
        <v>0.997</v>
      </c>
      <c r="H8" s="2497">
        <v>0.04</v>
      </c>
      <c r="I8" s="2497">
        <v>4.4999999999999998E-2</v>
      </c>
      <c r="J8" s="2498">
        <v>0.08</v>
      </c>
      <c r="K8" s="2579">
        <f>SUMIF('数据-汇总表'!C$19:C$33,'数据-取费表'!A8,'数据-汇总表'!E$19:E$33)</f>
        <v>25018.11</v>
      </c>
      <c r="L8" s="2580">
        <v>1600</v>
      </c>
      <c r="M8" s="2581">
        <f t="shared" si="0"/>
        <v>4003</v>
      </c>
      <c r="N8" s="2582">
        <v>0</v>
      </c>
      <c r="O8" s="2581">
        <f t="shared" si="3"/>
        <v>0</v>
      </c>
      <c r="P8" s="2583">
        <f t="shared" si="4"/>
        <v>4003</v>
      </c>
      <c r="Q8" s="2599">
        <v>0.05</v>
      </c>
      <c r="R8" s="2579">
        <f>SUMIF('数据-汇总表'!C$19:C$33,A8,'数据-汇总表'!R$19:R$33)</f>
        <v>14643.53</v>
      </c>
      <c r="S8" s="2600">
        <f>IF('数据-汇总表'!$I$17="按面积比例",SUMIF('数据-汇总表'!C$19:C$33,A8,'数据-汇总表'!K$19:K$33),SUMIF('数据-汇总表'!C$19:C$33,A8,'数据-汇总表'!N$19:N$33))</f>
        <v>0</v>
      </c>
      <c r="T8" s="2601" t="str">
        <f t="shared" si="5"/>
        <v>0</v>
      </c>
      <c r="U8" s="3447">
        <v>550</v>
      </c>
      <c r="V8" s="2603">
        <v>2.5000000000000001E-2</v>
      </c>
      <c r="W8" s="2603">
        <v>0.1</v>
      </c>
      <c r="X8" s="2604"/>
      <c r="Y8" s="2624">
        <v>1</v>
      </c>
      <c r="Z8" s="2625"/>
      <c r="AA8" s="2498"/>
      <c r="AB8" s="2498"/>
      <c r="AC8" s="2607"/>
      <c r="AD8" s="2626"/>
      <c r="AE8" s="2627">
        <f t="shared" ca="1" si="6"/>
        <v>47.55</v>
      </c>
      <c r="AF8" s="2061"/>
      <c r="AG8" s="2637">
        <f t="shared" si="7"/>
        <v>0</v>
      </c>
      <c r="AH8" s="3458">
        <v>464</v>
      </c>
      <c r="AI8" s="2638">
        <v>12</v>
      </c>
      <c r="AJ8" s="2639"/>
      <c r="AK8" s="3448">
        <v>1.4999999999999999E-2</v>
      </c>
      <c r="AL8" s="3449">
        <v>1.5E-3</v>
      </c>
      <c r="AM8" s="3450">
        <v>0.01</v>
      </c>
      <c r="AN8" s="2643" t="s">
        <v>599</v>
      </c>
      <c r="AO8" s="2634"/>
      <c r="AP8" s="2478">
        <f t="shared" si="8"/>
        <v>0.85699999999999998</v>
      </c>
      <c r="AQ8" s="2634"/>
      <c r="AR8" s="2634"/>
      <c r="AS8" s="2634"/>
      <c r="AT8" s="2634"/>
      <c r="AU8" s="2634"/>
      <c r="AV8" s="2634"/>
      <c r="AW8" s="2634"/>
      <c r="AX8" s="2634"/>
      <c r="AY8" s="2634"/>
      <c r="AZ8" s="2634"/>
      <c r="BA8" s="2634"/>
      <c r="BB8" s="2634"/>
      <c r="BC8" s="2634"/>
      <c r="BD8" s="2634"/>
      <c r="BE8" s="2634"/>
      <c r="BF8" s="2634"/>
      <c r="BG8" s="2634"/>
      <c r="BH8" s="2634"/>
      <c r="BI8" s="2634"/>
      <c r="BJ8" s="2634"/>
      <c r="BK8" s="2634"/>
      <c r="BL8" s="2634"/>
      <c r="BM8" s="2634"/>
      <c r="BN8" s="2634"/>
      <c r="BO8" s="2634"/>
      <c r="BP8" s="2634"/>
      <c r="BQ8" s="2634"/>
      <c r="BR8" s="2634"/>
      <c r="BS8" s="2634"/>
      <c r="BT8" s="2634"/>
      <c r="BU8" s="2634"/>
      <c r="BV8" s="2634"/>
      <c r="BW8" s="2634"/>
      <c r="BX8" s="2634"/>
      <c r="BY8" s="2634"/>
      <c r="BZ8" s="2634"/>
      <c r="CA8" s="2634"/>
      <c r="CB8" s="2634"/>
      <c r="CC8" s="2634"/>
      <c r="CD8" s="2634"/>
      <c r="CE8" s="2634"/>
    </row>
    <row r="9" spans="1:83" s="2463" customFormat="1" ht="14.25">
      <c r="A9" s="2490">
        <f>'数据-汇总表'!C22</f>
        <v>0</v>
      </c>
      <c r="B9" s="2491" t="str">
        <f t="shared" si="1"/>
        <v/>
      </c>
      <c r="C9" s="2492"/>
      <c r="D9" s="2493">
        <f>SUMIF(项目基本情况!D$15:I$15,C9,项目基本情况!D$18:I$18)</f>
        <v>0</v>
      </c>
      <c r="E9" s="2494" t="str">
        <f>IF(B9="","",SUMIF(项目基本情况!D$15:I$15,C9,项目基本情况!D$17:I$17))</f>
        <v/>
      </c>
      <c r="F9" s="2495">
        <f>SUMIF(项目基本情况!D$15:I$15,C9,项目基本情况!D$19:I$19)</f>
        <v>0</v>
      </c>
      <c r="G9" s="2496">
        <f t="shared" si="2"/>
        <v>0</v>
      </c>
      <c r="H9" s="2498"/>
      <c r="I9" s="2498"/>
      <c r="J9" s="2498"/>
      <c r="K9" s="2579">
        <f>SUMIF('数据-汇总表'!C$19:C$33,'数据-取费表'!A9,'数据-汇总表'!E$19:E$33)</f>
        <v>0</v>
      </c>
      <c r="L9" s="2584"/>
      <c r="M9" s="2581">
        <f t="shared" si="0"/>
        <v>0</v>
      </c>
      <c r="N9" s="2585"/>
      <c r="O9" s="2581">
        <f t="shared" si="3"/>
        <v>0</v>
      </c>
      <c r="P9" s="2583">
        <f t="shared" si="4"/>
        <v>0</v>
      </c>
      <c r="Q9" s="2605"/>
      <c r="R9" s="2579">
        <f>SUMIF('数据-汇总表'!C$19:C$33,A9,'数据-汇总表'!R$19:R$33)</f>
        <v>0</v>
      </c>
      <c r="S9" s="2600">
        <f>IF('数据-汇总表'!$I$17="按面积比例",SUMIF('数据-汇总表'!C$19:C$33,A9,'数据-汇总表'!K$19:K$33),SUMIF('数据-汇总表'!C$19:C$33,A9,'数据-汇总表'!N$19:N$33))</f>
        <v>0</v>
      </c>
      <c r="T9" s="2601" t="str">
        <f t="shared" si="5"/>
        <v>0</v>
      </c>
      <c r="U9" s="2602"/>
      <c r="V9" s="2603"/>
      <c r="W9" s="2603"/>
      <c r="X9" s="2604"/>
      <c r="Y9" s="2624"/>
      <c r="Z9" s="2625"/>
      <c r="AA9" s="2498"/>
      <c r="AB9" s="2498"/>
      <c r="AC9" s="2607"/>
      <c r="AD9" s="2626"/>
      <c r="AE9" s="2627">
        <f t="shared" ca="1" si="6"/>
        <v>0</v>
      </c>
      <c r="AF9" s="2061"/>
      <c r="AG9" s="2637">
        <f t="shared" si="7"/>
        <v>0</v>
      </c>
      <c r="AH9" s="2061"/>
      <c r="AI9" s="2638"/>
      <c r="AJ9" s="2639"/>
      <c r="AK9" s="2640"/>
      <c r="AL9" s="2641"/>
      <c r="AM9" s="2644"/>
      <c r="AN9" s="2643"/>
      <c r="AO9" s="2634"/>
      <c r="AP9" s="2478">
        <f t="shared" si="8"/>
        <v>0</v>
      </c>
      <c r="AQ9" s="2634"/>
      <c r="AR9" s="2634"/>
      <c r="AS9" s="2634"/>
      <c r="AT9" s="2634"/>
      <c r="AU9" s="2634"/>
      <c r="AV9" s="2634"/>
      <c r="AW9" s="2634"/>
      <c r="AX9" s="2634"/>
      <c r="AY9" s="2634"/>
      <c r="AZ9" s="2634"/>
      <c r="BA9" s="2634"/>
      <c r="BB9" s="2634"/>
      <c r="BC9" s="2634"/>
      <c r="BD9" s="2634"/>
      <c r="BE9" s="2634"/>
      <c r="BF9" s="2634"/>
      <c r="BG9" s="2634"/>
      <c r="BH9" s="2634"/>
      <c r="BI9" s="2634"/>
      <c r="BJ9" s="2634"/>
      <c r="BK9" s="2634"/>
      <c r="BL9" s="2634"/>
      <c r="BM9" s="2634"/>
      <c r="BN9" s="2634"/>
      <c r="BO9" s="2634"/>
      <c r="BP9" s="2634"/>
      <c r="BQ9" s="2634"/>
      <c r="BR9" s="2634"/>
      <c r="BS9" s="2634"/>
      <c r="BT9" s="2634"/>
      <c r="BU9" s="2634"/>
      <c r="BV9" s="2634"/>
      <c r="BW9" s="2634"/>
      <c r="BX9" s="2634"/>
      <c r="BY9" s="2634"/>
      <c r="BZ9" s="2634"/>
      <c r="CA9" s="2634"/>
      <c r="CB9" s="2634"/>
      <c r="CC9" s="2634"/>
      <c r="CD9" s="2634"/>
      <c r="CE9" s="2634"/>
    </row>
    <row r="10" spans="1:83" s="2463" customFormat="1" ht="14.25">
      <c r="A10" s="2490">
        <f>'数据-汇总表'!C23</f>
        <v>0</v>
      </c>
      <c r="B10" s="2491" t="str">
        <f t="shared" si="1"/>
        <v/>
      </c>
      <c r="C10" s="2492"/>
      <c r="D10" s="2493">
        <f>SUMIF(项目基本情况!D$15:I$15,C10,项目基本情况!D$18:I$18)</f>
        <v>0</v>
      </c>
      <c r="E10" s="2494" t="str">
        <f>IF(B10="","",SUMIF(项目基本情况!D$15:I$15,C10,项目基本情况!D$17:I$17))</f>
        <v/>
      </c>
      <c r="F10" s="2495">
        <f>SUMIF(项目基本情况!D$15:I$15,C10,项目基本情况!D$19:I$19)</f>
        <v>0</v>
      </c>
      <c r="G10" s="2496">
        <f t="shared" si="2"/>
        <v>0</v>
      </c>
      <c r="H10" s="2498"/>
      <c r="I10" s="2498"/>
      <c r="J10" s="2498"/>
      <c r="K10" s="2579">
        <f>SUMIF('数据-汇总表'!C$19:C$33,'数据-取费表'!A10,'数据-汇总表'!E$19:E$33)</f>
        <v>0</v>
      </c>
      <c r="L10" s="2584"/>
      <c r="M10" s="2581">
        <f t="shared" si="0"/>
        <v>0</v>
      </c>
      <c r="N10" s="2585"/>
      <c r="O10" s="2581">
        <f t="shared" si="3"/>
        <v>0</v>
      </c>
      <c r="P10" s="2583">
        <f t="shared" si="4"/>
        <v>0</v>
      </c>
      <c r="Q10" s="2605"/>
      <c r="R10" s="2579">
        <f>SUMIF('数据-汇总表'!C$19:C$33,A10,'数据-汇总表'!R$19:R$33)</f>
        <v>0</v>
      </c>
      <c r="S10" s="2600">
        <f>IF('数据-汇总表'!$I$17="按面积比例",SUMIF('数据-汇总表'!C$19:C$33,A10,'数据-汇总表'!K$19:K$33),SUMIF('数据-汇总表'!C$19:C$33,A10,'数据-汇总表'!N$19:N$33))</f>
        <v>0</v>
      </c>
      <c r="T10" s="2601" t="str">
        <f t="shared" si="5"/>
        <v>0</v>
      </c>
      <c r="U10" s="2602"/>
      <c r="V10" s="2603"/>
      <c r="W10" s="2603"/>
      <c r="X10" s="2604"/>
      <c r="Y10" s="2624"/>
      <c r="Z10" s="2625"/>
      <c r="AA10" s="2498"/>
      <c r="AB10" s="2498"/>
      <c r="AC10" s="2607"/>
      <c r="AD10" s="2626"/>
      <c r="AE10" s="2627">
        <f t="shared" ca="1" si="6"/>
        <v>0</v>
      </c>
      <c r="AF10" s="2061"/>
      <c r="AG10" s="2637">
        <f t="shared" si="7"/>
        <v>0</v>
      </c>
      <c r="AH10" s="2061"/>
      <c r="AI10" s="2638"/>
      <c r="AJ10" s="2639"/>
      <c r="AK10" s="2640"/>
      <c r="AL10" s="2641"/>
      <c r="AM10" s="2644"/>
      <c r="AN10" s="2643"/>
      <c r="AO10" s="2634"/>
      <c r="AP10" s="2478">
        <f t="shared" si="8"/>
        <v>0</v>
      </c>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row>
    <row r="11" spans="1:83" s="2463" customFormat="1" ht="14.25">
      <c r="A11" s="2490">
        <f>'数据-汇总表'!C24</f>
        <v>0</v>
      </c>
      <c r="B11" s="2491" t="str">
        <f t="shared" si="1"/>
        <v/>
      </c>
      <c r="C11" s="2492"/>
      <c r="D11" s="2493">
        <f>SUMIF(项目基本情况!D$15:I$15,C11,项目基本情况!D$18:I$18)</f>
        <v>0</v>
      </c>
      <c r="E11" s="2494" t="str">
        <f>IF(B11="","",SUMIF(项目基本情况!D$15:I$15,C11,项目基本情况!D$17:I$17))</f>
        <v/>
      </c>
      <c r="F11" s="2495">
        <f>SUMIF(项目基本情况!D$15:I$15,C11,项目基本情况!D$19:I$19)</f>
        <v>0</v>
      </c>
      <c r="G11" s="2496">
        <f t="shared" si="2"/>
        <v>0</v>
      </c>
      <c r="H11" s="2498"/>
      <c r="I11" s="2498"/>
      <c r="J11" s="2498"/>
      <c r="K11" s="2579">
        <f>SUMIF('数据-汇总表'!C$19:C$33,'数据-取费表'!A11,'数据-汇总表'!E$19:E$33)</f>
        <v>0</v>
      </c>
      <c r="L11" s="2584"/>
      <c r="M11" s="2581">
        <f t="shared" si="0"/>
        <v>0</v>
      </c>
      <c r="N11" s="2585"/>
      <c r="O11" s="2581">
        <f t="shared" si="3"/>
        <v>0</v>
      </c>
      <c r="P11" s="2583">
        <f t="shared" si="4"/>
        <v>0</v>
      </c>
      <c r="Q11" s="2605"/>
      <c r="R11" s="2579">
        <f>SUMIF('数据-汇总表'!C$19:C$33,A11,'数据-汇总表'!R$19:R$33)</f>
        <v>0</v>
      </c>
      <c r="S11" s="2600">
        <f>IF('数据-汇总表'!$I$17="按面积比例",SUMIF('数据-汇总表'!C$19:C$33,A11,'数据-汇总表'!K$19:K$33),SUMIF('数据-汇总表'!C$19:C$33,A11,'数据-汇总表'!N$19:N$33))</f>
        <v>0</v>
      </c>
      <c r="T11" s="2601" t="str">
        <f t="shared" si="5"/>
        <v>0</v>
      </c>
      <c r="U11" s="2606"/>
      <c r="V11" s="2498"/>
      <c r="W11" s="2498"/>
      <c r="X11" s="2607"/>
      <c r="Y11" s="2624"/>
      <c r="Z11" s="2628"/>
      <c r="AA11" s="2498"/>
      <c r="AB11" s="2498"/>
      <c r="AC11" s="2607"/>
      <c r="AD11" s="2626"/>
      <c r="AE11" s="2627">
        <f t="shared" ca="1" si="6"/>
        <v>0</v>
      </c>
      <c r="AF11" s="2061"/>
      <c r="AG11" s="2637">
        <f t="shared" si="7"/>
        <v>0</v>
      </c>
      <c r="AH11" s="2061"/>
      <c r="AI11" s="2638"/>
      <c r="AJ11" s="2639"/>
      <c r="AK11" s="2645"/>
      <c r="AL11" s="2646"/>
      <c r="AM11" s="2647"/>
      <c r="AN11" s="2643"/>
      <c r="AO11" s="2634"/>
      <c r="AP11" s="2478">
        <f t="shared" si="8"/>
        <v>0</v>
      </c>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row>
    <row r="12" spans="1:83" s="2463" customFormat="1" ht="14.25">
      <c r="A12" s="2490">
        <f>'数据-汇总表'!C25</f>
        <v>0</v>
      </c>
      <c r="B12" s="2491" t="str">
        <f t="shared" si="1"/>
        <v/>
      </c>
      <c r="C12" s="2492"/>
      <c r="D12" s="2493">
        <f>SUMIF(项目基本情况!D$15:I$15,C12,项目基本情况!D$18:I$18)</f>
        <v>0</v>
      </c>
      <c r="E12" s="2494" t="str">
        <f>IF(B12="","",SUMIF(项目基本情况!D$15:I$15,C12,项目基本情况!D$17:I$17))</f>
        <v/>
      </c>
      <c r="F12" s="2495">
        <f>SUMIF(项目基本情况!D$15:I$15,C12,项目基本情况!D$19:I$19)</f>
        <v>0</v>
      </c>
      <c r="G12" s="2496">
        <f t="shared" si="2"/>
        <v>0</v>
      </c>
      <c r="H12" s="2498"/>
      <c r="I12" s="2498"/>
      <c r="J12" s="2498"/>
      <c r="K12" s="2579">
        <f>SUMIF('数据-汇总表'!C$19:C$33,'数据-取费表'!A12,'数据-汇总表'!E$19:E$33)</f>
        <v>0</v>
      </c>
      <c r="L12" s="2584"/>
      <c r="M12" s="2581">
        <f t="shared" si="0"/>
        <v>0</v>
      </c>
      <c r="N12" s="2585"/>
      <c r="O12" s="2581">
        <f t="shared" si="3"/>
        <v>0</v>
      </c>
      <c r="P12" s="2583">
        <f t="shared" si="4"/>
        <v>0</v>
      </c>
      <c r="Q12" s="2605"/>
      <c r="R12" s="2579">
        <f>SUMIF('数据-汇总表'!C$19:C$33,A12,'数据-汇总表'!R$19:R$33)</f>
        <v>0</v>
      </c>
      <c r="S12" s="2600">
        <f>IF('数据-汇总表'!$I$17="按面积比例",SUMIF('数据-汇总表'!C$19:C$33,A12,'数据-汇总表'!K$19:K$33),SUMIF('数据-汇总表'!C$19:C$33,A12,'数据-汇总表'!N$19:N$33))</f>
        <v>0</v>
      </c>
      <c r="T12" s="2601" t="str">
        <f t="shared" si="5"/>
        <v>0</v>
      </c>
      <c r="U12" s="2606"/>
      <c r="V12" s="2498"/>
      <c r="W12" s="2498"/>
      <c r="X12" s="2607"/>
      <c r="Y12" s="2624"/>
      <c r="Z12" s="2628"/>
      <c r="AA12" s="2498"/>
      <c r="AB12" s="2498"/>
      <c r="AC12" s="2607"/>
      <c r="AD12" s="2626"/>
      <c r="AE12" s="2627">
        <f t="shared" ca="1" si="6"/>
        <v>0</v>
      </c>
      <c r="AF12" s="2061"/>
      <c r="AG12" s="2637">
        <f t="shared" si="7"/>
        <v>0</v>
      </c>
      <c r="AH12" s="2061"/>
      <c r="AI12" s="2638"/>
      <c r="AJ12" s="2639"/>
      <c r="AK12" s="2645"/>
      <c r="AL12" s="2646"/>
      <c r="AM12" s="2647"/>
      <c r="AN12" s="2643"/>
      <c r="AO12" s="2634"/>
      <c r="AP12" s="2478">
        <f t="shared" si="8"/>
        <v>0</v>
      </c>
      <c r="AQ12" s="2634"/>
      <c r="AR12" s="2634"/>
      <c r="AS12" s="2634"/>
      <c r="AT12" s="2634"/>
      <c r="AU12" s="2634"/>
      <c r="AV12" s="2634"/>
      <c r="AW12" s="2634"/>
      <c r="AX12" s="2634"/>
      <c r="AY12" s="2634"/>
      <c r="AZ12" s="2634"/>
      <c r="BA12" s="2634"/>
      <c r="BB12" s="2634"/>
      <c r="BC12" s="2634"/>
      <c r="BD12" s="2634"/>
      <c r="BE12" s="2634"/>
      <c r="BF12" s="2634"/>
      <c r="BG12" s="2634"/>
      <c r="BH12" s="2634"/>
      <c r="BI12" s="2634"/>
      <c r="BJ12" s="2634"/>
      <c r="BK12" s="2634"/>
      <c r="BL12" s="2634"/>
      <c r="BM12" s="2634"/>
      <c r="BN12" s="2634"/>
      <c r="BO12" s="2634"/>
      <c r="BP12" s="2634"/>
      <c r="BQ12" s="2634"/>
      <c r="BR12" s="2634"/>
      <c r="BS12" s="2634"/>
      <c r="BT12" s="2634"/>
      <c r="BU12" s="2634"/>
      <c r="BV12" s="2634"/>
      <c r="BW12" s="2634"/>
      <c r="BX12" s="2634"/>
      <c r="BY12" s="2634"/>
      <c r="BZ12" s="2634"/>
      <c r="CA12" s="2634"/>
      <c r="CB12" s="2634"/>
      <c r="CC12" s="2634"/>
      <c r="CD12" s="2634"/>
      <c r="CE12" s="2634"/>
    </row>
    <row r="13" spans="1:83" s="2463" customFormat="1" ht="14.25">
      <c r="A13" s="2490">
        <f>'数据-汇总表'!C26</f>
        <v>0</v>
      </c>
      <c r="B13" s="2491" t="str">
        <f t="shared" si="1"/>
        <v/>
      </c>
      <c r="C13" s="2492"/>
      <c r="D13" s="2493">
        <f>SUMIF(项目基本情况!D$15:I$15,C13,项目基本情况!D$18:I$18)</f>
        <v>0</v>
      </c>
      <c r="E13" s="2494" t="str">
        <f>IF(B13="","",SUMIF(项目基本情况!D$15:I$15,C13,项目基本情况!D$17:I$17))</f>
        <v/>
      </c>
      <c r="F13" s="2495">
        <f>SUMIF(项目基本情况!D$15:I$15,C13,项目基本情况!D$19:I$19)</f>
        <v>0</v>
      </c>
      <c r="G13" s="2496">
        <f t="shared" si="2"/>
        <v>0</v>
      </c>
      <c r="H13" s="2498"/>
      <c r="I13" s="2498"/>
      <c r="J13" s="2498"/>
      <c r="K13" s="2579">
        <f>SUMIF('数据-汇总表'!C$19:C$33,'数据-取费表'!A13,'数据-汇总表'!E$19:E$33)</f>
        <v>0</v>
      </c>
      <c r="L13" s="2584"/>
      <c r="M13" s="2581">
        <f t="shared" si="0"/>
        <v>0</v>
      </c>
      <c r="N13" s="2585"/>
      <c r="O13" s="2581">
        <f t="shared" si="3"/>
        <v>0</v>
      </c>
      <c r="P13" s="2583">
        <f t="shared" si="4"/>
        <v>0</v>
      </c>
      <c r="Q13" s="2605"/>
      <c r="R13" s="2579">
        <f>SUMIF('数据-汇总表'!C$19:C$33,A13,'数据-汇总表'!R$19:R$33)</f>
        <v>0</v>
      </c>
      <c r="S13" s="2600">
        <f>IF('数据-汇总表'!$I$17="按面积比例",SUMIF('数据-汇总表'!C$19:C$33,A13,'数据-汇总表'!K$19:K$33),SUMIF('数据-汇总表'!C$19:C$33,A13,'数据-汇总表'!N$19:N$33))</f>
        <v>0</v>
      </c>
      <c r="T13" s="2601" t="str">
        <f t="shared" si="5"/>
        <v>0</v>
      </c>
      <c r="U13" s="2602"/>
      <c r="V13" s="2603"/>
      <c r="W13" s="2603"/>
      <c r="X13" s="2604"/>
      <c r="Y13" s="2624"/>
      <c r="Z13" s="2625"/>
      <c r="AA13" s="2498"/>
      <c r="AB13" s="2498"/>
      <c r="AC13" s="2607"/>
      <c r="AD13" s="2626"/>
      <c r="AE13" s="2627">
        <f t="shared" ca="1" si="6"/>
        <v>0</v>
      </c>
      <c r="AF13" s="2061"/>
      <c r="AG13" s="2637">
        <f t="shared" si="7"/>
        <v>0</v>
      </c>
      <c r="AH13" s="2061"/>
      <c r="AI13" s="2638"/>
      <c r="AJ13" s="2639"/>
      <c r="AK13" s="2640"/>
      <c r="AL13" s="2641"/>
      <c r="AM13" s="2644"/>
      <c r="AN13" s="2643"/>
      <c r="AO13" s="2634"/>
      <c r="AP13" s="2478">
        <f t="shared" si="8"/>
        <v>0</v>
      </c>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row>
    <row r="14" spans="1:83" s="2463" customFormat="1" ht="14.25">
      <c r="A14" s="2499" t="s">
        <v>481</v>
      </c>
      <c r="B14" s="2500" t="s">
        <v>600</v>
      </c>
      <c r="C14" s="2501" t="s">
        <v>481</v>
      </c>
      <c r="D14" s="2493"/>
      <c r="E14" s="2494"/>
      <c r="F14" s="2495"/>
      <c r="G14" s="2496"/>
      <c r="H14" s="2502"/>
      <c r="I14" s="2502"/>
      <c r="J14" s="2502"/>
      <c r="K14" s="2579">
        <f>SUMIF('数据-汇总表'!C$19:C$33,'数据-取费表'!A14,'数据-汇总表'!E$19:E$33)</f>
        <v>0</v>
      </c>
      <c r="L14" s="2584"/>
      <c r="M14" s="2581">
        <f t="shared" si="0"/>
        <v>0</v>
      </c>
      <c r="N14" s="2585"/>
      <c r="O14" s="2581">
        <f t="shared" si="3"/>
        <v>0</v>
      </c>
      <c r="P14" s="2583">
        <f t="shared" si="4"/>
        <v>0</v>
      </c>
      <c r="Q14" s="2608"/>
      <c r="R14" s="2579"/>
      <c r="S14" s="2600"/>
      <c r="T14" s="2609"/>
      <c r="U14" s="2610"/>
      <c r="V14" s="2611"/>
      <c r="W14" s="2611"/>
      <c r="X14" s="2604"/>
      <c r="Y14" s="2629"/>
      <c r="Z14" s="2630"/>
      <c r="AA14" s="2631"/>
      <c r="AB14" s="2631"/>
      <c r="AC14" s="2607"/>
      <c r="AD14" s="2604"/>
      <c r="AE14" s="2627"/>
      <c r="AF14" s="464"/>
      <c r="AG14" s="2637"/>
      <c r="AH14" s="464"/>
      <c r="AI14" s="463"/>
      <c r="AJ14" s="463"/>
      <c r="AK14" s="2648"/>
      <c r="AL14" s="2649"/>
      <c r="AM14" s="2650"/>
      <c r="AN14" s="2634"/>
      <c r="AO14" s="2634"/>
      <c r="AQ14" s="2634"/>
      <c r="AR14" s="2634"/>
      <c r="AS14" s="2634"/>
      <c r="AT14" s="2634"/>
      <c r="AU14" s="2634"/>
      <c r="AV14" s="2634"/>
      <c r="AW14" s="2634"/>
      <c r="AX14" s="2634"/>
      <c r="AY14" s="2634"/>
      <c r="AZ14" s="2634"/>
      <c r="BA14" s="2634"/>
      <c r="BB14" s="2634"/>
      <c r="BC14" s="2634"/>
      <c r="BD14" s="2634"/>
      <c r="BE14" s="2634"/>
      <c r="BF14" s="2634"/>
      <c r="BG14" s="2634"/>
      <c r="BH14" s="2634"/>
      <c r="BI14" s="2634"/>
      <c r="BJ14" s="2634"/>
      <c r="BK14" s="2634"/>
      <c r="BL14" s="2634"/>
      <c r="BM14" s="2634"/>
      <c r="BN14" s="2634"/>
      <c r="BO14" s="2634"/>
      <c r="BP14" s="2634"/>
      <c r="BQ14" s="2634"/>
      <c r="BR14" s="2634"/>
      <c r="BS14" s="2634"/>
      <c r="BT14" s="2634"/>
      <c r="BU14" s="2634"/>
      <c r="BV14" s="2634"/>
      <c r="BW14" s="2634"/>
      <c r="BX14" s="2634"/>
      <c r="BY14" s="2634"/>
      <c r="BZ14" s="2634"/>
      <c r="CA14" s="2634"/>
      <c r="CB14" s="2634"/>
      <c r="CC14" s="2634"/>
      <c r="CD14" s="2634"/>
      <c r="CE14" s="2634"/>
    </row>
    <row r="15" spans="1:83" s="2463" customFormat="1" ht="27">
      <c r="A15" s="2503" t="s">
        <v>554</v>
      </c>
      <c r="B15" s="2500" t="s">
        <v>600</v>
      </c>
      <c r="C15" s="2501" t="s">
        <v>601</v>
      </c>
      <c r="D15" s="2493"/>
      <c r="E15" s="2494"/>
      <c r="F15" s="2495"/>
      <c r="G15" s="2496"/>
      <c r="H15" s="2502"/>
      <c r="I15" s="2502"/>
      <c r="J15" s="2502"/>
      <c r="K15" s="2579">
        <f>SUMIF('数据-汇总表'!C$19:C$33,'数据-取费表'!A15,'数据-汇总表'!E$19:E$33)</f>
        <v>0</v>
      </c>
      <c r="L15" s="2586"/>
      <c r="M15" s="2581"/>
      <c r="N15" s="2587"/>
      <c r="O15" s="2581"/>
      <c r="P15" s="2583"/>
      <c r="Q15" s="2608"/>
      <c r="R15" s="2579"/>
      <c r="S15" s="2600"/>
      <c r="T15" s="2609"/>
      <c r="U15" s="2610"/>
      <c r="V15" s="2611"/>
      <c r="W15" s="2611"/>
      <c r="X15" s="2604"/>
      <c r="Y15" s="2629"/>
      <c r="Z15" s="2630"/>
      <c r="AA15" s="2631"/>
      <c r="AB15" s="2631"/>
      <c r="AC15" s="2607"/>
      <c r="AD15" s="2604"/>
      <c r="AE15" s="2627"/>
      <c r="AF15" s="464"/>
      <c r="AG15" s="2637"/>
      <c r="AH15" s="464"/>
      <c r="AI15" s="463"/>
      <c r="AJ15" s="463"/>
      <c r="AK15" s="2648"/>
      <c r="AL15" s="2649"/>
      <c r="AM15" s="2650"/>
      <c r="AN15" s="2634"/>
      <c r="AO15" s="2634"/>
      <c r="AQ15" s="2634"/>
      <c r="AR15" s="2634"/>
      <c r="AS15" s="2634"/>
      <c r="AT15" s="2634"/>
      <c r="AU15" s="2634"/>
      <c r="AV15" s="2634"/>
      <c r="AW15" s="2634"/>
      <c r="AX15" s="2634"/>
      <c r="AY15" s="2634"/>
      <c r="AZ15" s="2634"/>
      <c r="BA15" s="2634"/>
      <c r="BB15" s="2634"/>
      <c r="BC15" s="2634"/>
      <c r="BD15" s="2634"/>
      <c r="BE15" s="2634"/>
      <c r="BF15" s="2634"/>
      <c r="BG15" s="2634"/>
      <c r="BH15" s="2634"/>
      <c r="BI15" s="2634"/>
      <c r="BJ15" s="2634"/>
      <c r="BK15" s="2634"/>
      <c r="BL15" s="2634"/>
      <c r="BM15" s="2634"/>
      <c r="BN15" s="2634"/>
      <c r="BO15" s="2634"/>
      <c r="BP15" s="2634"/>
      <c r="BQ15" s="2634"/>
      <c r="BR15" s="2634"/>
      <c r="BS15" s="2634"/>
      <c r="BT15" s="2634"/>
      <c r="BU15" s="2634"/>
      <c r="BV15" s="2634"/>
      <c r="BW15" s="2634"/>
      <c r="BX15" s="2634"/>
      <c r="BY15" s="2634"/>
      <c r="BZ15" s="2634"/>
      <c r="CA15" s="2634"/>
      <c r="CB15" s="2634"/>
      <c r="CC15" s="2634"/>
      <c r="CD15" s="2634"/>
      <c r="CE15" s="2634"/>
    </row>
    <row r="16" spans="1:83" s="2463" customFormat="1" ht="15">
      <c r="A16" s="2504" t="s">
        <v>602</v>
      </c>
      <c r="B16" s="2505"/>
      <c r="C16" s="2506"/>
      <c r="D16" s="2507"/>
      <c r="E16" s="2505"/>
      <c r="F16" s="2505"/>
      <c r="G16" s="2508">
        <f>ROUND(SUMPRODUCT(G6:G13,K6:K13)/SUMPRODUCT((G6:G13&gt;0)*(K6:K13)),3)</f>
        <v>0.998</v>
      </c>
      <c r="H16" s="2509">
        <f>ROUND(SUMPRODUCT(H6:H13,K6:K13)/SUMPRODUCT((H6:H13&gt;0)*(K6:K13)),3)</f>
        <v>4.2999999999999997E-2</v>
      </c>
      <c r="I16" s="2588"/>
      <c r="J16" s="2588"/>
      <c r="K16" s="2589">
        <f>SUM(K6:K15)</f>
        <v>73411.47</v>
      </c>
      <c r="L16" s="2590">
        <f>ROUND(M16*10000/SUM(K6:K14),0)</f>
        <v>1868</v>
      </c>
      <c r="M16" s="2590">
        <f>SUM(M6:M14)</f>
        <v>13716</v>
      </c>
      <c r="N16" s="2591">
        <f>ROUND(SUMPRODUCT(M6:M14,N6:N14)/M16,3)</f>
        <v>0</v>
      </c>
      <c r="O16" s="2590">
        <f>SUM(O6:O14)</f>
        <v>0</v>
      </c>
      <c r="P16" s="2590">
        <f>SUM(P6:P14)</f>
        <v>13716</v>
      </c>
      <c r="Q16" s="2612">
        <f>ROUND(SUMPRODUCT(Q6:Q13,K6:K13)/SUMPRODUCT((Q6:Q13&gt;0)*(K6:K13)),2)</f>
        <v>0.08</v>
      </c>
      <c r="R16" s="2613">
        <f>SUM(R6:R13)</f>
        <v>42969</v>
      </c>
      <c r="S16" s="2614">
        <f>SUM(S6:S13)</f>
        <v>0</v>
      </c>
      <c r="T16" s="2615">
        <f>IF(SUMIF(T6:T13,"&lt;9E307")=M14,SUMIF(T6:T13,"&lt;9E307"),"有误，请检查")</f>
        <v>0</v>
      </c>
      <c r="U16" s="2616"/>
      <c r="V16" s="2617"/>
      <c r="W16" s="2617"/>
      <c r="X16" s="2618"/>
      <c r="Y16" s="2632"/>
      <c r="Z16" s="2633"/>
      <c r="AA16" s="2617"/>
      <c r="AB16" s="2617"/>
      <c r="AC16" s="2618"/>
      <c r="AD16" s="2618"/>
      <c r="AE16" s="2616"/>
      <c r="AF16" s="2617"/>
      <c r="AG16" s="2632"/>
      <c r="AH16" s="2617"/>
      <c r="AI16" s="2633"/>
      <c r="AJ16" s="2633"/>
      <c r="AK16" s="2617"/>
      <c r="AL16" s="2617"/>
      <c r="AM16" s="2632"/>
      <c r="AN16" s="2634"/>
      <c r="AO16" s="2634"/>
      <c r="AP16" s="2478">
        <f>ROUND(SUMPRODUCT(AP6:AP13,K6:K13)/SUMPRODUCT((AP6:AP13&gt;0)*(K6:K13)),3)</f>
        <v>0.91800000000000004</v>
      </c>
      <c r="AQ16" s="2634"/>
      <c r="AR16" s="2634"/>
      <c r="AS16" s="2634"/>
      <c r="AT16" s="2634"/>
      <c r="AU16" s="2634"/>
      <c r="AV16" s="2634"/>
      <c r="AW16" s="2634"/>
      <c r="AX16" s="2634"/>
      <c r="AY16" s="2634"/>
      <c r="AZ16" s="2634"/>
      <c r="BA16" s="2634"/>
      <c r="BB16" s="2634"/>
      <c r="BC16" s="2634"/>
      <c r="BD16" s="2634"/>
      <c r="BE16" s="2634"/>
      <c r="BF16" s="2634"/>
      <c r="BG16" s="2634"/>
      <c r="BH16" s="2634"/>
      <c r="BI16" s="2634"/>
      <c r="BJ16" s="2634"/>
      <c r="BK16" s="2634"/>
      <c r="BL16" s="2634"/>
      <c r="BM16" s="2634"/>
      <c r="BN16" s="2634"/>
      <c r="BO16" s="2634"/>
      <c r="BP16" s="2634"/>
      <c r="BQ16" s="2634"/>
      <c r="BR16" s="2634"/>
      <c r="BS16" s="2634"/>
      <c r="BT16" s="2634"/>
      <c r="BU16" s="2634"/>
      <c r="BV16" s="2634"/>
      <c r="BW16" s="2634"/>
      <c r="BX16" s="2634"/>
      <c r="BY16" s="2634"/>
      <c r="BZ16" s="2634"/>
      <c r="CA16" s="2634"/>
      <c r="CB16" s="2634"/>
      <c r="CC16" s="2634"/>
      <c r="CD16" s="2634"/>
      <c r="CE16" s="2634"/>
    </row>
    <row r="17" spans="1:83">
      <c r="A17" s="2510"/>
      <c r="B17" s="2471"/>
      <c r="C17" s="823"/>
      <c r="D17" s="2472"/>
      <c r="E17" s="247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9" t="s">
        <v>603</v>
      </c>
      <c r="B18" s="2478"/>
      <c r="C18" s="2475"/>
      <c r="D18" s="2476"/>
      <c r="E18" s="2475"/>
      <c r="F18" s="2475"/>
      <c r="G18" s="2475"/>
      <c r="H18" s="2475"/>
      <c r="I18" s="2475"/>
      <c r="J18" s="247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11" t="s">
        <v>604</v>
      </c>
      <c r="B19" s="2512">
        <v>0</v>
      </c>
      <c r="C19" s="2513" t="s">
        <v>605</v>
      </c>
      <c r="D19" s="2476"/>
      <c r="E19" s="2475"/>
      <c r="F19" s="2475"/>
      <c r="G19" s="2475"/>
      <c r="H19" s="2475"/>
      <c r="I19" s="2475"/>
      <c r="J19" s="247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14" t="s">
        <v>606</v>
      </c>
      <c r="B20" s="2515">
        <v>2</v>
      </c>
      <c r="C20" s="2513" t="s">
        <v>607</v>
      </c>
      <c r="D20" s="2476"/>
      <c r="E20" s="2475"/>
      <c r="F20" s="2475"/>
      <c r="G20" s="2475"/>
      <c r="H20" s="2475"/>
      <c r="I20" s="2475"/>
      <c r="J20" s="247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16" t="s">
        <v>608</v>
      </c>
      <c r="B21" s="2515">
        <v>0</v>
      </c>
      <c r="C21" s="2475"/>
      <c r="D21" s="2476"/>
      <c r="E21" s="2475"/>
      <c r="F21" s="2475"/>
      <c r="G21" s="2475"/>
      <c r="H21" s="2475"/>
      <c r="I21" s="2475"/>
      <c r="J21" s="247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14" t="s">
        <v>609</v>
      </c>
      <c r="B22" s="2517">
        <f>B19+B20</f>
        <v>2</v>
      </c>
      <c r="C22" s="2475"/>
      <c r="D22" s="2476"/>
      <c r="E22" s="2475"/>
      <c r="F22" s="2475"/>
      <c r="G22" s="2475"/>
      <c r="H22" s="2475"/>
      <c r="I22" s="2475"/>
      <c r="J22" s="247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16" t="s">
        <v>610</v>
      </c>
      <c r="B23" s="2517">
        <f>B19+B21</f>
        <v>0</v>
      </c>
      <c r="C23" s="2475"/>
      <c r="D23" s="2476"/>
      <c r="E23" s="2475"/>
      <c r="F23" s="2475"/>
      <c r="G23" s="2475"/>
      <c r="H23" s="2475"/>
      <c r="I23" s="2475"/>
      <c r="J23" s="247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18" t="s">
        <v>611</v>
      </c>
      <c r="B24" s="2519">
        <f>B20-B21</f>
        <v>2</v>
      </c>
      <c r="C24" s="2475"/>
      <c r="D24" s="2476"/>
      <c r="E24" s="2475"/>
      <c r="F24" s="2475"/>
      <c r="G24" s="2475"/>
      <c r="H24" s="2475"/>
      <c r="I24" s="2475"/>
      <c r="J24" s="247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77"/>
      <c r="B25" s="2478"/>
      <c r="C25" s="2475"/>
      <c r="D25" s="2476"/>
      <c r="E25" s="2475"/>
      <c r="F25" s="2475"/>
      <c r="G25" s="2475"/>
      <c r="H25" s="2475"/>
      <c r="I25" s="2475"/>
      <c r="J25" s="247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73" t="s">
        <v>612</v>
      </c>
      <c r="B26" s="2520" t="s">
        <v>613</v>
      </c>
      <c r="C26" s="2521" t="s">
        <v>614</v>
      </c>
      <c r="D26" s="2476"/>
      <c r="E26" s="2475"/>
      <c r="F26" s="2475"/>
      <c r="G26" s="2475"/>
      <c r="H26" s="2475"/>
      <c r="I26" s="2475"/>
      <c r="J26" s="247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65" customFormat="1" ht="27.75">
      <c r="A27" s="2522" t="s">
        <v>615</v>
      </c>
      <c r="B27" s="2523"/>
      <c r="C27" s="2524" t="s">
        <v>616</v>
      </c>
      <c r="D27" s="2525"/>
      <c r="E27" s="456"/>
      <c r="F27" s="456"/>
      <c r="G27" s="2475"/>
      <c r="H27" s="2475"/>
      <c r="I27" s="2475"/>
      <c r="J27" s="247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465" customFormat="1" ht="27.75">
      <c r="A28" s="2526" t="s">
        <v>617</v>
      </c>
      <c r="B28" s="2527"/>
      <c r="C28" s="2528"/>
      <c r="D28" s="2525"/>
      <c r="E28" s="456"/>
      <c r="F28" s="456"/>
      <c r="G28" s="2475"/>
      <c r="H28" s="2475"/>
      <c r="I28" s="2475"/>
      <c r="J28" s="247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465" customFormat="1" ht="27.75">
      <c r="A29" s="2529" t="s">
        <v>618</v>
      </c>
      <c r="B29" s="2530">
        <v>0</v>
      </c>
      <c r="C29" s="2531" t="s">
        <v>619</v>
      </c>
      <c r="D29" s="2525"/>
      <c r="E29" s="456"/>
      <c r="F29" s="456"/>
      <c r="G29" s="2475"/>
      <c r="H29" s="2475"/>
      <c r="I29" s="2475"/>
      <c r="J29" s="247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465" customFormat="1" ht="27">
      <c r="A30" s="2532" t="s">
        <v>620</v>
      </c>
      <c r="B30" s="2533">
        <v>200</v>
      </c>
      <c r="C30" s="2528"/>
      <c r="D30" s="2525"/>
      <c r="E30" s="456"/>
      <c r="F30" s="456"/>
      <c r="G30" s="2475"/>
      <c r="H30" s="2475"/>
      <c r="I30" s="2475"/>
      <c r="J30" s="247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465" customFormat="1" ht="27">
      <c r="A31" s="2526" t="s">
        <v>621</v>
      </c>
      <c r="B31" s="2534">
        <f>B30-B32</f>
        <v>200</v>
      </c>
      <c r="C31" s="2524"/>
      <c r="D31" s="2525"/>
      <c r="E31" s="456"/>
      <c r="F31" s="456"/>
      <c r="G31" s="2475"/>
      <c r="H31" s="2475"/>
      <c r="I31" s="2475"/>
      <c r="J31" s="247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465" customFormat="1" ht="27">
      <c r="A32" s="2535" t="s">
        <v>622</v>
      </c>
      <c r="B32" s="2536">
        <v>0</v>
      </c>
      <c r="C32" s="2528"/>
      <c r="D32" s="2476"/>
      <c r="E32" s="2475"/>
      <c r="F32" s="2475"/>
      <c r="G32" s="2475"/>
      <c r="H32" s="2475"/>
      <c r="I32" s="2475"/>
      <c r="J32" s="247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465" customFormat="1" ht="14.25">
      <c r="A33" s="2522" t="s">
        <v>623</v>
      </c>
      <c r="B33" s="2537">
        <v>0.03</v>
      </c>
      <c r="C33" s="2538" t="s">
        <v>624</v>
      </c>
      <c r="D33" s="2525"/>
      <c r="E33" s="456"/>
      <c r="F33" s="456"/>
      <c r="G33" s="2475"/>
      <c r="H33" s="2475"/>
      <c r="I33" s="2475"/>
      <c r="J33" s="247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526" t="s">
        <v>625</v>
      </c>
      <c r="B34" s="2539">
        <v>0.05</v>
      </c>
      <c r="C34" s="2538" t="s">
        <v>626</v>
      </c>
      <c r="D34" s="2476" t="s">
        <v>627</v>
      </c>
      <c r="E34" s="823"/>
      <c r="F34" s="2475"/>
      <c r="G34" s="2475"/>
      <c r="H34" s="2475"/>
      <c r="I34" s="2475"/>
      <c r="J34" s="247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26" t="s">
        <v>628</v>
      </c>
      <c r="B35" s="2527">
        <v>200</v>
      </c>
      <c r="C35" s="2538" t="s">
        <v>629</v>
      </c>
      <c r="D35" s="2476"/>
      <c r="E35" s="2475"/>
      <c r="F35" s="2475"/>
      <c r="G35" s="2475"/>
      <c r="H35" s="2475"/>
      <c r="I35" s="2475"/>
      <c r="J35" s="247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9" t="s">
        <v>630</v>
      </c>
      <c r="B36" s="2540">
        <v>1.4999999999999999E-2</v>
      </c>
      <c r="C36" s="2538" t="s">
        <v>631</v>
      </c>
      <c r="D36" s="2472"/>
      <c r="E36" s="2471"/>
      <c r="F36" s="2475"/>
      <c r="G36" s="2475"/>
      <c r="H36" s="2475"/>
      <c r="I36" s="2475"/>
      <c r="J36" s="247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32" t="s">
        <v>632</v>
      </c>
      <c r="B37" s="2541">
        <v>0.02</v>
      </c>
      <c r="C37" s="2538" t="s">
        <v>633</v>
      </c>
      <c r="D37" s="2476"/>
      <c r="E37" s="2475"/>
      <c r="F37" s="2475"/>
      <c r="G37" s="2475"/>
      <c r="H37" s="2475"/>
      <c r="I37" s="2475"/>
      <c r="J37" s="247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26" t="s">
        <v>634</v>
      </c>
      <c r="B38" s="2539">
        <v>0.01</v>
      </c>
      <c r="C38" s="2538" t="s">
        <v>633</v>
      </c>
      <c r="D38" s="2476"/>
      <c r="E38" s="2475"/>
      <c r="F38" s="2475"/>
      <c r="G38" s="2475"/>
      <c r="H38" s="2475"/>
      <c r="I38" s="2475"/>
      <c r="J38" s="247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42" t="s">
        <v>635</v>
      </c>
      <c r="B39" s="846">
        <f ca="1">存贷款利率!C4</f>
        <v>1.4999999999999999E-2</v>
      </c>
      <c r="C39" s="2538"/>
      <c r="D39" s="2476"/>
      <c r="E39" s="2475"/>
      <c r="F39" s="2475"/>
      <c r="G39" s="2475"/>
      <c r="H39" s="2475"/>
      <c r="I39" s="2475"/>
      <c r="J39" s="247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42" t="s">
        <v>636</v>
      </c>
      <c r="B40" s="2543">
        <f ca="1">存贷款利率!E2</f>
        <v>4.7500000000000001E-2</v>
      </c>
      <c r="C40" s="2538" t="s">
        <v>637</v>
      </c>
      <c r="D40" s="2476"/>
      <c r="E40" s="2475"/>
      <c r="F40" s="2475"/>
      <c r="G40" s="2475"/>
      <c r="H40" s="2475"/>
      <c r="I40" s="2475"/>
      <c r="J40" s="247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22" t="s">
        <v>638</v>
      </c>
      <c r="B41" s="2544">
        <f>B42+B43</f>
        <v>5.6300000000000003E-2</v>
      </c>
      <c r="C41" s="2524"/>
      <c r="D41" s="2476"/>
      <c r="E41" s="2475"/>
      <c r="F41" s="2475"/>
      <c r="G41" s="2475"/>
      <c r="H41" s="2475"/>
      <c r="I41" s="2475"/>
      <c r="J41" s="247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45" t="s">
        <v>639</v>
      </c>
      <c r="B42" s="2546">
        <v>0.05</v>
      </c>
      <c r="C42" s="2547">
        <f>IF(B2&lt;DATE(2016,5,1),0,B42)</f>
        <v>0.05</v>
      </c>
      <c r="D42" s="2476"/>
      <c r="E42" s="2475"/>
      <c r="F42" s="2475"/>
      <c r="G42" s="2475"/>
      <c r="H42" s="2475"/>
      <c r="I42" s="2475"/>
      <c r="J42" s="247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45" t="s">
        <v>640</v>
      </c>
      <c r="B43" s="2548">
        <f>B42*(B44+B45+B46)+B47</f>
        <v>6.3000000000000009E-3</v>
      </c>
      <c r="C43" s="2524"/>
      <c r="D43" s="2476"/>
      <c r="E43" s="2475"/>
      <c r="F43" s="2475"/>
      <c r="G43" s="2475"/>
      <c r="H43" s="2475"/>
      <c r="I43" s="2475"/>
      <c r="J43" s="247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9" t="s">
        <v>641</v>
      </c>
      <c r="B44" s="2550">
        <v>7.0000000000000007E-2</v>
      </c>
      <c r="C44" s="2538" t="s">
        <v>642</v>
      </c>
      <c r="D44" s="2476"/>
      <c r="E44" s="2475"/>
      <c r="F44" s="2475"/>
      <c r="G44" s="2475"/>
      <c r="H44" s="2475"/>
      <c r="I44" s="2475"/>
      <c r="J44" s="247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9" t="s">
        <v>643</v>
      </c>
      <c r="B45" s="2546">
        <v>0.03</v>
      </c>
      <c r="C45" s="2524" t="s">
        <v>644</v>
      </c>
      <c r="D45" s="2476"/>
      <c r="E45" s="2475"/>
      <c r="F45" s="2475"/>
      <c r="G45" s="2475"/>
      <c r="H45" s="2475"/>
      <c r="I45" s="2475"/>
      <c r="J45" s="247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9" t="s">
        <v>645</v>
      </c>
      <c r="B46" s="2546">
        <v>0.02</v>
      </c>
      <c r="C46" s="2524" t="s">
        <v>646</v>
      </c>
      <c r="D46" s="2476"/>
      <c r="E46" s="2475"/>
      <c r="F46" s="2475"/>
      <c r="G46" s="2475"/>
      <c r="H46" s="2475"/>
      <c r="I46" s="2475"/>
      <c r="J46" s="247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51" t="s">
        <v>647</v>
      </c>
      <c r="B47" s="2552">
        <v>2.9999999999999997E-4</v>
      </c>
      <c r="C47" s="2553" t="s">
        <v>648</v>
      </c>
      <c r="D47" s="2476"/>
      <c r="E47" s="2475"/>
      <c r="F47" s="2475"/>
      <c r="G47" s="2475"/>
      <c r="H47" s="2475"/>
      <c r="I47" s="2475"/>
      <c r="J47" s="247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54" t="s">
        <v>649</v>
      </c>
      <c r="B48" s="2555">
        <v>0.03</v>
      </c>
      <c r="C48" s="2556" t="s">
        <v>650</v>
      </c>
      <c r="D48" s="2476"/>
      <c r="E48" s="2475"/>
      <c r="F48" s="2475"/>
      <c r="G48" s="2475"/>
      <c r="H48" s="2475"/>
      <c r="I48" s="2475"/>
      <c r="J48" s="247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35" t="s">
        <v>651</v>
      </c>
      <c r="B49" s="2546">
        <v>5.0000000000000001E-4</v>
      </c>
      <c r="C49" s="2556" t="s">
        <v>652</v>
      </c>
      <c r="D49" s="2476"/>
      <c r="E49" s="2475"/>
      <c r="F49" s="2475"/>
      <c r="G49" s="2475"/>
      <c r="H49" s="2475"/>
      <c r="I49" s="2475"/>
      <c r="J49" s="247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57" t="s">
        <v>653</v>
      </c>
      <c r="B50" s="2558">
        <v>1.2E-2</v>
      </c>
      <c r="C50" s="2528"/>
      <c r="D50" s="2476"/>
      <c r="E50" s="2475"/>
      <c r="F50" s="2475"/>
      <c r="G50" s="2475"/>
      <c r="H50" s="2475"/>
      <c r="I50" s="2475"/>
      <c r="J50" s="247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9" t="s">
        <v>654</v>
      </c>
      <c r="B51" s="2559">
        <v>0.12</v>
      </c>
      <c r="C51" s="2528"/>
      <c r="D51" s="2476"/>
      <c r="E51" s="2475"/>
      <c r="F51" s="2475"/>
      <c r="G51" s="2475"/>
      <c r="H51" s="2475"/>
      <c r="I51" s="2475"/>
      <c r="J51" s="247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57" t="s">
        <v>655</v>
      </c>
      <c r="B52" s="2560">
        <f>SUMIF(A54:A63,B53,B54:B63)</f>
        <v>8</v>
      </c>
      <c r="C52" s="2528"/>
      <c r="D52" s="2476"/>
      <c r="E52" s="2475"/>
      <c r="F52" s="2475"/>
      <c r="G52" s="2475"/>
      <c r="H52" s="2475"/>
      <c r="I52" s="2475"/>
      <c r="J52" s="247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26" t="s">
        <v>656</v>
      </c>
      <c r="B53" s="2561" t="s">
        <v>242</v>
      </c>
      <c r="C53" s="2562" t="s">
        <v>657</v>
      </c>
      <c r="D53" s="2563" t="s">
        <v>658</v>
      </c>
      <c r="E53" s="2475"/>
      <c r="F53" s="2475"/>
      <c r="G53" s="2475"/>
      <c r="H53" s="2475"/>
      <c r="I53" s="2475"/>
      <c r="J53" s="247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64" t="s">
        <v>242</v>
      </c>
      <c r="B54" s="2565">
        <v>8</v>
      </c>
      <c r="C54" s="456">
        <v>30</v>
      </c>
      <c r="D54" s="2566"/>
      <c r="E54" s="2475"/>
      <c r="F54" s="2475"/>
      <c r="G54" s="2475"/>
      <c r="H54" s="2475"/>
      <c r="I54" s="2475"/>
      <c r="J54" s="247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64" t="s">
        <v>255</v>
      </c>
      <c r="B55" s="2565">
        <v>6.4</v>
      </c>
      <c r="C55" s="456">
        <v>24</v>
      </c>
      <c r="D55" s="2566"/>
      <c r="E55" s="2475"/>
      <c r="F55" s="2475"/>
      <c r="G55" s="2475"/>
      <c r="H55" s="2475"/>
      <c r="I55" s="2592"/>
      <c r="J55" s="247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64" t="s">
        <v>267</v>
      </c>
      <c r="B56" s="2565"/>
      <c r="C56" s="456">
        <v>18</v>
      </c>
      <c r="D56" s="2566"/>
      <c r="E56" s="2475"/>
      <c r="F56" s="2475"/>
      <c r="G56" s="2475"/>
      <c r="H56" s="2475"/>
      <c r="I56" s="2475"/>
      <c r="J56" s="247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64" t="s">
        <v>277</v>
      </c>
      <c r="B57" s="2565"/>
      <c r="C57" s="456">
        <v>12</v>
      </c>
      <c r="D57" s="2566"/>
      <c r="E57" s="2475"/>
      <c r="F57" s="2475"/>
      <c r="G57" s="2475"/>
      <c r="H57" s="2475"/>
      <c r="I57" s="2475"/>
      <c r="J57" s="247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64" t="s">
        <v>286</v>
      </c>
      <c r="B58" s="2565"/>
      <c r="C58" s="456">
        <v>3</v>
      </c>
      <c r="D58" s="2566"/>
      <c r="E58" s="2475"/>
      <c r="F58" s="2475"/>
      <c r="G58" s="2475"/>
      <c r="H58" s="2475"/>
      <c r="I58" s="2475"/>
      <c r="J58" s="247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64" t="s">
        <v>294</v>
      </c>
      <c r="B59" s="2565"/>
      <c r="C59" s="456">
        <v>1.5</v>
      </c>
      <c r="D59" s="2566"/>
      <c r="E59" s="2475"/>
      <c r="F59" s="2475"/>
      <c r="G59" s="2475"/>
      <c r="H59" s="2475"/>
      <c r="I59" s="2475"/>
      <c r="J59" s="247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64" t="s">
        <v>299</v>
      </c>
      <c r="B60" s="2565"/>
      <c r="C60" s="2475"/>
      <c r="D60" s="2476"/>
      <c r="E60" s="2475"/>
      <c r="F60" s="2475"/>
      <c r="G60" s="2475"/>
      <c r="H60" s="2475"/>
      <c r="I60" s="2475"/>
      <c r="J60" s="247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64" t="s">
        <v>304</v>
      </c>
      <c r="B61" s="2565"/>
      <c r="C61" s="2475"/>
      <c r="D61" s="2476"/>
      <c r="E61" s="2475"/>
      <c r="F61" s="2475"/>
      <c r="G61" s="2475"/>
      <c r="H61" s="2475"/>
      <c r="I61" s="2475"/>
      <c r="J61" s="247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64" t="s">
        <v>307</v>
      </c>
      <c r="B62" s="2565"/>
      <c r="C62" s="2475"/>
      <c r="D62" s="2476"/>
      <c r="E62" s="2475"/>
      <c r="F62" s="2475"/>
      <c r="G62" s="2475"/>
      <c r="H62" s="2475"/>
      <c r="I62" s="2475"/>
      <c r="J62" s="247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67" t="s">
        <v>310</v>
      </c>
      <c r="B63" s="2568"/>
      <c r="C63" s="2475"/>
      <c r="D63" s="2476"/>
      <c r="E63" s="2475"/>
      <c r="F63" s="2475"/>
      <c r="G63" s="2475"/>
      <c r="H63" s="2475"/>
      <c r="I63" s="2475"/>
      <c r="J63" s="247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66" customFormat="1">
      <c r="A64" s="2161"/>
      <c r="D64" s="2569"/>
      <c r="K64" s="187"/>
      <c r="L64" s="187"/>
    </row>
    <row r="65" spans="1:12" s="2466" customFormat="1">
      <c r="A65" s="2161"/>
      <c r="D65" s="2569"/>
      <c r="K65" s="187"/>
      <c r="L65" s="187"/>
    </row>
    <row r="66" spans="1:12" s="2466" customFormat="1">
      <c r="A66" s="2161"/>
      <c r="D66" s="2569"/>
      <c r="K66" s="187"/>
      <c r="L66" s="187"/>
    </row>
    <row r="67" spans="1:12" s="2466" customFormat="1">
      <c r="A67" s="2161"/>
      <c r="D67" s="2569"/>
      <c r="K67" s="187"/>
      <c r="L67" s="187"/>
    </row>
    <row r="68" spans="1:12" s="2466" customFormat="1">
      <c r="A68" s="2161"/>
      <c r="D68" s="2569"/>
      <c r="K68" s="187"/>
      <c r="L68" s="187"/>
    </row>
    <row r="69" spans="1:12" s="2466" customFormat="1">
      <c r="A69" s="2161"/>
      <c r="D69" s="2569"/>
      <c r="K69" s="187"/>
      <c r="L69" s="187"/>
    </row>
    <row r="70" spans="1:12" s="2466" customFormat="1">
      <c r="A70" s="2161"/>
      <c r="D70" s="2569"/>
      <c r="K70" s="187"/>
      <c r="L70" s="187"/>
    </row>
    <row r="71" spans="1:12" s="2466" customFormat="1">
      <c r="A71" s="2161"/>
      <c r="D71" s="2569"/>
      <c r="K71" s="187"/>
      <c r="L71" s="187"/>
    </row>
    <row r="72" spans="1:12" s="2466" customFormat="1">
      <c r="A72" s="2161"/>
      <c r="D72" s="2569"/>
      <c r="K72" s="187"/>
      <c r="L72" s="187"/>
    </row>
    <row r="73" spans="1:12" s="2466" customFormat="1">
      <c r="A73" s="2161"/>
      <c r="D73" s="2569"/>
      <c r="K73" s="187"/>
      <c r="L73" s="187"/>
    </row>
    <row r="74" spans="1:12" s="2466" customFormat="1">
      <c r="A74" s="2161"/>
      <c r="D74" s="2569"/>
      <c r="K74" s="187"/>
      <c r="L74" s="187"/>
    </row>
    <row r="75" spans="1:12" s="2466" customFormat="1">
      <c r="A75" s="2161"/>
      <c r="D75" s="2569"/>
      <c r="K75" s="187"/>
      <c r="L75" s="187"/>
    </row>
    <row r="76" spans="1:12" s="2466" customFormat="1">
      <c r="A76" s="2161"/>
      <c r="D76" s="2569"/>
      <c r="K76" s="187"/>
      <c r="L76" s="187"/>
    </row>
    <row r="77" spans="1:12" s="2466" customFormat="1">
      <c r="A77" s="2161"/>
      <c r="D77" s="2569"/>
      <c r="K77" s="187"/>
      <c r="L77" s="187"/>
    </row>
    <row r="78" spans="1:12" s="2466" customFormat="1">
      <c r="A78" s="2161"/>
      <c r="D78" s="2569"/>
      <c r="K78" s="187"/>
      <c r="L78" s="187"/>
    </row>
    <row r="79" spans="1:12" s="2466" customFormat="1">
      <c r="A79" s="2161"/>
      <c r="D79" s="2569"/>
      <c r="K79" s="187"/>
      <c r="L79" s="187"/>
    </row>
    <row r="80" spans="1:12" s="2466" customFormat="1">
      <c r="A80" s="2161"/>
      <c r="D80" s="2569"/>
      <c r="K80" s="187"/>
      <c r="L80" s="187"/>
    </row>
    <row r="81" spans="1:12" s="2466" customFormat="1">
      <c r="A81" s="2161"/>
      <c r="D81" s="2569"/>
      <c r="K81" s="187"/>
      <c r="L81" s="187"/>
    </row>
    <row r="82" spans="1:12" s="2466" customFormat="1">
      <c r="A82" s="2161"/>
      <c r="D82" s="2569"/>
      <c r="K82" s="187"/>
      <c r="L82" s="187"/>
    </row>
    <row r="83" spans="1:12" s="2466" customFormat="1">
      <c r="A83" s="2161"/>
      <c r="D83" s="2569"/>
      <c r="K83" s="187"/>
      <c r="L83" s="187"/>
    </row>
    <row r="84" spans="1:12" s="2466" customFormat="1">
      <c r="A84" s="2161"/>
      <c r="D84" s="2569"/>
      <c r="K84" s="187"/>
      <c r="L84" s="187"/>
    </row>
    <row r="85" spans="1:12" s="2466" customFormat="1">
      <c r="A85" s="2161"/>
      <c r="D85" s="2569"/>
      <c r="K85" s="187"/>
      <c r="L85" s="187"/>
    </row>
    <row r="86" spans="1:12" s="2466" customFormat="1">
      <c r="A86" s="2161"/>
      <c r="D86" s="2569"/>
      <c r="K86" s="187"/>
      <c r="L86" s="187"/>
    </row>
    <row r="87" spans="1:12" s="2466" customFormat="1">
      <c r="A87" s="2161"/>
      <c r="D87" s="2569"/>
      <c r="K87" s="187"/>
      <c r="L87" s="187"/>
    </row>
    <row r="88" spans="1:12" s="2466" customFormat="1">
      <c r="A88" s="2161"/>
      <c r="D88" s="2569"/>
      <c r="K88" s="187"/>
      <c r="L88" s="187"/>
    </row>
    <row r="89" spans="1:12" s="2466" customFormat="1">
      <c r="A89" s="2161"/>
      <c r="D89" s="2569"/>
      <c r="K89" s="187"/>
      <c r="L89" s="187"/>
    </row>
    <row r="90" spans="1:12" s="2466" customFormat="1">
      <c r="A90" s="2161"/>
      <c r="D90" s="2569"/>
      <c r="K90" s="187"/>
      <c r="L90" s="187"/>
    </row>
    <row r="91" spans="1:12" s="2466" customFormat="1">
      <c r="A91" s="2161"/>
      <c r="D91" s="2569"/>
      <c r="K91" s="187"/>
      <c r="L91" s="187"/>
    </row>
    <row r="92" spans="1:12" s="2466" customFormat="1">
      <c r="A92" s="2161"/>
      <c r="D92" s="2569"/>
      <c r="K92" s="187"/>
      <c r="L92" s="187"/>
    </row>
    <row r="93" spans="1:12" s="2466" customFormat="1">
      <c r="A93" s="2161"/>
      <c r="D93" s="2569"/>
      <c r="K93" s="187"/>
      <c r="L93" s="187"/>
    </row>
    <row r="94" spans="1:12" s="2466" customFormat="1">
      <c r="A94" s="2161"/>
      <c r="D94" s="2569"/>
      <c r="K94" s="187"/>
      <c r="L94" s="187"/>
    </row>
    <row r="95" spans="1:12" s="2466" customFormat="1">
      <c r="A95" s="2161"/>
      <c r="D95" s="2569"/>
      <c r="K95" s="187"/>
      <c r="L95" s="187"/>
    </row>
    <row r="96" spans="1:12" s="2466" customFormat="1">
      <c r="A96" s="2161"/>
      <c r="D96" s="2569"/>
      <c r="K96" s="187"/>
      <c r="L96" s="187"/>
    </row>
    <row r="97" spans="1:12" s="2466" customFormat="1">
      <c r="A97" s="2161"/>
      <c r="D97" s="2569"/>
      <c r="K97" s="187"/>
      <c r="L97" s="187"/>
    </row>
    <row r="98" spans="1:12" s="2466" customFormat="1">
      <c r="A98" s="2161"/>
      <c r="D98" s="2569"/>
      <c r="K98" s="187"/>
      <c r="L98" s="187"/>
    </row>
    <row r="99" spans="1:12" s="2466" customFormat="1">
      <c r="A99" s="2161"/>
      <c r="D99" s="2569"/>
      <c r="K99" s="187"/>
      <c r="L99" s="187"/>
    </row>
    <row r="100" spans="1:12" s="2466" customFormat="1">
      <c r="A100" s="2161"/>
      <c r="D100" s="2569"/>
      <c r="K100" s="187"/>
      <c r="L100" s="187"/>
    </row>
    <row r="101" spans="1:12" s="2466" customFormat="1">
      <c r="A101" s="2161"/>
      <c r="D101" s="2569"/>
      <c r="K101" s="187"/>
      <c r="L101" s="187"/>
    </row>
    <row r="102" spans="1:12" s="2466" customFormat="1">
      <c r="A102" s="2161"/>
      <c r="D102" s="2569"/>
      <c r="K102" s="187"/>
      <c r="L102" s="187"/>
    </row>
    <row r="103" spans="1:12" s="2466" customFormat="1">
      <c r="A103" s="2161"/>
      <c r="D103" s="2569"/>
      <c r="K103" s="187"/>
      <c r="L103" s="187"/>
    </row>
    <row r="104" spans="1:12" s="2466" customFormat="1">
      <c r="A104" s="2161"/>
      <c r="D104" s="2569"/>
      <c r="K104" s="187"/>
      <c r="L104" s="187"/>
    </row>
    <row r="105" spans="1:12" s="2466" customFormat="1">
      <c r="A105" s="2161"/>
      <c r="D105" s="2569"/>
      <c r="K105" s="187"/>
      <c r="L105" s="187"/>
    </row>
    <row r="106" spans="1:12" s="2466" customFormat="1">
      <c r="A106" s="2161"/>
      <c r="D106" s="2569"/>
      <c r="K106" s="187"/>
      <c r="L106" s="187"/>
    </row>
    <row r="107" spans="1:12" s="2466" customFormat="1">
      <c r="A107" s="2161"/>
      <c r="D107" s="2569"/>
      <c r="K107" s="187"/>
      <c r="L107" s="187"/>
    </row>
    <row r="108" spans="1:12" s="2466" customFormat="1">
      <c r="A108" s="2161"/>
      <c r="D108" s="2569"/>
      <c r="K108" s="187"/>
      <c r="L108" s="187"/>
    </row>
    <row r="109" spans="1:12" s="2466" customFormat="1">
      <c r="A109" s="2161"/>
      <c r="D109" s="2569"/>
      <c r="K109" s="187"/>
      <c r="L109" s="187"/>
    </row>
    <row r="110" spans="1:12" s="2466" customFormat="1">
      <c r="A110" s="2161"/>
      <c r="D110" s="2569"/>
      <c r="K110" s="187"/>
      <c r="L110" s="187"/>
    </row>
    <row r="111" spans="1:12" s="2466" customFormat="1">
      <c r="A111" s="2161"/>
      <c r="D111" s="2569"/>
      <c r="K111" s="187"/>
      <c r="L111" s="187"/>
    </row>
    <row r="112" spans="1:12" s="2466" customFormat="1">
      <c r="A112" s="2161"/>
      <c r="D112" s="2569"/>
      <c r="K112" s="187"/>
      <c r="L112" s="187"/>
    </row>
    <row r="113" spans="1:12" s="2466" customFormat="1">
      <c r="A113" s="2161"/>
      <c r="D113" s="2569"/>
      <c r="K113" s="187"/>
      <c r="L113" s="187"/>
    </row>
    <row r="114" spans="1:12" s="2466" customFormat="1">
      <c r="A114" s="2161"/>
      <c r="D114" s="2569"/>
      <c r="K114" s="187"/>
      <c r="L114" s="187"/>
    </row>
    <row r="115" spans="1:12" s="2466" customFormat="1">
      <c r="A115" s="2161"/>
      <c r="D115" s="2569"/>
      <c r="K115" s="187"/>
      <c r="L115" s="187"/>
    </row>
    <row r="116" spans="1:12" s="2466" customFormat="1">
      <c r="A116" s="2161"/>
      <c r="D116" s="2569"/>
      <c r="K116" s="187"/>
      <c r="L116" s="187"/>
    </row>
    <row r="117" spans="1:12" s="2466" customFormat="1">
      <c r="A117" s="2161"/>
      <c r="D117" s="2569"/>
      <c r="K117" s="187"/>
      <c r="L117" s="187"/>
    </row>
    <row r="118" spans="1:12" s="2466" customFormat="1">
      <c r="A118" s="2161"/>
      <c r="D118" s="2569"/>
      <c r="K118" s="187"/>
      <c r="L118" s="187"/>
    </row>
    <row r="119" spans="1:12" s="2466" customFormat="1">
      <c r="A119" s="2161"/>
      <c r="D119" s="2569"/>
      <c r="K119" s="187"/>
      <c r="L119" s="187"/>
    </row>
    <row r="120" spans="1:12" s="2466" customFormat="1">
      <c r="A120" s="2161"/>
      <c r="D120" s="2569"/>
      <c r="K120" s="187"/>
      <c r="L120" s="187"/>
    </row>
    <row r="121" spans="1:12" s="2466" customFormat="1">
      <c r="A121" s="2161"/>
      <c r="D121" s="2569"/>
      <c r="K121" s="187"/>
      <c r="L121" s="187"/>
    </row>
    <row r="122" spans="1:12" s="2466" customFormat="1">
      <c r="A122" s="2161"/>
      <c r="D122" s="2569"/>
      <c r="K122" s="187"/>
      <c r="L122" s="187"/>
    </row>
    <row r="123" spans="1:12" s="2466" customFormat="1">
      <c r="A123" s="2161"/>
      <c r="D123" s="2569"/>
      <c r="K123" s="187"/>
      <c r="L123" s="187"/>
    </row>
    <row r="124" spans="1:12" s="2466" customFormat="1">
      <c r="A124" s="2161"/>
      <c r="D124" s="2569"/>
      <c r="K124" s="187"/>
      <c r="L124" s="187"/>
    </row>
    <row r="125" spans="1:12" s="2466" customFormat="1">
      <c r="A125" s="2161"/>
      <c r="D125" s="2569"/>
      <c r="K125" s="187"/>
      <c r="L125" s="187"/>
    </row>
    <row r="126" spans="1:12" s="2466" customFormat="1">
      <c r="A126" s="2161"/>
      <c r="D126" s="2569"/>
      <c r="K126" s="187"/>
      <c r="L126" s="187"/>
    </row>
    <row r="127" spans="1:12" s="2466" customFormat="1">
      <c r="A127" s="2161"/>
      <c r="D127" s="2569"/>
      <c r="K127" s="187"/>
      <c r="L127" s="187"/>
    </row>
    <row r="128" spans="1:12" s="2466" customFormat="1">
      <c r="A128" s="2161"/>
      <c r="D128" s="2569"/>
      <c r="K128" s="187"/>
      <c r="L128" s="187"/>
    </row>
    <row r="129" spans="1:12" s="2466" customFormat="1">
      <c r="A129" s="2161"/>
      <c r="D129" s="2569"/>
      <c r="K129" s="187"/>
      <c r="L129" s="187"/>
    </row>
    <row r="130" spans="1:12" s="2466" customFormat="1">
      <c r="A130" s="2161"/>
      <c r="D130" s="2569"/>
      <c r="K130" s="187"/>
      <c r="L130" s="187"/>
    </row>
    <row r="131" spans="1:12" s="2466" customFormat="1">
      <c r="A131" s="2161"/>
      <c r="D131" s="2569"/>
      <c r="K131" s="187"/>
      <c r="L131" s="187"/>
    </row>
    <row r="132" spans="1:12" s="2466" customFormat="1">
      <c r="A132" s="2161"/>
      <c r="D132" s="2569"/>
      <c r="K132" s="187"/>
      <c r="L132" s="187"/>
    </row>
    <row r="133" spans="1:12" s="2466" customFormat="1">
      <c r="A133" s="2161"/>
      <c r="D133" s="2569"/>
      <c r="K133" s="187"/>
      <c r="L133" s="187"/>
    </row>
    <row r="134" spans="1:12" s="2466" customFormat="1">
      <c r="A134" s="2161"/>
      <c r="D134" s="2569"/>
      <c r="K134" s="187"/>
      <c r="L134" s="187"/>
    </row>
    <row r="135" spans="1:12" s="2466" customFormat="1">
      <c r="A135" s="2161"/>
      <c r="D135" s="2569"/>
      <c r="K135" s="187"/>
      <c r="L135" s="187"/>
    </row>
    <row r="136" spans="1:12" s="2466" customFormat="1">
      <c r="A136" s="2161"/>
      <c r="D136" s="2569"/>
      <c r="K136" s="187"/>
      <c r="L136" s="187"/>
    </row>
    <row r="137" spans="1:12" s="2466" customFormat="1">
      <c r="A137" s="2161"/>
      <c r="D137" s="2569"/>
      <c r="K137" s="187"/>
      <c r="L137" s="187"/>
    </row>
    <row r="138" spans="1:12" s="2466" customFormat="1">
      <c r="A138" s="2161"/>
      <c r="D138" s="2569"/>
      <c r="K138" s="187"/>
      <c r="L138" s="187"/>
    </row>
    <row r="139" spans="1:12" s="2466" customFormat="1">
      <c r="A139" s="2161"/>
      <c r="D139" s="2569"/>
      <c r="K139" s="187"/>
      <c r="L139" s="187"/>
    </row>
    <row r="140" spans="1:12" s="2466" customFormat="1">
      <c r="A140" s="2161"/>
      <c r="D140" s="2569"/>
      <c r="K140" s="187"/>
      <c r="L140" s="187"/>
    </row>
    <row r="141" spans="1:12" s="2466" customFormat="1">
      <c r="A141" s="2161"/>
      <c r="D141" s="2569"/>
      <c r="K141" s="187"/>
      <c r="L141" s="187"/>
    </row>
    <row r="142" spans="1:12" s="2466" customFormat="1">
      <c r="A142" s="2161"/>
      <c r="D142" s="2569"/>
      <c r="K142" s="187"/>
      <c r="L142" s="187"/>
    </row>
    <row r="143" spans="1:12" s="2466" customFormat="1">
      <c r="A143" s="2161"/>
      <c r="D143" s="2569"/>
      <c r="K143" s="187"/>
      <c r="L143" s="187"/>
    </row>
    <row r="144" spans="1:12" s="2466" customFormat="1">
      <c r="A144" s="2161"/>
      <c r="D144" s="2569"/>
      <c r="K144" s="187"/>
      <c r="L144" s="187"/>
    </row>
    <row r="145" spans="1:12" s="2466" customFormat="1">
      <c r="A145" s="2161"/>
      <c r="D145" s="2569"/>
      <c r="K145" s="187"/>
      <c r="L145" s="187"/>
    </row>
    <row r="146" spans="1:12" s="2466" customFormat="1">
      <c r="A146" s="2161"/>
      <c r="D146" s="2569"/>
      <c r="K146" s="187"/>
      <c r="L146" s="187"/>
    </row>
    <row r="147" spans="1:12" s="2466" customFormat="1">
      <c r="A147" s="2161"/>
      <c r="D147" s="2569"/>
      <c r="K147" s="187"/>
      <c r="L147" s="187"/>
    </row>
    <row r="148" spans="1:12" s="2466" customFormat="1">
      <c r="A148" s="2161"/>
      <c r="D148" s="2569"/>
      <c r="K148" s="187"/>
      <c r="L148" s="187"/>
    </row>
    <row r="149" spans="1:12" s="2466" customFormat="1">
      <c r="A149" s="2161"/>
      <c r="D149" s="2569"/>
      <c r="K149" s="187"/>
      <c r="L149" s="187"/>
    </row>
    <row r="150" spans="1:12" s="2466" customFormat="1">
      <c r="A150" s="2161"/>
      <c r="D150" s="2569"/>
      <c r="K150" s="187"/>
      <c r="L150" s="187"/>
    </row>
    <row r="151" spans="1:12" s="2466" customFormat="1">
      <c r="A151" s="2161"/>
      <c r="D151" s="2569"/>
      <c r="K151" s="187"/>
      <c r="L151" s="187"/>
    </row>
    <row r="152" spans="1:12" s="2466" customFormat="1">
      <c r="A152" s="2161"/>
      <c r="D152" s="2569"/>
      <c r="K152" s="187"/>
      <c r="L152" s="187"/>
    </row>
    <row r="153" spans="1:12" s="2466" customFormat="1">
      <c r="A153" s="2161"/>
      <c r="D153" s="2569"/>
      <c r="K153" s="187"/>
      <c r="L153" s="187"/>
    </row>
    <row r="154" spans="1:12" s="2466" customFormat="1">
      <c r="A154" s="2161"/>
      <c r="D154" s="2569"/>
      <c r="K154" s="187"/>
      <c r="L154" s="187"/>
    </row>
    <row r="155" spans="1:12" s="2466" customFormat="1">
      <c r="A155" s="2161"/>
      <c r="D155" s="2569"/>
      <c r="K155" s="187"/>
      <c r="L155" s="187"/>
    </row>
    <row r="156" spans="1:12" s="2466" customFormat="1">
      <c r="A156" s="2161"/>
      <c r="D156" s="2569"/>
      <c r="K156" s="187"/>
      <c r="L156" s="187"/>
    </row>
    <row r="157" spans="1:12" s="2466" customFormat="1">
      <c r="A157" s="2161"/>
      <c r="D157" s="2569"/>
      <c r="K157" s="187"/>
      <c r="L157" s="187"/>
    </row>
    <row r="158" spans="1:12" s="2466" customFormat="1">
      <c r="A158" s="2161"/>
      <c r="D158" s="2569"/>
      <c r="K158" s="187"/>
      <c r="L158" s="187"/>
    </row>
    <row r="159" spans="1:12" s="2466" customFormat="1">
      <c r="A159" s="2161"/>
      <c r="D159" s="2569"/>
      <c r="K159" s="187"/>
      <c r="L159" s="187"/>
    </row>
    <row r="160" spans="1:12" s="2466" customFormat="1">
      <c r="A160" s="2161"/>
      <c r="D160" s="2569"/>
      <c r="K160" s="187"/>
      <c r="L160" s="187"/>
    </row>
    <row r="161" spans="1:12" s="2466" customFormat="1">
      <c r="A161" s="2161"/>
      <c r="D161" s="2569"/>
      <c r="K161" s="187"/>
      <c r="L161" s="187"/>
    </row>
    <row r="162" spans="1:12" s="2466" customFormat="1">
      <c r="A162" s="2161"/>
      <c r="D162" s="2569"/>
      <c r="K162" s="187"/>
      <c r="L162" s="187"/>
    </row>
    <row r="163" spans="1:12" s="2466" customFormat="1">
      <c r="A163" s="2161"/>
      <c r="D163" s="2569"/>
      <c r="K163" s="187"/>
      <c r="L163" s="187"/>
    </row>
    <row r="164" spans="1:12" s="2466" customFormat="1">
      <c r="A164" s="2161"/>
      <c r="D164" s="2569"/>
      <c r="K164" s="187"/>
      <c r="L164" s="187"/>
    </row>
    <row r="165" spans="1:12" s="2466" customFormat="1">
      <c r="A165" s="2161"/>
      <c r="D165" s="2569"/>
      <c r="K165" s="187"/>
      <c r="L165" s="187"/>
    </row>
    <row r="166" spans="1:12" s="2466" customFormat="1">
      <c r="A166" s="2161"/>
      <c r="D166" s="2569"/>
      <c r="K166" s="187"/>
      <c r="L166" s="187"/>
    </row>
    <row r="167" spans="1:12" s="2466" customFormat="1">
      <c r="A167" s="2161"/>
      <c r="D167" s="2569"/>
      <c r="K167" s="187"/>
      <c r="L167" s="187"/>
    </row>
    <row r="168" spans="1:12" s="2466" customFormat="1">
      <c r="A168" s="2161"/>
      <c r="D168" s="2569"/>
      <c r="K168" s="187"/>
      <c r="L168" s="187"/>
    </row>
    <row r="169" spans="1:12" s="2466" customFormat="1">
      <c r="A169" s="2161"/>
      <c r="D169" s="2569"/>
      <c r="K169" s="187"/>
      <c r="L169" s="187"/>
    </row>
    <row r="170" spans="1:12" s="2466" customFormat="1">
      <c r="A170" s="2161"/>
      <c r="D170" s="2569"/>
      <c r="K170" s="187"/>
      <c r="L170" s="187"/>
    </row>
    <row r="171" spans="1:12" s="2466" customFormat="1">
      <c r="A171" s="2161"/>
      <c r="D171" s="2569"/>
      <c r="K171" s="187"/>
      <c r="L171" s="187"/>
    </row>
    <row r="172" spans="1:12" s="2466" customFormat="1">
      <c r="A172" s="2161"/>
      <c r="D172" s="2569"/>
      <c r="K172" s="187"/>
      <c r="L172" s="187"/>
    </row>
    <row r="173" spans="1:12" s="2466" customFormat="1">
      <c r="A173" s="2161"/>
      <c r="D173" s="2569"/>
      <c r="K173" s="187"/>
      <c r="L173" s="187"/>
    </row>
    <row r="174" spans="1:12" s="2466" customFormat="1">
      <c r="A174" s="2161"/>
      <c r="D174" s="2569"/>
      <c r="K174" s="187"/>
      <c r="L174" s="187"/>
    </row>
    <row r="175" spans="1:12" s="2466" customFormat="1">
      <c r="A175" s="2161"/>
      <c r="D175" s="2569"/>
      <c r="K175" s="187"/>
      <c r="L175" s="187"/>
    </row>
    <row r="176" spans="1:12" s="2466" customFormat="1">
      <c r="A176" s="2161"/>
      <c r="D176" s="2569"/>
      <c r="K176" s="187"/>
      <c r="L176" s="187"/>
    </row>
    <row r="177" spans="1:12" s="2466" customFormat="1">
      <c r="A177" s="2161"/>
      <c r="D177" s="2569"/>
      <c r="K177" s="187"/>
      <c r="L177" s="187"/>
    </row>
    <row r="178" spans="1:12" s="2466" customFormat="1">
      <c r="A178" s="2161"/>
      <c r="D178" s="2569"/>
      <c r="K178" s="187"/>
      <c r="L178" s="187"/>
    </row>
    <row r="179" spans="1:12" s="2466" customFormat="1">
      <c r="A179" s="2161"/>
      <c r="D179" s="2569"/>
      <c r="K179" s="187"/>
      <c r="L179" s="187"/>
    </row>
    <row r="180" spans="1:12" s="2466" customFormat="1">
      <c r="A180" s="2161"/>
      <c r="D180" s="2569"/>
      <c r="K180" s="187"/>
      <c r="L180" s="187"/>
    </row>
    <row r="181" spans="1:12" s="2466" customFormat="1">
      <c r="A181" s="2161"/>
      <c r="D181" s="2569"/>
      <c r="K181" s="187"/>
      <c r="L181" s="187"/>
    </row>
    <row r="182" spans="1:12" s="2466" customFormat="1">
      <c r="A182" s="2161"/>
      <c r="D182" s="2569"/>
      <c r="K182" s="187"/>
      <c r="L182" s="187"/>
    </row>
    <row r="183" spans="1:12" s="2466" customFormat="1">
      <c r="A183" s="2161"/>
      <c r="D183" s="2569"/>
      <c r="K183" s="187"/>
      <c r="L183" s="187"/>
    </row>
    <row r="184" spans="1:12" s="2466" customFormat="1">
      <c r="A184" s="2161"/>
      <c r="D184" s="2569"/>
      <c r="K184" s="187"/>
      <c r="L184" s="187"/>
    </row>
    <row r="185" spans="1:12" s="2466" customFormat="1">
      <c r="A185" s="2161"/>
      <c r="D185" s="2569"/>
      <c r="K185" s="187"/>
      <c r="L185" s="187"/>
    </row>
    <row r="186" spans="1:12" s="2466" customFormat="1">
      <c r="A186" s="2161"/>
      <c r="D186" s="2569"/>
      <c r="K186" s="187"/>
      <c r="L186" s="187"/>
    </row>
    <row r="187" spans="1:12" s="2466" customFormat="1">
      <c r="A187" s="2161"/>
      <c r="D187" s="2569"/>
      <c r="K187" s="187"/>
      <c r="L187" s="187"/>
    </row>
    <row r="188" spans="1:12" s="2466" customFormat="1">
      <c r="A188" s="2161"/>
      <c r="D188" s="2569"/>
      <c r="K188" s="187"/>
      <c r="L188" s="187"/>
    </row>
    <row r="189" spans="1:12" s="2466" customFormat="1">
      <c r="A189" s="2161"/>
      <c r="D189" s="2569"/>
      <c r="K189" s="187"/>
      <c r="L189" s="187"/>
    </row>
    <row r="190" spans="1:12" s="2466" customFormat="1">
      <c r="A190" s="2161"/>
      <c r="D190" s="2569"/>
      <c r="K190" s="187"/>
      <c r="L190" s="187"/>
    </row>
    <row r="191" spans="1:12" s="2466" customFormat="1">
      <c r="A191" s="2161"/>
      <c r="D191" s="2569"/>
      <c r="K191" s="187"/>
      <c r="L191" s="187"/>
    </row>
    <row r="192" spans="1:12" s="2466" customFormat="1">
      <c r="A192" s="2161"/>
      <c r="D192" s="2569"/>
      <c r="K192" s="187"/>
      <c r="L192" s="187"/>
    </row>
  </sheetData>
  <sheetProtection password="C66D" sheet="1" objects="1" scenarios="1" formatCells="0" formatColumns="0" formatRows="0"/>
  <phoneticPr fontId="224"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1" customWidth="1"/>
    <col min="2" max="2" width="24.5" style="2392" customWidth="1"/>
    <col min="3" max="3" width="24.5" style="2393" customWidth="1"/>
    <col min="4" max="4" width="2.625" style="2393" customWidth="1"/>
    <col min="5" max="5" width="5.875" style="2393" customWidth="1"/>
    <col min="6" max="6" width="27" style="2392" customWidth="1"/>
    <col min="7" max="7" width="27" style="2394" customWidth="1"/>
    <col min="8" max="8" width="11.875" style="2392" customWidth="1"/>
    <col min="9" max="9" width="16.75" style="2394" customWidth="1"/>
    <col min="10" max="10" width="2.625" style="2393" customWidth="1"/>
    <col min="11" max="11" width="11.875" style="2392" customWidth="1"/>
    <col min="12" max="12" width="16.75" style="2394" customWidth="1"/>
    <col min="13" max="13" width="2.625" style="2393" customWidth="1"/>
    <col min="14" max="14" width="11.875" style="2392" customWidth="1"/>
    <col min="15" max="15" width="16.75" style="2394" customWidth="1"/>
    <col min="16" max="16" width="2.625" style="2393" customWidth="1"/>
    <col min="17" max="17" width="11.875" style="2392" customWidth="1"/>
    <col min="18" max="18" width="16.75" style="2395" customWidth="1"/>
    <col min="19" max="16384" width="9" style="2391"/>
  </cols>
  <sheetData>
    <row r="1" spans="1:18" s="2389" customFormat="1" ht="18.75">
      <c r="A1" s="3236" t="s">
        <v>659</v>
      </c>
      <c r="B1" s="3237"/>
      <c r="C1" s="3237"/>
      <c r="D1" s="3237"/>
      <c r="E1" s="3237"/>
      <c r="F1" s="3237"/>
      <c r="G1" s="3237"/>
      <c r="H1" s="2396"/>
      <c r="I1" s="2452"/>
      <c r="J1" s="2453"/>
      <c r="K1" s="2396"/>
      <c r="L1" s="2452"/>
      <c r="M1" s="2453"/>
      <c r="N1" s="2396"/>
      <c r="O1" s="2452"/>
      <c r="P1" s="2453"/>
      <c r="Q1" s="2461"/>
      <c r="R1" s="2462"/>
    </row>
    <row r="2" spans="1:18">
      <c r="A2" s="2397"/>
      <c r="B2" s="2398"/>
      <c r="C2" s="2399" t="s">
        <v>660</v>
      </c>
      <c r="D2" s="2400"/>
      <c r="E2" s="2401"/>
      <c r="F2" s="2402"/>
      <c r="G2" s="2399" t="s">
        <v>164</v>
      </c>
      <c r="H2" s="2391"/>
      <c r="I2" s="2391"/>
      <c r="J2" s="2391"/>
      <c r="K2" s="2391"/>
      <c r="L2" s="2391"/>
      <c r="M2" s="2391"/>
      <c r="N2" s="2391"/>
      <c r="O2" s="2391"/>
      <c r="P2" s="2391"/>
      <c r="Q2" s="2391"/>
      <c r="R2" s="2391"/>
    </row>
    <row r="3" spans="1:18" ht="54">
      <c r="A3" s="2403" t="s">
        <v>661</v>
      </c>
      <c r="B3" s="2404" t="s">
        <v>662</v>
      </c>
      <c r="C3" s="2405" t="s">
        <v>663</v>
      </c>
      <c r="D3" s="2406"/>
      <c r="E3" s="2407" t="s">
        <v>661</v>
      </c>
      <c r="F3" s="2408" t="s">
        <v>664</v>
      </c>
      <c r="G3" s="2409" t="s">
        <v>665</v>
      </c>
      <c r="H3" s="2391"/>
      <c r="I3" s="2391"/>
      <c r="J3" s="2391"/>
      <c r="K3" s="2391"/>
      <c r="L3" s="2391"/>
      <c r="M3" s="2391"/>
      <c r="N3" s="2391"/>
      <c r="O3" s="2391"/>
      <c r="P3" s="2391"/>
      <c r="Q3" s="2391"/>
      <c r="R3" s="2391"/>
    </row>
    <row r="4" spans="1:18" ht="41.25">
      <c r="A4" s="2407"/>
      <c r="B4" s="2410" t="s">
        <v>666</v>
      </c>
      <c r="C4" s="2411" t="s">
        <v>667</v>
      </c>
      <c r="D4" s="2406"/>
      <c r="E4" s="2412"/>
      <c r="F4" s="2413" t="s">
        <v>668</v>
      </c>
      <c r="G4" s="2414" t="s">
        <v>669</v>
      </c>
      <c r="H4" s="2391"/>
      <c r="I4" s="2391"/>
      <c r="J4" s="2391"/>
      <c r="K4" s="2391"/>
      <c r="L4" s="2391"/>
      <c r="M4" s="2391"/>
      <c r="N4" s="2391"/>
      <c r="O4" s="2391"/>
      <c r="P4" s="2391"/>
      <c r="Q4" s="2391"/>
      <c r="R4" s="2391"/>
    </row>
    <row r="5" spans="1:18" ht="41.25">
      <c r="A5" s="2407"/>
      <c r="B5" s="2410" t="s">
        <v>670</v>
      </c>
      <c r="C5" s="2411" t="s">
        <v>671</v>
      </c>
      <c r="D5" s="2406"/>
      <c r="E5" s="2412"/>
      <c r="F5" s="2410" t="s">
        <v>233</v>
      </c>
      <c r="G5" s="2414" t="s">
        <v>672</v>
      </c>
      <c r="H5" s="2391"/>
      <c r="I5" s="2391"/>
      <c r="J5" s="2391"/>
      <c r="K5" s="2391"/>
      <c r="L5" s="2391"/>
      <c r="M5" s="2391"/>
      <c r="N5" s="2391"/>
      <c r="O5" s="2391"/>
      <c r="P5" s="2391"/>
      <c r="Q5" s="2391"/>
      <c r="R5" s="2391"/>
    </row>
    <row r="6" spans="1:18" ht="54">
      <c r="A6" s="2407"/>
      <c r="B6" s="2410" t="s">
        <v>668</v>
      </c>
      <c r="C6" s="2414" t="s">
        <v>669</v>
      </c>
      <c r="D6" s="2406"/>
      <c r="E6" s="2412"/>
      <c r="F6" s="2410" t="s">
        <v>234</v>
      </c>
      <c r="G6" s="2414" t="s">
        <v>673</v>
      </c>
      <c r="H6" s="2391"/>
      <c r="I6" s="2391"/>
      <c r="J6" s="2391"/>
      <c r="K6" s="2391"/>
      <c r="L6" s="2391"/>
      <c r="M6" s="2391"/>
      <c r="N6" s="2391"/>
      <c r="O6" s="2391"/>
      <c r="P6" s="2391"/>
      <c r="Q6" s="2391"/>
      <c r="R6" s="2391"/>
    </row>
    <row r="7" spans="1:18" ht="40.5">
      <c r="A7" s="2407"/>
      <c r="B7" s="2410" t="s">
        <v>233</v>
      </c>
      <c r="C7" s="2414" t="s">
        <v>672</v>
      </c>
      <c r="D7" s="2415"/>
      <c r="E7" s="2416"/>
      <c r="F7" s="2417" t="s">
        <v>674</v>
      </c>
      <c r="G7" s="2418" t="s">
        <v>675</v>
      </c>
      <c r="H7" s="2391"/>
      <c r="I7" s="2391"/>
      <c r="J7" s="2391"/>
      <c r="K7" s="2391"/>
      <c r="L7" s="2391"/>
      <c r="M7" s="2391"/>
      <c r="N7" s="2391"/>
      <c r="O7" s="2391"/>
      <c r="P7" s="2391"/>
      <c r="Q7" s="2391"/>
      <c r="R7" s="2391"/>
    </row>
    <row r="8" spans="1:18" ht="27">
      <c r="A8" s="2407"/>
      <c r="B8" s="2410" t="s">
        <v>234</v>
      </c>
      <c r="C8" s="2414" t="s">
        <v>673</v>
      </c>
      <c r="D8" s="2415"/>
      <c r="E8" s="2415"/>
      <c r="F8" s="2419"/>
      <c r="G8" s="2419"/>
      <c r="H8" s="2391"/>
      <c r="I8" s="2391"/>
      <c r="J8" s="2391"/>
      <c r="K8" s="2391"/>
      <c r="L8" s="2391"/>
      <c r="M8" s="2391"/>
      <c r="N8" s="2391"/>
      <c r="O8" s="2391"/>
      <c r="P8" s="2391"/>
      <c r="Q8" s="2391"/>
      <c r="R8" s="2391"/>
    </row>
    <row r="9" spans="1:18" ht="40.5">
      <c r="A9" s="2407"/>
      <c r="B9" s="2410" t="s">
        <v>676</v>
      </c>
      <c r="C9" s="2411" t="s">
        <v>677</v>
      </c>
      <c r="D9" s="2406"/>
      <c r="E9" s="2415"/>
      <c r="F9" s="2419"/>
      <c r="G9" s="2419"/>
      <c r="H9" s="2391"/>
      <c r="I9" s="2391"/>
      <c r="J9" s="2391"/>
      <c r="K9" s="2391"/>
      <c r="L9" s="2391"/>
      <c r="M9" s="2391"/>
      <c r="N9" s="2391"/>
      <c r="O9" s="2391"/>
      <c r="P9" s="2391"/>
      <c r="Q9" s="2391"/>
      <c r="R9" s="2391"/>
    </row>
    <row r="10" spans="1:18" s="2390" customFormat="1" ht="14.25">
      <c r="A10" s="2420"/>
      <c r="B10" s="2421" t="s">
        <v>678</v>
      </c>
      <c r="C10" s="2422"/>
      <c r="D10" s="2406"/>
      <c r="E10" s="2406"/>
      <c r="F10" s="2419"/>
      <c r="G10" s="2419"/>
      <c r="H10" s="2423"/>
      <c r="I10" s="2454"/>
      <c r="J10" s="2455"/>
      <c r="K10" s="2423"/>
      <c r="L10" s="2454"/>
      <c r="M10" s="2455"/>
      <c r="N10" s="2423"/>
      <c r="O10" s="2454"/>
      <c r="P10" s="2455"/>
      <c r="Q10" s="2423"/>
      <c r="R10" s="2454"/>
    </row>
    <row r="11" spans="1:18" s="2390" customFormat="1">
      <c r="A11" s="2424"/>
      <c r="B11" s="2415"/>
      <c r="C11" s="2406"/>
      <c r="D11" s="2406"/>
      <c r="E11" s="2406"/>
      <c r="F11" s="2415"/>
      <c r="G11" s="2425"/>
      <c r="H11" s="2423"/>
      <c r="I11" s="2454"/>
      <c r="J11" s="2455"/>
      <c r="K11" s="2423"/>
      <c r="L11" s="2454"/>
      <c r="M11" s="2455"/>
      <c r="N11" s="2423"/>
      <c r="O11" s="2454"/>
      <c r="P11" s="2455"/>
      <c r="Q11" s="2423"/>
      <c r="R11" s="2454"/>
    </row>
    <row r="12" spans="1:18" s="2389" customFormat="1" ht="18.75">
      <c r="A12" s="2424"/>
      <c r="B12" s="2415"/>
      <c r="C12" s="2406"/>
      <c r="D12" s="2426"/>
      <c r="E12" s="2406"/>
      <c r="F12" s="2415"/>
      <c r="G12" s="2425"/>
      <c r="H12" s="2427"/>
      <c r="I12" s="2456"/>
      <c r="J12" s="2427"/>
      <c r="K12" s="2427"/>
      <c r="L12" s="2457"/>
      <c r="M12" s="2427"/>
      <c r="N12" s="2458"/>
      <c r="O12" s="2459"/>
      <c r="P12" s="2460"/>
      <c r="Q12" s="2458"/>
      <c r="R12" s="2462"/>
    </row>
    <row r="13" spans="1:18" ht="18.75">
      <c r="A13" s="2428" t="s">
        <v>679</v>
      </c>
      <c r="B13" s="2426"/>
      <c r="C13" s="2426"/>
      <c r="D13" s="2400"/>
      <c r="E13" s="2426"/>
      <c r="F13" s="2426"/>
      <c r="G13" s="2426"/>
    </row>
    <row r="14" spans="1:18">
      <c r="A14" s="2429"/>
      <c r="B14" s="2430"/>
      <c r="C14" s="2431" t="s">
        <v>660</v>
      </c>
      <c r="D14" s="2406"/>
      <c r="E14" s="2432"/>
      <c r="F14" s="2432"/>
      <c r="G14" s="2399" t="s">
        <v>164</v>
      </c>
    </row>
    <row r="15" spans="1:18" ht="54">
      <c r="A15" s="2433" t="s">
        <v>661</v>
      </c>
      <c r="B15" s="2434" t="s">
        <v>662</v>
      </c>
      <c r="C15" s="2435" t="str">
        <f>C3</f>
        <v>估价对象周边居住用地比例、居住小区规模和社区发展完善程度，综合评价居住社区成熟度一般</v>
      </c>
      <c r="D15" s="2406"/>
      <c r="E15" s="2436" t="s">
        <v>661</v>
      </c>
      <c r="F15" s="2434" t="s">
        <v>664</v>
      </c>
      <c r="G15" s="2437" t="str">
        <f>G3</f>
        <v>估价对象位于XX开发区，园区建设成熟度XX，产业集聚程度XX</v>
      </c>
    </row>
    <row r="16" spans="1:18" ht="40.5">
      <c r="A16" s="2438"/>
      <c r="B16" s="2439" t="s">
        <v>666</v>
      </c>
      <c r="C16" s="2440" t="str">
        <f>C4</f>
        <v>估价对象位于XX商圈，周边商业氛围成熟，人流量大，商业繁华度好</v>
      </c>
      <c r="D16" s="2406"/>
      <c r="E16" s="2441"/>
      <c r="F16" s="2442" t="s">
        <v>668</v>
      </c>
      <c r="G16" s="2443" t="str">
        <f>G4</f>
        <v>估价对象周边道路状况、公共交通通达情况、停车便捷程度，综合评价交通便捷度较好</v>
      </c>
    </row>
    <row r="17" spans="1:7" ht="40.5">
      <c r="A17" s="2438"/>
      <c r="B17" s="2439" t="s">
        <v>670</v>
      </c>
      <c r="C17" s="2440" t="str">
        <f>C5</f>
        <v>估价对象位于XX商圈，周边办公楼项目较多，入驻率高，办公集聚程度较好</v>
      </c>
      <c r="D17" s="2415"/>
      <c r="E17" s="2441"/>
      <c r="F17" s="2442" t="s">
        <v>680</v>
      </c>
      <c r="G17" s="1815"/>
    </row>
    <row r="18" spans="1:7" ht="54">
      <c r="A18" s="2438"/>
      <c r="B18" s="2442" t="s">
        <v>668</v>
      </c>
      <c r="C18" s="2443" t="str">
        <f>C6</f>
        <v>估价对象周边道路状况、公共交通通达情况、停车便捷程度，综合评价交通便捷度较好</v>
      </c>
      <c r="D18" s="2415"/>
      <c r="E18" s="2441"/>
      <c r="F18" s="2442" t="s">
        <v>674</v>
      </c>
      <c r="G18" s="2443" t="str">
        <f>G7</f>
        <v>该园区内是否有污染型企业，绿化情况，卫生条件，整体环境状况判断</v>
      </c>
    </row>
    <row r="19" spans="1:7" ht="27">
      <c r="A19" s="2438"/>
      <c r="B19" s="2442" t="s">
        <v>680</v>
      </c>
      <c r="C19" s="1815"/>
      <c r="D19" s="2406"/>
      <c r="E19" s="2441"/>
      <c r="F19" s="2410" t="s">
        <v>233</v>
      </c>
      <c r="G19" s="2443" t="str">
        <f>G5</f>
        <v>估价对象所在区域公共配套设施齐备情况</v>
      </c>
    </row>
    <row r="20" spans="1:7" ht="40.5">
      <c r="A20" s="2438"/>
      <c r="B20" s="2442" t="s">
        <v>681</v>
      </c>
      <c r="C20" s="2440" t="str">
        <f>C9</f>
        <v>区域自然环境：；人文环境；综合评价环境状况一般</v>
      </c>
      <c r="D20" s="2415"/>
      <c r="E20" s="2441"/>
      <c r="F20" s="2410" t="s">
        <v>234</v>
      </c>
      <c r="G20" s="2443" t="str">
        <f>G6</f>
        <v>估价对象所在区域基础设施水平</v>
      </c>
    </row>
    <row r="21" spans="1:7" ht="27">
      <c r="A21" s="2438"/>
      <c r="B21" s="2410" t="s">
        <v>233</v>
      </c>
      <c r="C21" s="2443" t="str">
        <f>C7</f>
        <v>估价对象所在区域公共配套设施齐备情况</v>
      </c>
      <c r="D21" s="2406"/>
      <c r="E21" s="2441"/>
      <c r="F21" s="2442" t="s">
        <v>682</v>
      </c>
      <c r="G21" s="2444"/>
    </row>
    <row r="22" spans="1:7" ht="27">
      <c r="A22" s="2438"/>
      <c r="B22" s="2410" t="s">
        <v>234</v>
      </c>
      <c r="C22" s="2443" t="str">
        <f>C8</f>
        <v>估价对象所在区域基础设施水平</v>
      </c>
      <c r="D22" s="2406"/>
      <c r="E22" s="2441"/>
      <c r="F22" s="2442" t="s">
        <v>678</v>
      </c>
      <c r="G22" s="1815"/>
    </row>
    <row r="23" spans="1:7" ht="14.25">
      <c r="A23" s="2438"/>
      <c r="B23" s="2442" t="s">
        <v>682</v>
      </c>
      <c r="C23" s="2444"/>
      <c r="E23" s="2445"/>
      <c r="F23" s="2446" t="s">
        <v>219</v>
      </c>
      <c r="G23" s="2447"/>
    </row>
    <row r="24" spans="1:7">
      <c r="A24" s="2448"/>
      <c r="B24" s="2446" t="s">
        <v>678</v>
      </c>
      <c r="C24" s="2449">
        <f>C10</f>
        <v>0</v>
      </c>
      <c r="E24" s="2450"/>
      <c r="F24" s="2450"/>
      <c r="G24" s="2451"/>
    </row>
    <row r="25" spans="1:7">
      <c r="E25" s="2391"/>
      <c r="F25" s="2391"/>
      <c r="G25" s="2391"/>
    </row>
    <row r="26" spans="1:7">
      <c r="E26" s="2391"/>
      <c r="F26" s="2391"/>
      <c r="G26" s="2391"/>
    </row>
    <row r="27" spans="1:7">
      <c r="E27" s="2391"/>
      <c r="F27" s="2391"/>
      <c r="G27" s="2391"/>
    </row>
    <row r="28" spans="1:7">
      <c r="E28" s="2391"/>
      <c r="F28" s="2391"/>
      <c r="G28" s="2391"/>
    </row>
    <row r="29" spans="1:7">
      <c r="E29" s="2391"/>
      <c r="F29" s="2391"/>
      <c r="G29" s="2391"/>
    </row>
    <row r="30" spans="1:7">
      <c r="E30" s="2391"/>
      <c r="F30" s="2391"/>
      <c r="G30" s="2391"/>
    </row>
    <row r="31" spans="1:7">
      <c r="E31" s="2391"/>
      <c r="F31" s="2391"/>
      <c r="G31" s="2391"/>
    </row>
    <row r="32" spans="1:7">
      <c r="E32" s="2391"/>
      <c r="F32" s="2391"/>
      <c r="G32" s="2391"/>
    </row>
    <row r="33" spans="5:7">
      <c r="E33" s="2391"/>
      <c r="F33" s="2391"/>
      <c r="G33" s="2391"/>
    </row>
    <row r="34" spans="5:7">
      <c r="E34" s="2391"/>
      <c r="F34" s="2391"/>
      <c r="G34" s="2391"/>
    </row>
    <row r="35" spans="5:7">
      <c r="E35" s="2391"/>
      <c r="F35" s="2391"/>
      <c r="G35" s="2391"/>
    </row>
    <row r="36" spans="5:7">
      <c r="E36" s="2391"/>
      <c r="F36" s="2391"/>
      <c r="G36" s="2391"/>
    </row>
    <row r="37" spans="5:7">
      <c r="E37" s="2391"/>
      <c r="F37" s="2391"/>
      <c r="G37" s="2391"/>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0" t="s">
        <v>683</v>
      </c>
      <c r="B1" s="2380">
        <f>SUM(B14:B23)</f>
        <v>73411.47</v>
      </c>
      <c r="C1" s="2381"/>
      <c r="D1" s="2381"/>
      <c r="E1" s="2381"/>
      <c r="F1" s="2381"/>
    </row>
    <row r="2" spans="1:9" ht="16.5">
      <c r="A2" s="2380" t="s">
        <v>684</v>
      </c>
      <c r="B2" s="2380">
        <f>SUM(C14:C23)</f>
        <v>42969</v>
      </c>
      <c r="C2" s="2381"/>
      <c r="D2" s="2381"/>
      <c r="E2" s="2381"/>
      <c r="F2" s="2381"/>
    </row>
    <row r="3" spans="1:9" ht="16.5">
      <c r="A3" s="2380" t="s">
        <v>685</v>
      </c>
      <c r="B3" s="2382">
        <f>项目基本情况!D3</f>
        <v>43600</v>
      </c>
      <c r="C3" s="2381"/>
      <c r="D3" s="2381"/>
      <c r="E3" s="2381"/>
      <c r="F3" s="2381"/>
    </row>
    <row r="4" spans="1:9" ht="33">
      <c r="A4" s="2380" t="s">
        <v>361</v>
      </c>
      <c r="B4" s="2380" t="s">
        <v>686</v>
      </c>
      <c r="C4" s="2380" t="s">
        <v>687</v>
      </c>
      <c r="D4" s="2380" t="s">
        <v>688</v>
      </c>
      <c r="E4" s="2381"/>
      <c r="F4" s="2381"/>
    </row>
    <row r="5" spans="1:9" ht="16.5">
      <c r="A5" s="2380" t="s">
        <v>689</v>
      </c>
      <c r="B5" s="2380">
        <f ca="1">SUM(D14:D23)</f>
        <v>7477</v>
      </c>
      <c r="C5" s="2380">
        <f ca="1">ROUND(B5*10000/$B$1,0)</f>
        <v>1019</v>
      </c>
      <c r="D5" s="2380">
        <f ca="1">ROUND(B5*10000/$B$2,0)</f>
        <v>1740</v>
      </c>
      <c r="E5" s="2381"/>
      <c r="F5" s="2381"/>
    </row>
    <row r="6" spans="1:9" ht="16.5">
      <c r="A6" s="2380" t="s">
        <v>690</v>
      </c>
      <c r="B6" s="2380">
        <f ca="1">SUM(G14:G23)</f>
        <v>7477</v>
      </c>
      <c r="C6" s="2380">
        <f t="shared" ref="C6:C8" ca="1" si="0">ROUND(B6*10000/$B$1,0)</f>
        <v>1019</v>
      </c>
      <c r="D6" s="2380">
        <f t="shared" ref="D6:D8" ca="1" si="1">ROUND(B6*10000/$B$2,0)</f>
        <v>1740</v>
      </c>
      <c r="E6" s="2381"/>
      <c r="F6" s="2381"/>
    </row>
    <row r="7" spans="1:9" ht="16.5">
      <c r="A7" s="2380" t="s">
        <v>691</v>
      </c>
      <c r="B7" s="2380">
        <f>SUM(H14:H23)</f>
        <v>0</v>
      </c>
      <c r="C7" s="2380">
        <f t="shared" si="0"/>
        <v>0</v>
      </c>
      <c r="D7" s="2380">
        <f t="shared" si="1"/>
        <v>0</v>
      </c>
      <c r="E7" s="2381"/>
      <c r="F7" s="2381"/>
    </row>
    <row r="8" spans="1:9" ht="16.5">
      <c r="A8" s="2380" t="s">
        <v>346</v>
      </c>
      <c r="B8" s="2380">
        <f>SUM(I14:I23)</f>
        <v>0</v>
      </c>
      <c r="C8" s="2380">
        <f t="shared" si="0"/>
        <v>0</v>
      </c>
      <c r="D8" s="2380">
        <f t="shared" si="1"/>
        <v>0</v>
      </c>
      <c r="E8" s="2381"/>
      <c r="F8" s="2381"/>
    </row>
    <row r="9" spans="1:9" ht="16.5">
      <c r="A9" s="2380" t="s">
        <v>692</v>
      </c>
      <c r="B9" s="2383"/>
      <c r="C9" s="2381"/>
      <c r="D9" s="2381"/>
      <c r="E9" s="2381"/>
      <c r="F9" s="2381"/>
    </row>
    <row r="10" spans="1:9" ht="16.5">
      <c r="A10" s="2380" t="s">
        <v>693</v>
      </c>
      <c r="B10" s="2383"/>
      <c r="C10" s="2381"/>
      <c r="D10" s="2381"/>
      <c r="E10" s="2381"/>
      <c r="F10" s="2381"/>
    </row>
    <row r="11" spans="1:9" ht="16.5">
      <c r="A11" s="2380" t="s">
        <v>694</v>
      </c>
      <c r="B11" s="2383"/>
      <c r="C11" s="2381"/>
      <c r="D11" s="2381"/>
      <c r="E11" s="2381"/>
      <c r="F11" s="2381"/>
    </row>
    <row r="12" spans="1:9" ht="16.5">
      <c r="A12" s="2381"/>
      <c r="B12" s="2381"/>
      <c r="C12" s="2381"/>
      <c r="D12" s="2381"/>
      <c r="E12" s="2381"/>
      <c r="F12" s="2381"/>
    </row>
    <row r="13" spans="1:9" ht="33">
      <c r="A13" s="2384" t="s">
        <v>695</v>
      </c>
      <c r="B13" s="2385" t="s">
        <v>683</v>
      </c>
      <c r="C13" s="2385" t="s">
        <v>684</v>
      </c>
      <c r="D13" s="2385" t="s">
        <v>696</v>
      </c>
      <c r="E13" s="2380" t="s">
        <v>687</v>
      </c>
      <c r="F13" s="2380" t="s">
        <v>688</v>
      </c>
      <c r="G13" s="2385" t="s">
        <v>697</v>
      </c>
      <c r="H13" s="2385" t="s">
        <v>698</v>
      </c>
      <c r="I13" s="2385" t="s">
        <v>699</v>
      </c>
    </row>
    <row r="14" spans="1:9" ht="16.5">
      <c r="A14" s="2386" t="s">
        <v>700</v>
      </c>
      <c r="B14" s="2385">
        <f>结果表!L38</f>
        <v>73411.47</v>
      </c>
      <c r="C14" s="2385">
        <f>结果表!K38</f>
        <v>42969</v>
      </c>
      <c r="D14" s="2385">
        <f ca="1">结果表!C42</f>
        <v>7477</v>
      </c>
      <c r="E14" s="2385">
        <f ca="1">ROUND(D14*10000/B14,0)</f>
        <v>1019</v>
      </c>
      <c r="F14" s="2385">
        <f ca="1">ROUND(D14*10000/C14,0)</f>
        <v>1740</v>
      </c>
      <c r="G14" s="2385">
        <f ca="1">结果表!C44</f>
        <v>7477</v>
      </c>
      <c r="H14" s="2385" t="str">
        <f>结果表!C45</f>
        <v>——</v>
      </c>
      <c r="I14" s="2385" t="str">
        <f>结果表!C46</f>
        <v>——</v>
      </c>
    </row>
    <row r="15" spans="1:9" ht="16.5">
      <c r="A15" s="2386" t="s">
        <v>701</v>
      </c>
      <c r="B15" s="2387"/>
      <c r="C15" s="2387"/>
      <c r="D15" s="2387"/>
      <c r="E15" s="2385" t="e">
        <f t="shared" ref="E15:E23" si="2">ROUND(D15*10000/B15,0)</f>
        <v>#DIV/0!</v>
      </c>
      <c r="F15" s="2385" t="e">
        <f t="shared" ref="F15:F23" si="3">ROUND(D15*10000/C15,0)</f>
        <v>#DIV/0!</v>
      </c>
      <c r="G15" s="2388"/>
      <c r="H15" s="2388"/>
      <c r="I15" s="2387"/>
    </row>
    <row r="16" spans="1:9" ht="16.5">
      <c r="A16" s="2386" t="s">
        <v>702</v>
      </c>
      <c r="B16" s="2387"/>
      <c r="C16" s="2387"/>
      <c r="D16" s="2387"/>
      <c r="E16" s="2385" t="e">
        <f t="shared" si="2"/>
        <v>#DIV/0!</v>
      </c>
      <c r="F16" s="2385" t="e">
        <f t="shared" si="3"/>
        <v>#DIV/0!</v>
      </c>
      <c r="G16" s="2388"/>
      <c r="H16" s="2388"/>
      <c r="I16" s="2387"/>
    </row>
    <row r="17" spans="1:9" ht="16.5">
      <c r="A17" s="2386" t="s">
        <v>703</v>
      </c>
      <c r="B17" s="2387"/>
      <c r="C17" s="2387"/>
      <c r="D17" s="2387"/>
      <c r="E17" s="2385" t="e">
        <f t="shared" si="2"/>
        <v>#DIV/0!</v>
      </c>
      <c r="F17" s="2385" t="e">
        <f t="shared" si="3"/>
        <v>#DIV/0!</v>
      </c>
      <c r="G17" s="2388"/>
      <c r="H17" s="2388"/>
      <c r="I17" s="2387"/>
    </row>
    <row r="18" spans="1:9" ht="16.5">
      <c r="A18" s="2386" t="s">
        <v>704</v>
      </c>
      <c r="B18" s="2387"/>
      <c r="C18" s="2387"/>
      <c r="D18" s="2387"/>
      <c r="E18" s="2385" t="e">
        <f t="shared" si="2"/>
        <v>#DIV/0!</v>
      </c>
      <c r="F18" s="2385" t="e">
        <f t="shared" si="3"/>
        <v>#DIV/0!</v>
      </c>
      <c r="G18" s="2387"/>
      <c r="H18" s="2387"/>
      <c r="I18" s="2387"/>
    </row>
    <row r="19" spans="1:9" ht="16.5">
      <c r="A19" s="2386" t="s">
        <v>705</v>
      </c>
      <c r="B19" s="2387"/>
      <c r="C19" s="2387"/>
      <c r="D19" s="2387"/>
      <c r="E19" s="2385" t="e">
        <f t="shared" si="2"/>
        <v>#DIV/0!</v>
      </c>
      <c r="F19" s="2385" t="e">
        <f t="shared" si="3"/>
        <v>#DIV/0!</v>
      </c>
      <c r="G19" s="2387"/>
      <c r="H19" s="2387"/>
      <c r="I19" s="2387"/>
    </row>
    <row r="20" spans="1:9" ht="16.5">
      <c r="A20" s="2386" t="s">
        <v>706</v>
      </c>
      <c r="B20" s="2387"/>
      <c r="C20" s="2387"/>
      <c r="D20" s="2387"/>
      <c r="E20" s="2385" t="e">
        <f t="shared" si="2"/>
        <v>#DIV/0!</v>
      </c>
      <c r="F20" s="2385" t="e">
        <f t="shared" si="3"/>
        <v>#DIV/0!</v>
      </c>
      <c r="G20" s="2387"/>
      <c r="H20" s="2387"/>
      <c r="I20" s="2387"/>
    </row>
    <row r="21" spans="1:9" ht="16.5">
      <c r="A21" s="2386" t="s">
        <v>707</v>
      </c>
      <c r="B21" s="2387"/>
      <c r="C21" s="2387"/>
      <c r="D21" s="2387"/>
      <c r="E21" s="2385" t="e">
        <f t="shared" si="2"/>
        <v>#DIV/0!</v>
      </c>
      <c r="F21" s="2385" t="e">
        <f t="shared" si="3"/>
        <v>#DIV/0!</v>
      </c>
      <c r="G21" s="2387"/>
      <c r="H21" s="2387"/>
      <c r="I21" s="2387"/>
    </row>
    <row r="22" spans="1:9" ht="16.5">
      <c r="A22" s="2386" t="s">
        <v>708</v>
      </c>
      <c r="B22" s="2387"/>
      <c r="C22" s="2387"/>
      <c r="D22" s="2387"/>
      <c r="E22" s="2385" t="e">
        <f t="shared" si="2"/>
        <v>#DIV/0!</v>
      </c>
      <c r="F22" s="2385" t="e">
        <f t="shared" si="3"/>
        <v>#DIV/0!</v>
      </c>
      <c r="G22" s="2387"/>
      <c r="H22" s="2387"/>
      <c r="I22" s="2387"/>
    </row>
    <row r="23" spans="1:9" ht="16.5">
      <c r="A23" s="2386" t="s">
        <v>709</v>
      </c>
      <c r="B23" s="2387"/>
      <c r="C23" s="2387"/>
      <c r="D23" s="2387"/>
      <c r="E23" s="2380" t="e">
        <f t="shared" si="2"/>
        <v>#DIV/0!</v>
      </c>
      <c r="F23" s="2380" t="e">
        <f t="shared" si="3"/>
        <v>#DIV/0!</v>
      </c>
      <c r="G23" s="2387"/>
      <c r="H23" s="2387"/>
      <c r="I23" s="2387"/>
    </row>
  </sheetData>
  <sheetProtection password="C66D" sheet="1" objects="1" scenarios="1" formatCells="0" formatColumns="0" formatRows="0"/>
  <phoneticPr fontId="22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14" sqref="C14:C1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710</v>
      </c>
      <c r="B1" s="2055"/>
      <c r="C1" s="2056" t="s">
        <v>711</v>
      </c>
      <c r="D1" s="2057"/>
      <c r="E1" s="2056" t="s">
        <v>712</v>
      </c>
      <c r="F1" s="2058"/>
      <c r="G1" s="115"/>
      <c r="H1" s="115"/>
      <c r="I1" s="115"/>
      <c r="J1" s="180"/>
      <c r="K1" s="180"/>
      <c r="L1" s="180"/>
      <c r="M1" s="180"/>
      <c r="N1" s="180"/>
      <c r="O1" s="180"/>
      <c r="P1" s="180"/>
      <c r="Q1" s="180"/>
      <c r="R1" s="180"/>
      <c r="S1" s="180"/>
      <c r="T1" s="180"/>
      <c r="U1" s="180"/>
      <c r="V1" s="180"/>
    </row>
    <row r="2" spans="1:22" ht="21.75" customHeight="1">
      <c r="A2" s="3238" t="str">
        <f>项目基本情况!K2</f>
        <v>山东省寿光市文苑路以西、文庙街以北出让国有建设用地使用权</v>
      </c>
      <c r="B2" s="3239"/>
      <c r="C2" s="3240"/>
      <c r="D2" s="3240"/>
      <c r="E2" s="3240"/>
      <c r="F2" s="3240"/>
      <c r="G2" s="3239"/>
      <c r="H2" s="3239"/>
      <c r="I2" s="3241"/>
      <c r="J2" s="2170"/>
      <c r="K2" s="180"/>
      <c r="L2" s="180"/>
      <c r="M2" s="180"/>
      <c r="N2" s="180"/>
      <c r="O2" s="180"/>
      <c r="P2" s="180"/>
      <c r="Q2" s="180"/>
      <c r="R2" s="180"/>
      <c r="S2" s="180"/>
      <c r="T2" s="180"/>
      <c r="U2" s="180"/>
      <c r="V2" s="180"/>
    </row>
    <row r="3" spans="1:22" ht="14.25">
      <c r="A3" s="3242" t="s">
        <v>713</v>
      </c>
      <c r="B3" s="3243"/>
      <c r="C3" s="3243"/>
      <c r="D3" s="3243"/>
      <c r="E3" s="3243"/>
      <c r="F3" s="3243"/>
      <c r="G3" s="3243"/>
      <c r="H3" s="3243"/>
      <c r="I3" s="3243"/>
      <c r="J3" s="2170"/>
      <c r="K3" s="180"/>
      <c r="L3" s="180"/>
      <c r="M3" s="180"/>
      <c r="N3" s="180"/>
      <c r="O3" s="180"/>
      <c r="P3" s="180"/>
      <c r="Q3" s="180"/>
      <c r="R3" s="180"/>
      <c r="S3" s="180"/>
      <c r="T3" s="180"/>
      <c r="U3" s="180"/>
      <c r="V3" s="180"/>
    </row>
    <row r="4" spans="1:22" ht="14.25">
      <c r="A4" s="2059" t="s">
        <v>714</v>
      </c>
      <c r="B4" s="2023" t="s">
        <v>715</v>
      </c>
      <c r="C4" s="1257" t="s">
        <v>716</v>
      </c>
      <c r="D4" s="1257" t="s">
        <v>717</v>
      </c>
      <c r="E4" s="3244" t="s">
        <v>718</v>
      </c>
      <c r="F4" s="3245"/>
      <c r="G4" s="3245"/>
      <c r="H4" s="3245"/>
      <c r="I4" s="3246"/>
      <c r="J4" s="2170"/>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312" t="s">
        <v>719</v>
      </c>
      <c r="B5" s="3314">
        <v>25</v>
      </c>
      <c r="C5" s="3250"/>
      <c r="D5" s="3253"/>
      <c r="E5" s="779" t="s">
        <v>720</v>
      </c>
      <c r="F5" s="2062"/>
      <c r="G5" s="2062"/>
      <c r="H5" s="2062"/>
      <c r="I5" s="2172"/>
      <c r="J5" s="2170"/>
      <c r="K5" s="180"/>
      <c r="L5" s="180"/>
      <c r="M5" s="180"/>
      <c r="N5" s="180"/>
      <c r="O5" s="180"/>
      <c r="P5" s="180"/>
      <c r="Q5" s="180"/>
      <c r="R5" s="180"/>
      <c r="S5" s="180"/>
      <c r="T5" s="180"/>
      <c r="U5" s="180"/>
      <c r="V5" s="180"/>
    </row>
    <row r="6" spans="1:22" ht="14.25">
      <c r="A6" s="3312"/>
      <c r="B6" s="3314"/>
      <c r="C6" s="3252"/>
      <c r="D6" s="3253"/>
      <c r="E6" s="779" t="s">
        <v>721</v>
      </c>
      <c r="F6" s="2062"/>
      <c r="G6" s="2062"/>
      <c r="H6" s="2062"/>
      <c r="I6" s="2172"/>
      <c r="J6" s="2170"/>
      <c r="K6" s="180"/>
      <c r="L6" s="180"/>
      <c r="M6" s="180"/>
      <c r="N6" s="180"/>
      <c r="O6" s="180"/>
      <c r="P6" s="180"/>
      <c r="Q6" s="180"/>
      <c r="R6" s="180"/>
      <c r="S6" s="180"/>
      <c r="T6" s="180"/>
      <c r="U6" s="180"/>
      <c r="V6" s="180"/>
    </row>
    <row r="7" spans="1:22" ht="14.25">
      <c r="A7" s="3312"/>
      <c r="B7" s="3314"/>
      <c r="C7" s="3251"/>
      <c r="D7" s="3253"/>
      <c r="E7" s="779" t="s">
        <v>722</v>
      </c>
      <c r="F7" s="2062"/>
      <c r="G7" s="2062"/>
      <c r="H7" s="2062"/>
      <c r="I7" s="2172"/>
      <c r="J7" s="2170"/>
      <c r="K7" s="180"/>
      <c r="L7" s="180"/>
      <c r="M7" s="180"/>
      <c r="N7" s="180"/>
      <c r="O7" s="180"/>
      <c r="P7" s="180"/>
      <c r="Q7" s="180"/>
      <c r="R7" s="180"/>
      <c r="S7" s="180"/>
      <c r="T7" s="180"/>
      <c r="U7" s="180"/>
      <c r="V7" s="180"/>
    </row>
    <row r="8" spans="1:22" ht="14.25">
      <c r="A8" s="3312" t="s">
        <v>723</v>
      </c>
      <c r="B8" s="3314">
        <v>15</v>
      </c>
      <c r="C8" s="3250"/>
      <c r="D8" s="3253"/>
      <c r="E8" s="779" t="s">
        <v>724</v>
      </c>
      <c r="F8" s="2062"/>
      <c r="G8" s="2062"/>
      <c r="H8" s="2062"/>
      <c r="I8" s="2172"/>
      <c r="J8" s="2170"/>
      <c r="K8" s="180"/>
      <c r="L8" s="180"/>
      <c r="M8" s="180"/>
      <c r="N8" s="180"/>
      <c r="O8" s="180"/>
      <c r="P8" s="180"/>
      <c r="Q8" s="180"/>
      <c r="R8" s="180"/>
      <c r="S8" s="180"/>
      <c r="T8" s="180"/>
      <c r="U8" s="180"/>
      <c r="V8" s="180"/>
    </row>
    <row r="9" spans="1:22" ht="14.25">
      <c r="A9" s="3312"/>
      <c r="B9" s="3314"/>
      <c r="C9" s="3251"/>
      <c r="D9" s="3253"/>
      <c r="E9" s="779" t="s">
        <v>725</v>
      </c>
      <c r="F9" s="2062"/>
      <c r="G9" s="2062"/>
      <c r="H9" s="2062"/>
      <c r="I9" s="2172"/>
      <c r="J9" s="2170"/>
      <c r="K9" s="180"/>
      <c r="L9" s="180"/>
      <c r="M9" s="180"/>
      <c r="N9" s="180"/>
      <c r="O9" s="180"/>
      <c r="P9" s="180"/>
      <c r="Q9" s="180"/>
      <c r="R9" s="180"/>
      <c r="S9" s="180"/>
      <c r="T9" s="180"/>
      <c r="U9" s="180"/>
      <c r="V9" s="180"/>
    </row>
    <row r="10" spans="1:22" ht="14.25">
      <c r="A10" s="3312" t="s">
        <v>726</v>
      </c>
      <c r="B10" s="3314">
        <v>15</v>
      </c>
      <c r="C10" s="3250"/>
      <c r="D10" s="3253"/>
      <c r="E10" s="779" t="s">
        <v>727</v>
      </c>
      <c r="F10" s="2062"/>
      <c r="G10" s="2062"/>
      <c r="H10" s="2062"/>
      <c r="I10" s="2172"/>
      <c r="J10" s="2170"/>
      <c r="K10" s="180"/>
      <c r="L10" s="180"/>
      <c r="M10" s="180"/>
      <c r="N10" s="180"/>
      <c r="O10" s="180"/>
      <c r="P10" s="180"/>
      <c r="Q10" s="180"/>
      <c r="R10" s="180"/>
      <c r="S10" s="180"/>
      <c r="T10" s="180"/>
      <c r="U10" s="180"/>
      <c r="V10" s="180"/>
    </row>
    <row r="11" spans="1:22" ht="14.25">
      <c r="A11" s="3312"/>
      <c r="B11" s="3314"/>
      <c r="C11" s="3251"/>
      <c r="D11" s="3253"/>
      <c r="E11" s="779" t="s">
        <v>728</v>
      </c>
      <c r="F11" s="2062"/>
      <c r="G11" s="2062"/>
      <c r="H11" s="2062"/>
      <c r="I11" s="2172"/>
      <c r="J11" s="2170"/>
      <c r="K11" s="180"/>
      <c r="L11" s="180"/>
      <c r="M11" s="180"/>
      <c r="N11" s="180"/>
      <c r="O11" s="180"/>
      <c r="P11" s="180"/>
      <c r="Q11" s="180"/>
      <c r="R11" s="180"/>
      <c r="S11" s="180"/>
      <c r="T11" s="180"/>
      <c r="U11" s="180"/>
      <c r="V11" s="180"/>
    </row>
    <row r="12" spans="1:22" ht="14.25">
      <c r="A12" s="3312" t="s">
        <v>729</v>
      </c>
      <c r="B12" s="3314">
        <v>15</v>
      </c>
      <c r="C12" s="3250"/>
      <c r="D12" s="3253"/>
      <c r="E12" s="779" t="s">
        <v>730</v>
      </c>
      <c r="F12" s="2062"/>
      <c r="G12" s="2062"/>
      <c r="H12" s="2062"/>
      <c r="I12" s="2172"/>
      <c r="J12" s="2170"/>
      <c r="K12" s="180"/>
      <c r="L12" s="180"/>
      <c r="M12" s="180"/>
      <c r="N12" s="180"/>
      <c r="O12" s="180"/>
      <c r="P12" s="180"/>
      <c r="Q12" s="180"/>
      <c r="R12" s="180"/>
      <c r="S12" s="180"/>
      <c r="T12" s="180"/>
      <c r="U12" s="180"/>
      <c r="V12" s="180"/>
    </row>
    <row r="13" spans="1:22" ht="14.25">
      <c r="A13" s="3312"/>
      <c r="B13" s="3314"/>
      <c r="C13" s="3251"/>
      <c r="D13" s="3253"/>
      <c r="E13" s="779" t="s">
        <v>731</v>
      </c>
      <c r="F13" s="2062"/>
      <c r="G13" s="2062"/>
      <c r="H13" s="2062"/>
      <c r="I13" s="2172"/>
      <c r="J13" s="2170"/>
      <c r="K13" s="180"/>
      <c r="L13" s="180"/>
      <c r="M13" s="180"/>
      <c r="N13" s="180"/>
      <c r="O13" s="180"/>
      <c r="P13" s="180"/>
      <c r="Q13" s="180"/>
      <c r="R13" s="180"/>
      <c r="S13" s="180"/>
      <c r="T13" s="180"/>
      <c r="U13" s="180"/>
      <c r="V13" s="180"/>
    </row>
    <row r="14" spans="1:22" ht="14.25">
      <c r="A14" s="3312" t="s">
        <v>732</v>
      </c>
      <c r="B14" s="3314">
        <v>30</v>
      </c>
      <c r="C14" s="3459">
        <v>4</v>
      </c>
      <c r="D14" s="3460">
        <v>6</v>
      </c>
      <c r="E14" s="779" t="s">
        <v>733</v>
      </c>
      <c r="F14" s="2062"/>
      <c r="G14" s="2062"/>
      <c r="H14" s="2062"/>
      <c r="I14" s="2172"/>
      <c r="J14" s="2170"/>
      <c r="K14" s="180"/>
      <c r="L14" s="180"/>
      <c r="M14" s="180"/>
      <c r="N14" s="180"/>
      <c r="O14" s="180"/>
      <c r="P14" s="180"/>
      <c r="Q14" s="180"/>
      <c r="R14" s="180"/>
      <c r="S14" s="180"/>
      <c r="T14" s="180"/>
      <c r="U14" s="180"/>
      <c r="V14" s="180"/>
    </row>
    <row r="15" spans="1:22" ht="14.25">
      <c r="A15" s="3312"/>
      <c r="B15" s="3314"/>
      <c r="C15" s="3461"/>
      <c r="D15" s="3460"/>
      <c r="E15" s="779" t="s">
        <v>734</v>
      </c>
      <c r="F15" s="2062"/>
      <c r="G15" s="2062"/>
      <c r="H15" s="2062"/>
      <c r="I15" s="2172"/>
      <c r="J15" s="2170"/>
      <c r="K15" s="180"/>
      <c r="L15" s="180"/>
      <c r="M15" s="180"/>
      <c r="N15" s="180"/>
      <c r="O15" s="180"/>
      <c r="P15" s="180"/>
      <c r="Q15" s="180"/>
      <c r="R15" s="180"/>
      <c r="S15" s="180"/>
      <c r="T15" s="180"/>
      <c r="U15" s="180"/>
      <c r="V15" s="180"/>
    </row>
    <row r="16" spans="1:22" ht="14.25">
      <c r="A16" s="3312"/>
      <c r="B16" s="3314"/>
      <c r="C16" s="3462"/>
      <c r="D16" s="3460"/>
      <c r="E16" s="779" t="s">
        <v>735</v>
      </c>
      <c r="F16" s="2062"/>
      <c r="G16" s="2062"/>
      <c r="H16" s="2062"/>
      <c r="I16" s="2172"/>
      <c r="J16" s="2170"/>
      <c r="K16" s="180"/>
      <c r="L16" s="180"/>
      <c r="M16" s="180"/>
      <c r="N16" s="180"/>
      <c r="O16" s="180"/>
      <c r="P16" s="180"/>
      <c r="Q16" s="180"/>
      <c r="R16" s="180"/>
      <c r="S16" s="180"/>
      <c r="T16" s="180"/>
      <c r="U16" s="180"/>
      <c r="V16" s="180"/>
    </row>
    <row r="17" spans="1:26" ht="15">
      <c r="A17" s="2063" t="s">
        <v>736</v>
      </c>
      <c r="B17" s="2064"/>
      <c r="C17" s="2065">
        <f>SUM(C5:C16)</f>
        <v>4</v>
      </c>
      <c r="D17" s="2065">
        <f>SUM(D5:D16)</f>
        <v>6</v>
      </c>
      <c r="E17" s="115"/>
      <c r="F17" s="115"/>
      <c r="G17" s="115"/>
      <c r="H17" s="115"/>
      <c r="I17" s="115"/>
      <c r="J17" s="2170"/>
      <c r="K17" s="180"/>
      <c r="L17" s="180"/>
      <c r="M17" s="180"/>
      <c r="N17" s="180"/>
      <c r="O17" s="180"/>
      <c r="P17" s="180"/>
      <c r="Q17" s="180"/>
      <c r="R17" s="180"/>
      <c r="S17" s="180"/>
      <c r="T17" s="180"/>
      <c r="U17" s="180"/>
      <c r="V17" s="180"/>
    </row>
    <row r="18" spans="1:26" ht="15">
      <c r="A18" s="2066" t="s">
        <v>737</v>
      </c>
      <c r="B18" s="2067"/>
      <c r="C18" s="2068">
        <f>ROUND(C17/SUM(C17:D17),2)</f>
        <v>0.4</v>
      </c>
      <c r="D18" s="2068">
        <f>1-C18</f>
        <v>0.6</v>
      </c>
      <c r="E18" s="115"/>
      <c r="F18" s="115"/>
      <c r="G18" s="115"/>
      <c r="H18" s="115"/>
      <c r="I18" s="115"/>
      <c r="J18" s="180"/>
      <c r="K18" s="180"/>
      <c r="L18" s="180"/>
      <c r="M18" s="180"/>
      <c r="N18" s="180"/>
      <c r="O18" s="180"/>
      <c r="P18" s="180"/>
      <c r="Q18" s="180"/>
      <c r="R18" s="180"/>
      <c r="S18" s="180"/>
      <c r="T18" s="180"/>
      <c r="U18" s="180"/>
      <c r="V18" s="180"/>
    </row>
    <row r="19" spans="1:26" ht="15">
      <c r="A19" s="2069" t="s">
        <v>738</v>
      </c>
      <c r="B19" s="2070" t="s">
        <v>739</v>
      </c>
      <c r="C19" s="2071">
        <f ca="1">SUMIF(INDIRECT("'"&amp;C4&amp;"'"&amp;"!A:A"),结果表!B19,INDIRECT("'"&amp;C4&amp;"'"&amp;"!B:B"))</f>
        <v>5394</v>
      </c>
      <c r="D19" s="2072">
        <f ca="1">SUMIF(INDIRECT("'"&amp;D4&amp;"'"&amp;"!A:A"),结果表!B19,INDIRECT("'"&amp;D4&amp;"'"&amp;"!B:B"))</f>
        <v>8865</v>
      </c>
      <c r="E19" s="2069" t="s">
        <v>740</v>
      </c>
      <c r="F19" s="2070" t="s">
        <v>739</v>
      </c>
      <c r="G19" s="2073">
        <f ca="1">ROUND(C19*$C$18+D19*$D$18,0)</f>
        <v>7477</v>
      </c>
      <c r="H19" s="2074" t="s">
        <v>741</v>
      </c>
      <c r="I19" s="115"/>
      <c r="J19" s="180"/>
      <c r="K19" s="180"/>
      <c r="L19" s="180"/>
      <c r="M19" s="180"/>
      <c r="N19" s="180"/>
      <c r="O19" s="180"/>
      <c r="P19" s="180"/>
      <c r="Q19" s="180"/>
      <c r="R19" s="180"/>
      <c r="S19" s="180"/>
      <c r="T19" s="180"/>
      <c r="U19" s="180"/>
      <c r="V19" s="180"/>
    </row>
    <row r="20" spans="1:26" ht="15">
      <c r="A20" s="2075"/>
      <c r="B20" s="2076" t="s">
        <v>263</v>
      </c>
      <c r="C20" s="2077">
        <f ca="1">SUMIF(INDIRECT("'"&amp;C4&amp;"'"&amp;"!A:A"),结果表!B20,INDIRECT("'"&amp;C4&amp;"'"&amp;"!B:B"))</f>
        <v>735</v>
      </c>
      <c r="D20" s="2078">
        <f ca="1">SUMIF(INDIRECT("'"&amp;D4&amp;"'"&amp;"!A:A"),结果表!B20,INDIRECT("'"&amp;D4&amp;"'"&amp;"!B:B"))</f>
        <v>1208</v>
      </c>
      <c r="E20" s="2075"/>
      <c r="F20" s="2076" t="s">
        <v>263</v>
      </c>
      <c r="G20" s="2079">
        <f ca="1">ROUND(C20*$C$18+D20*$D$18,0)</f>
        <v>1019</v>
      </c>
      <c r="H20" s="2009" t="s">
        <v>742</v>
      </c>
      <c r="I20" s="115"/>
      <c r="J20" s="180"/>
      <c r="K20" s="180"/>
      <c r="L20" s="180"/>
      <c r="M20" s="180"/>
      <c r="N20" s="180"/>
      <c r="O20" s="180"/>
      <c r="P20" s="180"/>
      <c r="Q20" s="180"/>
      <c r="R20" s="180"/>
      <c r="S20" s="180"/>
      <c r="T20" s="180"/>
      <c r="U20" s="180"/>
      <c r="V20" s="180"/>
    </row>
    <row r="21" spans="1:26" ht="15" customHeight="1">
      <c r="A21" s="2075"/>
      <c r="B21" s="2080" t="s">
        <v>251</v>
      </c>
      <c r="C21" s="2081">
        <f ca="1">SUMIF(INDIRECT("'"&amp;C4&amp;"'"&amp;"!A:A"),结果表!B21,INDIRECT("'"&amp;C4&amp;"'"&amp;"!B:B"))</f>
        <v>1255</v>
      </c>
      <c r="D21" s="2082">
        <f ca="1">SUMIF(INDIRECT("'"&amp;D4&amp;"'"&amp;"!A:A"),结果表!B21,INDIRECT("'"&amp;D4&amp;"'"&amp;"!B:B"))</f>
        <v>2063</v>
      </c>
      <c r="E21" s="2075"/>
      <c r="F21" s="2080" t="s">
        <v>251</v>
      </c>
      <c r="G21" s="2083">
        <f ca="1">ROUND(C21*$C$18+D21*$D$18,0)</f>
        <v>1740</v>
      </c>
      <c r="H21" s="2084" t="s">
        <v>742</v>
      </c>
      <c r="I21" s="115"/>
      <c r="J21" s="180"/>
      <c r="K21" s="180"/>
      <c r="L21" s="180"/>
      <c r="M21" s="180"/>
      <c r="N21" s="180"/>
      <c r="O21" s="180"/>
      <c r="P21" s="180"/>
      <c r="Q21" s="180"/>
      <c r="R21" s="180"/>
      <c r="S21" s="180"/>
      <c r="T21" s="180"/>
      <c r="U21" s="180"/>
      <c r="V21" s="180"/>
    </row>
    <row r="22" spans="1:26" ht="15">
      <c r="A22" s="2085" t="s">
        <v>743</v>
      </c>
      <c r="B22" s="2086"/>
      <c r="C22" s="2087"/>
      <c r="D22" s="2088">
        <f ca="1">IF(C19&lt;D19,D19/C19-1,C19/D19-1)</f>
        <v>0.64349276974416014</v>
      </c>
      <c r="E22" s="2001"/>
      <c r="F22" s="2089"/>
      <c r="G22" s="2090">
        <f ca="1">ROUND(G19/('数据-汇总表'!D3/666.67),0)</f>
        <v>116</v>
      </c>
      <c r="H22" s="2091" t="s">
        <v>744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4" t="s">
        <v>745</v>
      </c>
      <c r="B24" s="2070" t="s">
        <v>739</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313"/>
      <c r="B25" s="2094" t="s">
        <v>263</v>
      </c>
      <c r="C25" s="2095">
        <f>IF(B30=0,0,C30)</f>
        <v>0</v>
      </c>
      <c r="D25" s="2096"/>
      <c r="E25" s="115"/>
      <c r="F25" s="115"/>
      <c r="G25" s="115"/>
      <c r="H25" s="115"/>
      <c r="I25" s="115"/>
      <c r="J25" s="180"/>
      <c r="K25" s="2173" t="str">
        <f ca="1">项目基本情况!B16&amp;"国有建设用地使用权价格："&amp;O38&amp;"万元"</f>
        <v>出让国有建设用地使用权价格：7477万元</v>
      </c>
      <c r="L25" s="2174"/>
      <c r="M25" s="2174"/>
      <c r="N25" s="2174"/>
      <c r="O25" s="2175"/>
      <c r="P25" s="180"/>
      <c r="Q25" s="180"/>
      <c r="R25" s="180"/>
      <c r="S25" s="180"/>
      <c r="T25" s="180"/>
      <c r="U25" s="180"/>
      <c r="V25" s="180"/>
    </row>
    <row r="26" spans="1:26" s="2052" customFormat="1" ht="18">
      <c r="A26" s="2097" t="s">
        <v>746</v>
      </c>
      <c r="B26" s="2098" t="s">
        <v>747</v>
      </c>
      <c r="C26" s="2098" t="s">
        <v>748</v>
      </c>
      <c r="D26" s="2099" t="s">
        <v>749</v>
      </c>
      <c r="E26" s="115"/>
      <c r="F26" s="115"/>
      <c r="G26" s="115"/>
      <c r="H26" s="115"/>
      <c r="I26" s="115"/>
      <c r="J26" s="180"/>
      <c r="K26" s="2176" t="str">
        <f ca="1">"大写金额：人民币"&amp;NUMBERSTRING(INT(O38*10000),2)&amp;"元整"</f>
        <v>大写金额：人民币柒仟肆佰柒拾柒万元整</v>
      </c>
      <c r="L26" s="2086"/>
      <c r="M26" s="2086"/>
      <c r="N26" s="2086"/>
      <c r="O26" s="2084"/>
      <c r="P26" s="180"/>
      <c r="Q26" s="180"/>
      <c r="R26" s="180"/>
      <c r="S26" s="180"/>
      <c r="T26" s="180"/>
      <c r="U26" s="180"/>
      <c r="V26" s="180"/>
      <c r="W26" s="2219"/>
      <c r="X26" s="2219"/>
      <c r="Y26" s="2219"/>
      <c r="Z26" s="2219"/>
    </row>
    <row r="27" spans="1:26" ht="18">
      <c r="A27" s="2097">
        <f ca="1">G19/'数据-汇总表'!F27*10000</f>
        <v>1545.0466758249479</v>
      </c>
      <c r="B27" s="2098"/>
      <c r="C27" s="2098"/>
      <c r="D27" s="2099"/>
      <c r="E27" s="115"/>
      <c r="F27" s="115"/>
      <c r="G27" s="115"/>
      <c r="H27" s="115"/>
      <c r="I27" s="115"/>
      <c r="J27" s="180"/>
      <c r="K27" s="2176" t="str">
        <f ca="1">"单位面积地价："&amp;M38&amp;"元/平方米"</f>
        <v>单位面积地价：1740元/平方米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楼面地价：1019元/平方米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抵押价格：7477万元</v>
      </c>
      <c r="L29" s="2086"/>
      <c r="M29" s="2086"/>
      <c r="N29" s="2086"/>
      <c r="O29" s="2084"/>
      <c r="P29" s="180"/>
      <c r="V29" s="180"/>
    </row>
    <row r="30" spans="1:26" ht="18">
      <c r="A30" s="2100" t="s">
        <v>750</v>
      </c>
      <c r="B30" s="2101"/>
      <c r="C30" s="2101"/>
      <c r="D30" s="2102"/>
      <c r="E30" s="2103" t="s">
        <v>751</v>
      </c>
      <c r="F30" s="115"/>
      <c r="G30" s="115"/>
      <c r="H30" s="115"/>
      <c r="I30" s="115"/>
      <c r="J30" s="180"/>
      <c r="K30" s="2176" t="str">
        <f ca="1">IF(K29="——","——","大写金额：人民币"&amp;NUMBERSTRING(INT(O39*10000),2)&amp;"元整")</f>
        <v>大写金额：人民币柒仟肆佰柒拾柒万元整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752</v>
      </c>
      <c r="B32" s="2104" t="s">
        <v>753</v>
      </c>
      <c r="C32" s="2105">
        <f ca="1">G19-C24</f>
        <v>7477</v>
      </c>
      <c r="D32" s="2106" t="s">
        <v>754</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755</v>
      </c>
      <c r="B33" s="2108" t="s">
        <v>756</v>
      </c>
      <c r="C33" s="2063">
        <f ca="1">ROUND(C32*10000/'数据-汇总表'!E3,0)</f>
        <v>1019</v>
      </c>
      <c r="D33" s="2109" t="s">
        <v>757</v>
      </c>
      <c r="E33" s="3254" t="s">
        <v>758</v>
      </c>
      <c r="F33" s="2110" t="s">
        <v>759</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760</v>
      </c>
      <c r="C34" s="2063">
        <f ca="1">ROUND(C32*10000/'数据-汇总表'!D3,0)</f>
        <v>1740</v>
      </c>
      <c r="D34" s="2115" t="s">
        <v>757</v>
      </c>
      <c r="E34" s="3255"/>
      <c r="F34" s="2116" t="s">
        <v>761</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2001"/>
      <c r="B35" s="2118"/>
      <c r="C35" s="2119">
        <f ca="1">ROUND(C32/('数据-汇总表'!D3/666.67),0)</f>
        <v>116</v>
      </c>
      <c r="D35" s="2120" t="s">
        <v>762</v>
      </c>
      <c r="E35" s="3256"/>
      <c r="F35" s="2121" t="s">
        <v>763</v>
      </c>
      <c r="G35" s="2122"/>
      <c r="H35" s="2123" t="s">
        <v>764</v>
      </c>
      <c r="I35" s="115"/>
      <c r="J35" s="180"/>
      <c r="K35" s="3257" t="s">
        <v>765</v>
      </c>
      <c r="L35" s="3257" t="s">
        <v>766</v>
      </c>
      <c r="M35" s="2187" t="s">
        <v>767</v>
      </c>
      <c r="N35" s="3257" t="s">
        <v>768</v>
      </c>
      <c r="O35" s="3257" t="s">
        <v>769</v>
      </c>
      <c r="P35" s="180"/>
      <c r="V35" s="180"/>
    </row>
    <row r="36" spans="1:26" ht="16.5" customHeight="1">
      <c r="A36" s="2124" t="s">
        <v>770</v>
      </c>
      <c r="B36" s="2125" t="s">
        <v>747</v>
      </c>
      <c r="C36" s="2126" t="s">
        <v>748</v>
      </c>
      <c r="D36" s="2126" t="s">
        <v>771</v>
      </c>
      <c r="E36" s="2127" t="s">
        <v>749</v>
      </c>
      <c r="F36" s="115"/>
      <c r="G36" s="115"/>
      <c r="H36" s="115"/>
      <c r="I36" s="115"/>
      <c r="J36" s="2188"/>
      <c r="K36" s="3258"/>
      <c r="L36" s="3258"/>
      <c r="M36" s="2189" t="s">
        <v>772</v>
      </c>
      <c r="N36" s="3258"/>
      <c r="O36" s="3258"/>
      <c r="P36" s="180"/>
      <c r="V36" s="180"/>
    </row>
    <row r="37" spans="1:26" ht="16.5" customHeight="1">
      <c r="A37" s="2128" t="s">
        <v>773</v>
      </c>
      <c r="B37" s="2129"/>
      <c r="C37" s="2098"/>
      <c r="D37" s="2098"/>
      <c r="E37" s="2099"/>
      <c r="F37" s="115"/>
      <c r="G37" s="115"/>
      <c r="H37" s="115"/>
      <c r="I37" s="115"/>
      <c r="J37" s="2188"/>
      <c r="K37" s="3259"/>
      <c r="L37" s="3259"/>
      <c r="M37" s="2190"/>
      <c r="N37" s="3259"/>
      <c r="O37" s="3259"/>
      <c r="P37" s="180"/>
      <c r="V37" s="180"/>
    </row>
    <row r="38" spans="1:26" ht="16.5" customHeight="1">
      <c r="A38" s="2128" t="s">
        <v>774</v>
      </c>
      <c r="B38" s="2129"/>
      <c r="C38" s="2098"/>
      <c r="D38" s="2098"/>
      <c r="E38" s="2099"/>
      <c r="F38" s="115"/>
      <c r="G38" s="115"/>
      <c r="H38" s="115"/>
      <c r="I38" s="115"/>
      <c r="J38" s="2188"/>
      <c r="K38" s="2191">
        <f>'数据-汇总表'!D3</f>
        <v>42969</v>
      </c>
      <c r="L38" s="2192">
        <f>'数据-汇总表'!E3</f>
        <v>73411.47</v>
      </c>
      <c r="M38" s="2192">
        <f ca="1">C34</f>
        <v>1740</v>
      </c>
      <c r="N38" s="2192">
        <f ca="1">C33</f>
        <v>1019</v>
      </c>
      <c r="O38" s="2193">
        <f ca="1">C32</f>
        <v>7477</v>
      </c>
      <c r="P38" s="180"/>
      <c r="V38" s="180"/>
    </row>
    <row r="39" spans="1:26" ht="16.5" customHeight="1">
      <c r="A39" s="2130"/>
      <c r="B39" s="2131"/>
      <c r="C39" s="2101"/>
      <c r="D39" s="2101"/>
      <c r="E39" s="2102"/>
      <c r="F39" s="115"/>
      <c r="G39" s="115"/>
      <c r="H39" s="115"/>
      <c r="I39" s="115"/>
      <c r="J39" s="2188"/>
      <c r="K39" s="3247" t="str">
        <f>MID(A44,3,LEN(A44)-2)</f>
        <v>抵押价格</v>
      </c>
      <c r="L39" s="3248"/>
      <c r="M39" s="3248"/>
      <c r="N39" s="3249"/>
      <c r="O39" s="2194">
        <f ca="1">C44</f>
        <v>7477</v>
      </c>
      <c r="P39" s="180"/>
      <c r="V39" s="180"/>
    </row>
    <row r="40" spans="1:26" ht="18.75">
      <c r="A40" s="2132" t="s">
        <v>775</v>
      </c>
      <c r="B40" s="115"/>
      <c r="C40" s="115"/>
      <c r="D40" s="115"/>
      <c r="E40" s="115"/>
      <c r="F40" s="115"/>
      <c r="G40" s="115"/>
      <c r="H40" s="115"/>
      <c r="I40" s="115"/>
      <c r="J40" s="2188"/>
      <c r="K40" s="3247" t="str">
        <f t="shared" ref="K40:K41" si="0">MID(A45,3,LEN(A45)-2)</f>
        <v/>
      </c>
      <c r="L40" s="3248"/>
      <c r="M40" s="3248"/>
      <c r="N40" s="3249"/>
      <c r="O40" s="2194" t="str">
        <f>C45</f>
        <v>——</v>
      </c>
      <c r="P40" s="180"/>
      <c r="V40" s="180"/>
    </row>
    <row r="41" spans="1:26" ht="15.75">
      <c r="A41" s="2133" t="s">
        <v>776</v>
      </c>
      <c r="B41" s="2134"/>
      <c r="C41" s="2135" t="s">
        <v>777</v>
      </c>
      <c r="D41" s="2136" t="s">
        <v>778</v>
      </c>
      <c r="E41" s="2136" t="s">
        <v>779</v>
      </c>
      <c r="F41" s="2137" t="s">
        <v>780</v>
      </c>
      <c r="G41" s="115"/>
      <c r="H41" s="115"/>
      <c r="I41" s="115"/>
      <c r="J41" s="2188"/>
      <c r="K41" s="3247" t="str">
        <f t="shared" si="0"/>
        <v/>
      </c>
      <c r="L41" s="3248"/>
      <c r="M41" s="3248"/>
      <c r="N41" s="3249"/>
      <c r="O41" s="2194" t="str">
        <f>C46</f>
        <v>——</v>
      </c>
      <c r="P41" s="180"/>
      <c r="V41" s="180"/>
    </row>
    <row r="42" spans="1:26" ht="29.25">
      <c r="A42" s="3262" t="s">
        <v>781</v>
      </c>
      <c r="B42" s="3263"/>
      <c r="C42" s="2063">
        <f ca="1">C32</f>
        <v>7477</v>
      </c>
      <c r="D42" s="2138">
        <f ca="1">C33</f>
        <v>1019</v>
      </c>
      <c r="E42" s="2138">
        <f ca="1">C34</f>
        <v>1740</v>
      </c>
      <c r="F42" s="2139">
        <f ca="1">C35</f>
        <v>116</v>
      </c>
      <c r="G42" s="115"/>
      <c r="H42" s="115"/>
      <c r="I42" s="2195"/>
      <c r="J42" s="2188"/>
      <c r="K42" s="2196" t="s">
        <v>782</v>
      </c>
      <c r="L42" s="2197" t="s">
        <v>783</v>
      </c>
      <c r="M42" s="2198" t="s">
        <v>784</v>
      </c>
      <c r="N42" s="2199" t="s">
        <v>785</v>
      </c>
      <c r="O42" s="2200" t="s">
        <v>786</v>
      </c>
      <c r="P42" s="180"/>
      <c r="V42" s="180"/>
    </row>
    <row r="43" spans="1:26" ht="30">
      <c r="A43" s="3264" t="s">
        <v>787</v>
      </c>
      <c r="B43" s="3265"/>
      <c r="C43" s="2063">
        <f>IF(H33="正常操作",G33+G34+G35,G34+G35)</f>
        <v>0</v>
      </c>
      <c r="D43" s="2138" t="s">
        <v>138</v>
      </c>
      <c r="E43" s="2138" t="s">
        <v>138</v>
      </c>
      <c r="F43" s="2139" t="s">
        <v>138</v>
      </c>
      <c r="G43" s="2140" t="s">
        <v>138</v>
      </c>
      <c r="H43" s="115"/>
      <c r="I43" s="2195"/>
      <c r="J43" s="2188"/>
      <c r="K43" s="2201" t="str">
        <f>C4</f>
        <v>剩余法-待开发</v>
      </c>
      <c r="L43" s="2202">
        <f ca="1">IF(L42="估价结果/万元",C19,C20)</f>
        <v>5394</v>
      </c>
      <c r="M43" s="2203">
        <f>C18</f>
        <v>0.4</v>
      </c>
      <c r="N43" s="2204">
        <f ca="1">IF(N42="测算结果/万元",G19,G20)</f>
        <v>7477</v>
      </c>
      <c r="O43" s="2205">
        <f ca="1">IF(O42="最终结果/万元",C32,C33)</f>
        <v>7477</v>
      </c>
      <c r="P43" s="180"/>
      <c r="V43" s="180"/>
    </row>
    <row r="44" spans="1:26" ht="30">
      <c r="A44" s="3262" t="str">
        <f>IF(OR(项目基本情况!E8="抵押价格",项目基本情况!E8="已注销及未注销"),"3.抵押价格","——")</f>
        <v>3.抵押价格</v>
      </c>
      <c r="B44" s="3263"/>
      <c r="C44" s="2063">
        <f ca="1">IF(A44="——","——",C42-C43)</f>
        <v>7477</v>
      </c>
      <c r="D44" s="2138">
        <f ca="1">ROUND(C44*10000/'数据-汇总表'!E3,0)</f>
        <v>1019</v>
      </c>
      <c r="E44" s="2138">
        <f ca="1">ROUND(C44*10000/'数据-汇总表'!D3,0)</f>
        <v>1740</v>
      </c>
      <c r="F44" s="2139">
        <f ca="1">ROUND(C44/('数据-汇总表'!D3/666.67),0)</f>
        <v>116</v>
      </c>
      <c r="G44" s="115"/>
      <c r="H44" s="115"/>
      <c r="I44" s="2195"/>
      <c r="J44" s="2188"/>
      <c r="K44" s="2206" t="str">
        <f>D4</f>
        <v>比较法-住宅、综合</v>
      </c>
      <c r="L44" s="2207">
        <f ca="1">IF(L42="估价结果/万元",D19,D20)</f>
        <v>8865</v>
      </c>
      <c r="M44" s="2208">
        <f>D18</f>
        <v>0.6</v>
      </c>
      <c r="N44" s="2209"/>
      <c r="O44" s="2210"/>
      <c r="P44" s="180"/>
      <c r="V44" s="180"/>
    </row>
    <row r="45" spans="1:26" ht="15">
      <c r="A45" s="3266" t="str">
        <f>IF(项目基本情况!E8="已注销及未注销","4.抵押担保权已注销时的抵押价格",IF(项目基本情况!E8="已注销","3.抵押担保权已注销时的抵押价格","——"))</f>
        <v>——</v>
      </c>
      <c r="B45" s="3267"/>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303" t="str">
        <f>IF(项目基本情况!E9="抵押净值",IF(A45="——","4.抵押净值","5.抵押净值"),"——")</f>
        <v>——</v>
      </c>
      <c r="B46" s="330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788</v>
      </c>
      <c r="B47" s="2144"/>
      <c r="C47" s="2145" t="s">
        <v>789</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790</v>
      </c>
      <c r="G53" s="2157"/>
      <c r="H53" s="2157"/>
      <c r="I53" s="2215" t="s">
        <v>791</v>
      </c>
      <c r="J53" s="2213"/>
      <c r="K53" s="180"/>
      <c r="L53" s="180"/>
      <c r="M53" s="180"/>
      <c r="N53" s="180"/>
      <c r="O53" s="180"/>
      <c r="P53" s="180"/>
      <c r="Q53" s="180"/>
      <c r="R53" s="180"/>
      <c r="S53" s="180"/>
      <c r="T53" s="180"/>
      <c r="U53" s="180"/>
      <c r="V53" s="180"/>
    </row>
    <row r="54" spans="1:22" ht="12.75">
      <c r="A54" s="69"/>
      <c r="B54" s="2158" t="s">
        <v>792</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793</v>
      </c>
      <c r="J56" s="2213"/>
      <c r="K56" s="180"/>
      <c r="L56" s="180"/>
      <c r="M56" s="180"/>
      <c r="N56" s="180"/>
      <c r="O56" s="180"/>
      <c r="P56" s="180"/>
      <c r="Q56" s="180"/>
      <c r="R56" s="180"/>
      <c r="S56" s="180"/>
      <c r="T56" s="180"/>
      <c r="U56" s="180"/>
      <c r="V56" s="180"/>
    </row>
    <row r="57" spans="1:22" ht="12.75">
      <c r="A57" s="69"/>
      <c r="B57" s="2158" t="s">
        <v>794</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793</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795</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305" t="s">
        <v>796</v>
      </c>
      <c r="B63" s="3306"/>
      <c r="C63" s="3307"/>
      <c r="D63" s="806">
        <f ca="1">ROUND(C42*F63,0)</f>
        <v>4486</v>
      </c>
      <c r="E63" s="2166" t="s">
        <v>797</v>
      </c>
      <c r="F63" s="2167">
        <v>0.6</v>
      </c>
      <c r="G63" s="2168" t="s">
        <v>798</v>
      </c>
      <c r="H63" s="115"/>
      <c r="I63" s="115"/>
      <c r="J63" s="180"/>
      <c r="K63" s="180"/>
      <c r="L63" s="180"/>
      <c r="M63" s="180"/>
      <c r="N63" s="180"/>
      <c r="O63" s="180"/>
      <c r="P63" s="115"/>
      <c r="Q63" s="180"/>
      <c r="R63" s="180"/>
      <c r="S63" s="180"/>
      <c r="T63" s="180"/>
      <c r="U63" s="180"/>
      <c r="V63" s="180"/>
    </row>
    <row r="64" spans="1:22" ht="14.25" customHeight="1">
      <c r="A64" s="3308" t="s">
        <v>799</v>
      </c>
      <c r="B64" s="3309"/>
      <c r="C64" s="3309"/>
      <c r="D64" s="3309"/>
      <c r="E64" s="3309"/>
      <c r="F64" s="3309"/>
      <c r="G64" s="3310"/>
      <c r="H64" s="2169"/>
      <c r="I64" s="116"/>
      <c r="J64" s="117"/>
      <c r="K64" s="2217" t="s">
        <v>800</v>
      </c>
      <c r="L64" s="2218"/>
      <c r="M64" s="2218"/>
      <c r="N64" s="2218"/>
      <c r="O64" s="2218"/>
      <c r="P64" s="115"/>
      <c r="Q64" s="180"/>
      <c r="R64" s="180"/>
      <c r="S64" s="180"/>
      <c r="T64" s="180"/>
      <c r="U64" s="180"/>
      <c r="V64" s="180"/>
    </row>
    <row r="65" spans="1:22" ht="12" customHeight="1">
      <c r="A65" s="2220" t="s">
        <v>801</v>
      </c>
      <c r="B65" s="2221"/>
      <c r="C65" s="2222"/>
      <c r="D65" s="2223" t="s">
        <v>802</v>
      </c>
      <c r="E65" s="121" t="s">
        <v>803</v>
      </c>
      <c r="F65" s="2224" t="s">
        <v>804</v>
      </c>
      <c r="G65" s="2225" t="s">
        <v>805</v>
      </c>
      <c r="H65" s="2169"/>
      <c r="I65" s="116"/>
      <c r="J65" s="117"/>
      <c r="K65" s="2323"/>
      <c r="L65" s="2324"/>
      <c r="M65" s="2324"/>
      <c r="N65" s="2325" t="s">
        <v>806</v>
      </c>
      <c r="O65" s="2326"/>
      <c r="P65" s="2327"/>
      <c r="Q65" s="180"/>
      <c r="R65" s="180"/>
      <c r="S65" s="180"/>
      <c r="T65" s="180"/>
      <c r="U65" s="180"/>
      <c r="V65" s="180"/>
    </row>
    <row r="66" spans="1:22" ht="25.5">
      <c r="A66" s="3311" t="s">
        <v>807</v>
      </c>
      <c r="B66" s="3280"/>
      <c r="C66" s="3280"/>
      <c r="D66" s="779">
        <f ca="1">IF(H66="情况1",0,IF(H66="情况2",D70,IF(H66="情况3",D71,IF(H66="情况4",D72))))</f>
        <v>241</v>
      </c>
      <c r="E66" s="801" t="str">
        <f>IF(H66="情况4","(销售额-原购置价)×税（费）率","销售额×税（费）率")</f>
        <v>销售额×税（费）率</v>
      </c>
      <c r="F66" s="2226">
        <f>IF(H66="情况1","免征",'数据-取费表'!B41)</f>
        <v>5.6300000000000003E-2</v>
      </c>
      <c r="G66" s="2227" t="s">
        <v>808</v>
      </c>
      <c r="H66" s="2228" t="s">
        <v>809</v>
      </c>
      <c r="I66" s="2169"/>
      <c r="J66" s="2328"/>
      <c r="K66" s="2329">
        <v>1</v>
      </c>
      <c r="L66" s="3260" t="s">
        <v>810</v>
      </c>
      <c r="M66" s="3261"/>
      <c r="N66" s="2330"/>
      <c r="O66" s="2331"/>
      <c r="P66" s="2332"/>
      <c r="Q66" s="180"/>
      <c r="R66" s="180"/>
      <c r="S66" s="180"/>
      <c r="T66" s="180"/>
      <c r="U66" s="180"/>
      <c r="V66" s="180"/>
    </row>
    <row r="67" spans="1:22" ht="25.5" customHeight="1">
      <c r="A67" s="2229" t="s">
        <v>811</v>
      </c>
      <c r="B67" s="3272" t="s">
        <v>812</v>
      </c>
      <c r="C67" s="3272"/>
      <c r="D67" s="2230">
        <v>0</v>
      </c>
      <c r="E67" s="2231" t="s">
        <v>813</v>
      </c>
      <c r="F67" s="2232" t="s">
        <v>138</v>
      </c>
      <c r="G67" s="3276"/>
      <c r="H67" s="115"/>
      <c r="I67" s="2333"/>
      <c r="J67" s="2334"/>
      <c r="K67" s="2335">
        <v>2</v>
      </c>
      <c r="L67" s="3273" t="s">
        <v>814</v>
      </c>
      <c r="M67" s="3273"/>
      <c r="N67" s="2336">
        <f>'数据-取费表'!B2</f>
        <v>43600</v>
      </c>
      <c r="O67" s="2336"/>
      <c r="P67" s="2336"/>
      <c r="Q67" s="180"/>
      <c r="R67" s="180"/>
      <c r="S67" s="180"/>
      <c r="T67" s="180"/>
      <c r="U67" s="180"/>
      <c r="V67" s="180"/>
    </row>
    <row r="68" spans="1:22" ht="25.5" customHeight="1">
      <c r="A68" s="2234"/>
      <c r="B68" s="3272" t="s">
        <v>815</v>
      </c>
      <c r="C68" s="3272"/>
      <c r="D68" s="2235"/>
      <c r="E68" s="2236"/>
      <c r="F68" s="2237"/>
      <c r="G68" s="3277"/>
      <c r="H68" s="115"/>
      <c r="I68" s="2333"/>
      <c r="J68" s="2334"/>
      <c r="K68" s="2335">
        <v>3</v>
      </c>
      <c r="L68" s="3273" t="s">
        <v>816</v>
      </c>
      <c r="M68" s="3273"/>
      <c r="N68" s="2337">
        <f ca="1">C42</f>
        <v>7477</v>
      </c>
      <c r="O68" s="2337"/>
      <c r="P68" s="2337"/>
      <c r="Q68" s="180"/>
      <c r="R68" s="180"/>
      <c r="S68" s="180"/>
      <c r="T68" s="180"/>
      <c r="U68" s="180"/>
      <c r="V68" s="180"/>
    </row>
    <row r="69" spans="1:22" ht="12" customHeight="1">
      <c r="A69" s="2238"/>
      <c r="B69" s="3272" t="s">
        <v>817</v>
      </c>
      <c r="C69" s="3272"/>
      <c r="D69" s="2239"/>
      <c r="E69" s="2240"/>
      <c r="F69" s="2237"/>
      <c r="G69" s="3278"/>
      <c r="H69" s="115"/>
      <c r="I69" s="2333"/>
      <c r="J69" s="2334"/>
      <c r="K69" s="2338">
        <v>4</v>
      </c>
      <c r="L69" s="3274" t="s">
        <v>818</v>
      </c>
      <c r="M69" s="3275"/>
      <c r="N69" s="2339">
        <f ca="1">C44</f>
        <v>7477</v>
      </c>
      <c r="O69" s="2339"/>
      <c r="P69" s="2339"/>
      <c r="Q69" s="180"/>
      <c r="R69" s="180"/>
      <c r="S69" s="180"/>
      <c r="T69" s="180"/>
      <c r="U69" s="180"/>
      <c r="V69" s="180"/>
    </row>
    <row r="70" spans="1:22" ht="24" customHeight="1">
      <c r="A70" s="2242" t="s">
        <v>819</v>
      </c>
      <c r="B70" s="3272" t="s">
        <v>820</v>
      </c>
      <c r="C70" s="3272"/>
      <c r="D70" s="2239">
        <f ca="1">ROUND(D63*'数据-取费表'!B41/(1+'数据-取费表'!C42),0)</f>
        <v>241</v>
      </c>
      <c r="E70" s="124" t="s">
        <v>821</v>
      </c>
      <c r="F70" s="2243">
        <f>'数据-取费表'!B41</f>
        <v>5.6300000000000003E-2</v>
      </c>
      <c r="G70" s="2244"/>
      <c r="H70" s="115"/>
      <c r="I70" s="2333"/>
      <c r="J70" s="2334"/>
      <c r="K70" s="2340"/>
      <c r="L70" s="2341"/>
      <c r="M70" s="2341"/>
      <c r="N70" s="2342" t="s">
        <v>799</v>
      </c>
      <c r="O70" s="2341"/>
      <c r="P70" s="2343"/>
      <c r="Q70" s="180"/>
      <c r="R70" s="180"/>
      <c r="S70" s="180"/>
      <c r="T70" s="180"/>
      <c r="U70" s="180"/>
      <c r="V70" s="180"/>
    </row>
    <row r="71" spans="1:22" ht="12" customHeight="1">
      <c r="A71" s="2242" t="s">
        <v>822</v>
      </c>
      <c r="B71" s="3269" t="s">
        <v>823</v>
      </c>
      <c r="C71" s="3270"/>
      <c r="D71" s="2239">
        <f ca="1">ROUND(D63*'数据-取费表'!B41/(1+'数据-取费表'!C42),0)</f>
        <v>241</v>
      </c>
      <c r="E71" s="124" t="s">
        <v>821</v>
      </c>
      <c r="F71" s="2243">
        <f>'数据-取费表'!B41</f>
        <v>5.6300000000000003E-2</v>
      </c>
      <c r="G71" s="2244"/>
      <c r="H71" s="115"/>
      <c r="I71" s="2333"/>
      <c r="J71" s="2334"/>
      <c r="K71" s="2344" t="s">
        <v>824</v>
      </c>
      <c r="L71" s="3268" t="s">
        <v>801</v>
      </c>
      <c r="M71" s="3268"/>
      <c r="N71" s="2344" t="s">
        <v>825</v>
      </c>
      <c r="O71" s="2344" t="s">
        <v>826</v>
      </c>
      <c r="P71" s="2344" t="s">
        <v>804</v>
      </c>
      <c r="Q71" s="180"/>
      <c r="R71" s="180"/>
      <c r="S71" s="180"/>
      <c r="T71" s="180"/>
      <c r="U71" s="180"/>
      <c r="V71" s="180"/>
    </row>
    <row r="72" spans="1:22" ht="12" customHeight="1">
      <c r="A72" s="2242" t="s">
        <v>827</v>
      </c>
      <c r="B72" s="3269" t="s">
        <v>828</v>
      </c>
      <c r="C72" s="3270"/>
      <c r="D72" s="2239">
        <f ca="1">C86</f>
        <v>128</v>
      </c>
      <c r="E72" s="2240" t="s">
        <v>829</v>
      </c>
      <c r="F72" s="2243">
        <f>'数据-取费表'!B41</f>
        <v>5.6300000000000003E-2</v>
      </c>
      <c r="G72" s="2244"/>
      <c r="H72" s="2245"/>
      <c r="I72" s="2333"/>
      <c r="J72" s="2334"/>
      <c r="K72" s="2335">
        <v>1</v>
      </c>
      <c r="L72" s="3271" t="s">
        <v>830</v>
      </c>
      <c r="M72" s="3271"/>
      <c r="N72" s="2345">
        <f ca="1">D66</f>
        <v>241</v>
      </c>
      <c r="O72" s="1270" t="str">
        <f>E66</f>
        <v>销售额×税（费）率</v>
      </c>
      <c r="P72" s="2346">
        <f>F66</f>
        <v>5.6300000000000003E-2</v>
      </c>
      <c r="Q72" s="180"/>
      <c r="R72" s="180"/>
      <c r="S72" s="180"/>
      <c r="T72" s="180"/>
      <c r="U72" s="180"/>
      <c r="V72" s="180"/>
    </row>
    <row r="73" spans="1:22" ht="24" customHeight="1">
      <c r="A73" s="3279" t="s">
        <v>831</v>
      </c>
      <c r="B73" s="3280"/>
      <c r="C73" s="3280"/>
      <c r="D73" s="2246">
        <f>IF(H73="个人住宅",0,ROUND(D63*I73,0))</f>
        <v>0</v>
      </c>
      <c r="E73" s="124" t="s">
        <v>832</v>
      </c>
      <c r="F73" s="2243" t="str">
        <f>IF(H73="正常",I73,"免征")</f>
        <v>免征</v>
      </c>
      <c r="G73" s="2244"/>
      <c r="H73" s="2228" t="s">
        <v>833</v>
      </c>
      <c r="I73" s="2243">
        <f>'数据-取费表'!B49</f>
        <v>5.0000000000000001E-4</v>
      </c>
      <c r="J73" s="2334"/>
      <c r="K73" s="2335">
        <v>2</v>
      </c>
      <c r="L73" s="3271" t="s">
        <v>834</v>
      </c>
      <c r="M73" s="3271"/>
      <c r="N73" s="2345">
        <f t="shared" ref="N73:P74" si="1">D73</f>
        <v>0</v>
      </c>
      <c r="O73" s="1270" t="str">
        <f t="shared" si="1"/>
        <v>销售额×税（费）率</v>
      </c>
      <c r="P73" s="2346" t="str">
        <f t="shared" si="1"/>
        <v>免征</v>
      </c>
      <c r="Q73" s="180"/>
      <c r="R73" s="180"/>
      <c r="S73" s="180"/>
      <c r="T73" s="180"/>
      <c r="U73" s="180"/>
      <c r="V73" s="180"/>
    </row>
    <row r="74" spans="1:22" ht="24.75">
      <c r="A74" s="3279" t="s">
        <v>835</v>
      </c>
      <c r="B74" s="3280"/>
      <c r="C74" s="3280"/>
      <c r="D74" s="2246">
        <f ca="1">IF(H74="个人住宅",D75,D76)</f>
        <v>1882</v>
      </c>
      <c r="E74" s="124" t="s">
        <v>836</v>
      </c>
      <c r="F74" s="2243" t="str">
        <f>IF(H74="正常",F76,"免征")</f>
        <v>——</v>
      </c>
      <c r="G74" s="2247" t="s">
        <v>808</v>
      </c>
      <c r="H74" s="2248" t="s">
        <v>837</v>
      </c>
      <c r="I74" s="2250"/>
      <c r="J74" s="2334"/>
      <c r="K74" s="2335">
        <v>3</v>
      </c>
      <c r="L74" s="3271" t="s">
        <v>838</v>
      </c>
      <c r="M74" s="3271"/>
      <c r="N74" s="2345">
        <f t="shared" ca="1" si="1"/>
        <v>1882</v>
      </c>
      <c r="O74" s="1270" t="str">
        <f t="shared" si="1"/>
        <v>增值额×税（费）率</v>
      </c>
      <c r="P74" s="2347" t="str">
        <f t="shared" si="1"/>
        <v>——</v>
      </c>
      <c r="Q74" s="180"/>
      <c r="R74" s="180"/>
      <c r="S74" s="180"/>
      <c r="T74" s="180"/>
      <c r="U74" s="180"/>
      <c r="V74" s="180"/>
    </row>
    <row r="75" spans="1:22" ht="24">
      <c r="A75" s="2242" t="s">
        <v>811</v>
      </c>
      <c r="B75" s="3244" t="s">
        <v>839</v>
      </c>
      <c r="C75" s="3246"/>
      <c r="D75" s="2249">
        <v>0</v>
      </c>
      <c r="E75" s="2231" t="s">
        <v>813</v>
      </c>
      <c r="F75" s="78"/>
      <c r="G75" s="2244"/>
      <c r="H75" s="2250"/>
      <c r="I75" s="2250"/>
      <c r="J75" s="2334"/>
      <c r="K75" s="2335">
        <f>IF(H77="非个人房产","",4)</f>
        <v>4</v>
      </c>
      <c r="L75" s="3271" t="str">
        <f>IF(H77="非个人房产","——","个人所得税")</f>
        <v>个人所得税</v>
      </c>
      <c r="M75" s="3271"/>
      <c r="N75" s="2348">
        <f ca="1">D77</f>
        <v>45</v>
      </c>
      <c r="O75" s="1283" t="str">
        <f>E77</f>
        <v>销售额×税（费）率</v>
      </c>
      <c r="P75" s="2349">
        <f>F77</f>
        <v>0.01</v>
      </c>
      <c r="Q75" s="180"/>
      <c r="R75" s="180"/>
      <c r="S75" s="180"/>
      <c r="T75" s="180"/>
      <c r="U75" s="180"/>
      <c r="V75" s="180"/>
    </row>
    <row r="76" spans="1:22" ht="24.75">
      <c r="A76" s="2242" t="s">
        <v>819</v>
      </c>
      <c r="B76" s="3244" t="s">
        <v>840</v>
      </c>
      <c r="C76" s="3245"/>
      <c r="D76" s="2246">
        <f ca="1">IF(H76="转让取得",C99,C115)</f>
        <v>1882</v>
      </c>
      <c r="E76" s="124" t="s">
        <v>836</v>
      </c>
      <c r="F76" s="121" t="s">
        <v>138</v>
      </c>
      <c r="G76" s="2244"/>
      <c r="H76" s="2248" t="s">
        <v>841</v>
      </c>
      <c r="I76" s="2250"/>
      <c r="J76" s="2334"/>
      <c r="K76" s="2335" t="str">
        <f>IF(项目基本情况!K6="上海银行",IF(K75="",4,K75+1),"")</f>
        <v/>
      </c>
      <c r="L76" s="3281" t="str">
        <f>IF(项目基本情况!K6="上海银行","其他处置费用","")</f>
        <v/>
      </c>
      <c r="M76" s="3282"/>
      <c r="N76" s="2345" t="str">
        <f>IF(项目基本情况!K6="上海银行",N89,"")</f>
        <v/>
      </c>
      <c r="O76" s="3283" t="str">
        <f>IF(项目基本情况!K6="上海银行","包含处置中涉及的律师、诉讼、拍卖、评估等费用","")</f>
        <v/>
      </c>
      <c r="P76" s="3284"/>
      <c r="Q76" s="180"/>
      <c r="R76" s="180"/>
      <c r="S76" s="180"/>
      <c r="T76" s="180"/>
      <c r="U76" s="180"/>
      <c r="V76" s="180"/>
    </row>
    <row r="77" spans="1:22" ht="25.5">
      <c r="A77" s="3285" t="s">
        <v>842</v>
      </c>
      <c r="B77" s="3286"/>
      <c r="C77" s="3286"/>
      <c r="D77" s="2251">
        <f ca="1">IF(H77="非个人房产","——",IF(H77="个人住宅",0,ROUND(D63*I77,0)))</f>
        <v>45</v>
      </c>
      <c r="E77" s="2252" t="str">
        <f>IF(H77="非个人房产","——","销售额×税（费）率")</f>
        <v>销售额×税（费）率</v>
      </c>
      <c r="F77" s="2253">
        <f>IF(H77="非个人房产","——",IF(H77="个人住宅","免征",I77))</f>
        <v>0.01</v>
      </c>
      <c r="G77" s="2254" t="s">
        <v>808</v>
      </c>
      <c r="H77" s="2248" t="s">
        <v>843</v>
      </c>
      <c r="I77" s="2351">
        <v>0.01</v>
      </c>
      <c r="J77" s="2334"/>
      <c r="K77" s="3288">
        <f>IF(AND(K75="",K76=""),4,IF(项目基本情况!K6="上海银行",K76+1,K75+1))</f>
        <v>5</v>
      </c>
      <c r="L77" s="3271" t="s">
        <v>466</v>
      </c>
      <c r="M77" s="2352" t="s">
        <v>844</v>
      </c>
      <c r="N77" s="2353"/>
      <c r="O77" s="2354">
        <f ca="1">SUMIF(N72:N76,"&lt;9e307")</f>
        <v>2168</v>
      </c>
      <c r="P77" s="2355"/>
      <c r="Q77" s="2374">
        <f ca="1">O77/N69</f>
        <v>0.28995586465159823</v>
      </c>
      <c r="R77" s="180"/>
      <c r="S77" s="180"/>
      <c r="T77" s="180"/>
      <c r="U77" s="180"/>
      <c r="V77" s="180"/>
    </row>
    <row r="78" spans="1:22" ht="12" customHeight="1">
      <c r="A78" s="2255"/>
      <c r="B78" s="115"/>
      <c r="C78" s="115"/>
      <c r="D78" s="115"/>
      <c r="E78" s="2250"/>
      <c r="F78" s="2250"/>
      <c r="G78" s="2250"/>
      <c r="H78" s="2256"/>
      <c r="I78" s="115"/>
      <c r="J78" s="2334"/>
      <c r="K78" s="3288"/>
      <c r="L78" s="3271"/>
      <c r="M78" s="2352" t="s">
        <v>845</v>
      </c>
      <c r="N78" s="2353"/>
      <c r="O78" s="2354" t="str">
        <f ca="1">NUMBERSTRING(INT(O77*10000),2)&amp;"元整"</f>
        <v>贰仟壹佰陆拾捌万元整</v>
      </c>
      <c r="P78" s="2355"/>
      <c r="Q78" s="180"/>
      <c r="R78" s="180"/>
      <c r="S78" s="180"/>
      <c r="T78" s="180"/>
      <c r="U78" s="180"/>
      <c r="V78" s="180"/>
    </row>
    <row r="79" spans="1:22" ht="12.75">
      <c r="A79" s="3287" t="s">
        <v>846</v>
      </c>
      <c r="B79" s="3287"/>
      <c r="C79" s="3287"/>
      <c r="D79" s="3287"/>
      <c r="E79" s="3287"/>
      <c r="F79" s="2250"/>
      <c r="G79" s="2250"/>
      <c r="H79" s="2256"/>
      <c r="I79" s="115"/>
      <c r="J79" s="2334"/>
      <c r="K79" s="3299">
        <f>K77+1</f>
        <v>6</v>
      </c>
      <c r="L79" s="3271" t="s">
        <v>847</v>
      </c>
      <c r="M79" s="2352" t="s">
        <v>844</v>
      </c>
      <c r="N79" s="2353"/>
      <c r="O79" s="2354">
        <f ca="1">N69-O77</f>
        <v>5309</v>
      </c>
      <c r="P79" s="2355"/>
      <c r="Q79" s="180"/>
      <c r="R79" s="180"/>
      <c r="S79" s="180"/>
      <c r="T79" s="180"/>
      <c r="U79" s="180"/>
      <c r="V79" s="180"/>
    </row>
    <row r="80" spans="1:22" ht="25.5">
      <c r="A80" s="3292" t="s">
        <v>848</v>
      </c>
      <c r="B80" s="3293"/>
      <c r="C80" s="2257"/>
      <c r="D80" s="2257" t="s">
        <v>849</v>
      </c>
      <c r="E80" s="2258" t="s">
        <v>805</v>
      </c>
      <c r="F80" s="2250"/>
      <c r="G80" s="2250"/>
      <c r="H80" s="2256"/>
      <c r="I80" s="115"/>
      <c r="J80" s="180"/>
      <c r="K80" s="3300"/>
      <c r="L80" s="3271"/>
      <c r="M80" s="2352" t="s">
        <v>845</v>
      </c>
      <c r="N80" s="2353"/>
      <c r="O80" s="2354" t="str">
        <f ca="1">NUMBERSTRING(INT(O79*10000),2)&amp;"元整"</f>
        <v>伍仟叁佰零玖万元整</v>
      </c>
      <c r="P80" s="2355"/>
      <c r="Q80" s="180"/>
      <c r="R80" s="180"/>
      <c r="S80" s="180"/>
      <c r="T80" s="180"/>
      <c r="U80" s="180"/>
      <c r="V80" s="180"/>
    </row>
    <row r="81" spans="1:26" ht="12.75">
      <c r="A81" s="2259" t="s">
        <v>850</v>
      </c>
      <c r="B81" s="2260" t="s">
        <v>851</v>
      </c>
      <c r="C81" s="2261">
        <f ca="1">ROUND((C82+C83)/(1+'数据-取费表'!C42),0)</f>
        <v>4272</v>
      </c>
      <c r="D81" s="2262"/>
      <c r="E81" s="2263"/>
      <c r="F81" s="2250"/>
      <c r="G81" s="2250"/>
      <c r="H81" s="2256"/>
      <c r="I81" s="115"/>
      <c r="J81" s="180"/>
      <c r="K81" s="2335">
        <f>K79+1</f>
        <v>7</v>
      </c>
      <c r="L81" s="3294" t="s">
        <v>852</v>
      </c>
      <c r="M81" s="3295"/>
      <c r="N81" s="2356"/>
      <c r="O81" s="2357">
        <f ca="1">ROUND(O79*10000/'数据-汇总表'!E3,0)</f>
        <v>723</v>
      </c>
      <c r="P81" s="2358"/>
      <c r="Q81" s="180"/>
      <c r="R81" s="180"/>
      <c r="S81" s="180"/>
      <c r="T81" s="180"/>
      <c r="U81" s="180"/>
      <c r="V81" s="180"/>
    </row>
    <row r="82" spans="1:26" ht="12.75">
      <c r="A82" s="1992" t="s">
        <v>853</v>
      </c>
      <c r="B82" s="2264" t="s">
        <v>854</v>
      </c>
      <c r="C82" s="2265">
        <f ca="1">D63</f>
        <v>4486</v>
      </c>
      <c r="D82" s="1543" t="s">
        <v>138</v>
      </c>
      <c r="E82" s="2266"/>
      <c r="F82" s="2250"/>
      <c r="G82" s="2250"/>
      <c r="H82" s="2256"/>
      <c r="I82" s="115"/>
      <c r="J82" s="180"/>
      <c r="K82" s="180"/>
      <c r="L82" s="180"/>
      <c r="M82" s="180"/>
      <c r="N82" s="180"/>
      <c r="O82" s="180"/>
      <c r="P82" s="180"/>
      <c r="Q82" s="180"/>
      <c r="R82" s="180"/>
      <c r="S82" s="180"/>
      <c r="T82" s="180"/>
      <c r="U82" s="180"/>
      <c r="V82" s="180"/>
    </row>
    <row r="83" spans="1:26" ht="12.75">
      <c r="A83" s="1992" t="s">
        <v>855</v>
      </c>
      <c r="B83" s="2264" t="s">
        <v>856</v>
      </c>
      <c r="C83" s="2267">
        <v>0</v>
      </c>
      <c r="D83" s="1543"/>
      <c r="E83" s="2266"/>
      <c r="F83" s="2250"/>
      <c r="G83" s="2250"/>
      <c r="H83" s="2256"/>
      <c r="I83" s="115"/>
      <c r="J83" s="180"/>
      <c r="K83" s="3301" t="s">
        <v>857</v>
      </c>
      <c r="L83" s="2359" t="s">
        <v>858</v>
      </c>
      <c r="M83" s="2360">
        <f ca="1">IF(N69&gt;10000,N69*0.5%,IF(AND(N69&gt;1000,N69&lt;=10000),N69*1%,IF(AND(N69&gt;100,N69&lt;=1000),N69*3%,IF(AND(N69&gt;10,N69&lt;=100),N69*5%,N69*8%))))</f>
        <v>74.77</v>
      </c>
      <c r="N83" s="121">
        <f ca="1">ROUND(M83,1)</f>
        <v>74.8</v>
      </c>
      <c r="O83" s="2361"/>
      <c r="P83" s="180"/>
      <c r="Q83" s="180"/>
      <c r="R83" s="180"/>
      <c r="S83" s="180"/>
      <c r="T83" s="180"/>
      <c r="U83" s="180"/>
      <c r="V83" s="180"/>
    </row>
    <row r="84" spans="1:26" ht="12.75">
      <c r="A84" s="2259" t="s">
        <v>859</v>
      </c>
      <c r="B84" s="2268" t="s">
        <v>860</v>
      </c>
      <c r="C84" s="2269">
        <v>2000</v>
      </c>
      <c r="D84" s="2270" t="s">
        <v>138</v>
      </c>
      <c r="E84" s="2271" t="s">
        <v>861</v>
      </c>
      <c r="F84" s="2250"/>
      <c r="G84" s="2250"/>
      <c r="H84" s="2256"/>
      <c r="I84" s="115"/>
      <c r="J84" s="180"/>
      <c r="K84" s="3301"/>
      <c r="L84" s="2359" t="s">
        <v>862</v>
      </c>
      <c r="M84" s="2360">
        <f ca="1">IF(N69&gt;2000,N69*0.5%,IF(AND(N69&gt;1000,N69&lt;=2000),N69*0.6%,IF(AND(N69&gt;500,N69&lt;=1000),N69*0.7%,IF(AND(N69&gt;200,N69&lt;=500),N69*0.8%,IF(AND(N69&gt;100,N69&lt;=200),N69*0.9%,IF(AND(N69&gt;50,N69&lt;=100),N69*1%,IF(AND(N69&gt;20,N69&lt;=50),N69*1.5%,IF(AND(N69&gt;10,N69&lt;=20),N69*2%,IF(AND(N69&gt;1,N69&lt;=10),N69*2.5%)))))))))</f>
        <v>37.384999999999998</v>
      </c>
      <c r="N84" s="121">
        <f t="shared" ref="N84:N85" ca="1" si="2">ROUND(M84,1)</f>
        <v>37.4</v>
      </c>
      <c r="O84" s="180" t="s">
        <v>863</v>
      </c>
      <c r="P84" s="180"/>
      <c r="Q84" s="180"/>
      <c r="R84" s="180"/>
      <c r="S84" s="180"/>
      <c r="T84" s="180"/>
      <c r="U84" s="180"/>
      <c r="V84" s="180"/>
    </row>
    <row r="85" spans="1:26" ht="12.75">
      <c r="A85" s="2259" t="s">
        <v>864</v>
      </c>
      <c r="B85" s="2268" t="s">
        <v>865</v>
      </c>
      <c r="C85" s="2272">
        <f ca="1">C81-C84</f>
        <v>2272</v>
      </c>
      <c r="D85" s="1543" t="s">
        <v>138</v>
      </c>
      <c r="E85" s="2266"/>
      <c r="F85" s="2250"/>
      <c r="G85" s="2250"/>
      <c r="H85" s="2256"/>
      <c r="I85" s="115"/>
      <c r="J85" s="180"/>
      <c r="K85" s="3301"/>
      <c r="L85" s="2359" t="s">
        <v>866</v>
      </c>
      <c r="M85" s="2360">
        <f ca="1">IF(N69&gt;1000,N69*0.1%,IF(AND(N69&gt;500,N69&lt;=1000),N69*0.5%,IF(AND(N69&gt;50,N69&lt;=500),N69*1%,IF(AND(N69&gt;1,N69&lt;=50),N69*1.5%))))</f>
        <v>7.4770000000000003</v>
      </c>
      <c r="N85" s="121">
        <f t="shared" ca="1" si="2"/>
        <v>7.5</v>
      </c>
      <c r="O85" s="180" t="s">
        <v>863</v>
      </c>
      <c r="P85" s="180"/>
      <c r="Q85" s="180"/>
      <c r="R85" s="180"/>
      <c r="S85" s="180"/>
      <c r="T85" s="180"/>
      <c r="U85" s="180"/>
      <c r="V85" s="180"/>
    </row>
    <row r="86" spans="1:26" ht="12.75">
      <c r="A86" s="2273" t="s">
        <v>867</v>
      </c>
      <c r="B86" s="2274" t="s">
        <v>868</v>
      </c>
      <c r="C86" s="2275">
        <f ca="1">IF(C85&lt;=0,0,ROUND(C85*D86,0))</f>
        <v>128</v>
      </c>
      <c r="D86" s="2276">
        <f>'数据-取费表'!B41</f>
        <v>5.6300000000000003E-2</v>
      </c>
      <c r="E86" s="2277"/>
      <c r="F86" s="2250"/>
      <c r="G86" s="2250"/>
      <c r="H86" s="2256"/>
      <c r="I86" s="115"/>
      <c r="J86" s="180"/>
      <c r="K86" s="3301"/>
      <c r="L86" s="2359" t="s">
        <v>869</v>
      </c>
      <c r="M86" s="2360">
        <f ca="1">N69*0.5%</f>
        <v>37.384999999999998</v>
      </c>
      <c r="N86" s="121">
        <f ca="1">IF(M86&gt;0.5,0.5,ROUND(M86,0))</f>
        <v>0.5</v>
      </c>
      <c r="O86" s="180" t="s">
        <v>870</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301"/>
      <c r="L87" s="2359" t="s">
        <v>871</v>
      </c>
      <c r="M87" s="2360">
        <f ca="1">IF(N69&gt;=10000,(8.25+(N69-10000)*0.01%),IF(AND(N69&gt;=8000,N69&lt;10000),(7.85+(N69-8000)*0.02%),IF(AND(N69&gt;=5000,N69&lt;8000),(6.65+(N69-5000)*0.04%),IF(AND(N69&gt;=2000,N69&lt;5000),(4.25+(PN69-2000)*0.08%),IF(AND(N69&gt;=1000,N69&lt;2000),(2.75+(N69-1000)*0.15%),IF(AND(N69&gt;=100,N69&lt;1000),(0.5+(N69-100)*0.25%),IF(AND(N69&gt;0,N69&lt;100),N69*0.5%)))))))</f>
        <v>7.6408000000000005</v>
      </c>
      <c r="N87" s="121">
        <f ca="1">ROUND(M87*0.9,1)</f>
        <v>6.9</v>
      </c>
      <c r="O87" s="2361"/>
      <c r="P87" s="115"/>
      <c r="Q87" s="180"/>
      <c r="R87" s="180"/>
      <c r="S87" s="180"/>
      <c r="T87" s="180"/>
      <c r="U87" s="180"/>
      <c r="V87" s="180"/>
      <c r="W87" s="2219"/>
      <c r="X87" s="2219"/>
      <c r="Y87" s="2219"/>
      <c r="Z87" s="2219"/>
    </row>
    <row r="88" spans="1:26" s="2053" customFormat="1" ht="14.25">
      <c r="A88" s="3296" t="s">
        <v>872</v>
      </c>
      <c r="B88" s="3297"/>
      <c r="C88" s="3297"/>
      <c r="D88" s="3297"/>
      <c r="E88" s="3297"/>
      <c r="F88" s="3297"/>
      <c r="G88" s="3297"/>
      <c r="H88" s="3297"/>
      <c r="I88" s="2362"/>
      <c r="J88" s="2363"/>
      <c r="K88" s="3301"/>
      <c r="L88" s="2359" t="s">
        <v>873</v>
      </c>
      <c r="M88" s="2360">
        <f ca="1">IF(N69&gt;10000,N69*0.5%,IF(AND(N69&gt;5000,N69&lt;=10000),N69*1%,IF(AND(N69&gt;1000,N69&lt;=5000),N69*2%,IF(AND(N69&gt;200,N69&lt;=1000),N69*3%,N69*5%))))</f>
        <v>74.77</v>
      </c>
      <c r="N88" s="121">
        <f ca="1">ROUND(M88,1)</f>
        <v>74.8</v>
      </c>
      <c r="O88" s="2361"/>
      <c r="P88" s="2218"/>
      <c r="Q88" s="2368"/>
      <c r="R88" s="2368"/>
      <c r="S88" s="2368"/>
      <c r="T88" s="2368"/>
      <c r="U88" s="2368"/>
      <c r="V88" s="2368"/>
      <c r="W88" s="2375"/>
      <c r="X88" s="2375"/>
      <c r="Y88" s="2375"/>
      <c r="Z88" s="2375"/>
    </row>
    <row r="89" spans="1:26" s="2053" customFormat="1" ht="14.25">
      <c r="A89" s="3292" t="s">
        <v>848</v>
      </c>
      <c r="B89" s="3293"/>
      <c r="C89" s="2257"/>
      <c r="D89" s="2257" t="s">
        <v>849</v>
      </c>
      <c r="E89" s="2283" t="s">
        <v>805</v>
      </c>
      <c r="F89" s="2284"/>
      <c r="G89" s="2284"/>
      <c r="H89" s="2285"/>
      <c r="I89" s="2364"/>
      <c r="J89" s="2365"/>
      <c r="K89" s="3301"/>
      <c r="L89" s="2359" t="s">
        <v>500</v>
      </c>
      <c r="M89" s="2366"/>
      <c r="N89" s="121">
        <f ca="1">ROUND(SUM(N83:N88),0)</f>
        <v>202</v>
      </c>
      <c r="O89" s="2367">
        <f ca="1">N89/N69</f>
        <v>2.7016182961080649E-2</v>
      </c>
      <c r="P89" s="2368"/>
      <c r="Q89" s="2368"/>
      <c r="R89" s="2368"/>
      <c r="S89" s="2368"/>
      <c r="T89" s="2368"/>
      <c r="U89" s="2368"/>
      <c r="V89" s="2368"/>
      <c r="W89" s="2375"/>
      <c r="X89" s="2375"/>
      <c r="Y89" s="2375"/>
      <c r="Z89" s="2375"/>
    </row>
    <row r="90" spans="1:26" s="2053" customFormat="1" ht="14.25">
      <c r="A90" s="2259" t="s">
        <v>850</v>
      </c>
      <c r="B90" s="2268" t="s">
        <v>874</v>
      </c>
      <c r="C90" s="2272">
        <f ca="1">ROUND(D63/(1+'数据-取费表'!C42),0)</f>
        <v>4272</v>
      </c>
      <c r="D90" s="1543" t="s">
        <v>138</v>
      </c>
      <c r="E90" s="770"/>
      <c r="F90" s="771"/>
      <c r="G90" s="771"/>
      <c r="H90" s="2286"/>
      <c r="I90" s="2364"/>
      <c r="J90" s="2365"/>
      <c r="K90" s="2368"/>
      <c r="L90" s="2368"/>
      <c r="M90" s="2368"/>
      <c r="N90" s="2368"/>
      <c r="O90" s="2368"/>
      <c r="P90" s="2368"/>
      <c r="Q90" s="2368"/>
      <c r="R90" s="2368"/>
      <c r="S90" s="2368"/>
      <c r="T90" s="2368"/>
      <c r="U90" s="2368"/>
      <c r="V90" s="2368"/>
      <c r="W90" s="2375"/>
      <c r="X90" s="2375"/>
      <c r="Y90" s="2375"/>
      <c r="Z90" s="2375"/>
    </row>
    <row r="91" spans="1:26" s="2053" customFormat="1" ht="14.25">
      <c r="A91" s="2259" t="s">
        <v>859</v>
      </c>
      <c r="B91" s="2224" t="s">
        <v>875</v>
      </c>
      <c r="C91" s="2272">
        <f ca="1">C92+C96</f>
        <v>2588</v>
      </c>
      <c r="D91" s="1543" t="s">
        <v>138</v>
      </c>
      <c r="E91" s="770"/>
      <c r="F91" s="771"/>
      <c r="G91" s="771"/>
      <c r="H91" s="2286"/>
      <c r="I91" s="2364"/>
      <c r="J91" s="2365"/>
      <c r="K91" s="2368"/>
      <c r="L91" s="2368"/>
      <c r="M91" s="2368"/>
      <c r="N91" s="2368"/>
      <c r="O91" s="2368"/>
      <c r="P91" s="2368"/>
      <c r="Q91" s="2368"/>
      <c r="R91" s="2368"/>
      <c r="S91" s="2368"/>
      <c r="T91" s="2368"/>
      <c r="U91" s="2368"/>
      <c r="V91" s="2368"/>
      <c r="W91" s="2375"/>
      <c r="X91" s="2375"/>
      <c r="Y91" s="2375"/>
      <c r="Z91" s="2375"/>
    </row>
    <row r="92" spans="1:26" s="2053" customFormat="1" ht="24">
      <c r="A92" s="2287" t="s">
        <v>853</v>
      </c>
      <c r="B92" s="2264" t="s">
        <v>876</v>
      </c>
      <c r="C92" s="1543">
        <f>ROUND(IF(G95="2016年5月1日后购买",C93/(1+'数据-取费表'!C30)+C94+C95,C93+C94+C95),0)</f>
        <v>2561</v>
      </c>
      <c r="D92" s="1543" t="s">
        <v>138</v>
      </c>
      <c r="E92" s="770"/>
      <c r="F92" s="771"/>
      <c r="G92" s="771"/>
      <c r="H92" s="2286"/>
      <c r="I92" s="2364"/>
      <c r="J92" s="2365"/>
      <c r="K92" s="2368"/>
      <c r="L92" s="2368"/>
      <c r="M92" s="2368"/>
      <c r="N92" s="2368"/>
      <c r="O92" s="2368"/>
      <c r="P92" s="2368"/>
      <c r="Q92" s="2368"/>
      <c r="R92" s="2368"/>
      <c r="S92" s="2368"/>
      <c r="T92" s="2368"/>
      <c r="U92" s="2368"/>
      <c r="V92" s="2368"/>
      <c r="W92" s="2375"/>
      <c r="X92" s="2375"/>
      <c r="Y92" s="2375"/>
      <c r="Z92" s="2375"/>
    </row>
    <row r="93" spans="1:26" s="2053" customFormat="1" ht="14.25">
      <c r="A93" s="2287" t="s">
        <v>877</v>
      </c>
      <c r="B93" s="2264" t="s">
        <v>878</v>
      </c>
      <c r="C93" s="1545">
        <v>2000</v>
      </c>
      <c r="D93" s="1543" t="s">
        <v>138</v>
      </c>
      <c r="E93" s="2288" t="s">
        <v>879</v>
      </c>
      <c r="F93" s="2289" t="s">
        <v>880</v>
      </c>
      <c r="G93" s="2288" t="s">
        <v>881</v>
      </c>
      <c r="H93" s="2290">
        <v>5</v>
      </c>
      <c r="I93" s="2218"/>
      <c r="J93" s="2368"/>
      <c r="K93" s="2368"/>
      <c r="L93" s="2368"/>
      <c r="M93" s="2368"/>
      <c r="N93" s="2368"/>
      <c r="O93" s="2368"/>
      <c r="P93" s="2368"/>
      <c r="Q93" s="2368"/>
      <c r="R93" s="2368"/>
      <c r="S93" s="2368"/>
      <c r="T93" s="2368"/>
      <c r="U93" s="2368"/>
      <c r="V93" s="2368"/>
      <c r="W93" s="2375"/>
      <c r="X93" s="2375"/>
      <c r="Y93" s="2375"/>
      <c r="Z93" s="2375"/>
    </row>
    <row r="94" spans="1:26" s="2053" customFormat="1" ht="24.75" customHeight="1">
      <c r="A94" s="2287" t="s">
        <v>882</v>
      </c>
      <c r="B94" s="2291" t="s">
        <v>883</v>
      </c>
      <c r="C94" s="1543">
        <f>IF(F93="购房发票",ROUND(C93*H93*5%,0),0)</f>
        <v>500</v>
      </c>
      <c r="D94" s="2292">
        <v>0.05</v>
      </c>
      <c r="E94" s="3269" t="s">
        <v>884</v>
      </c>
      <c r="F94" s="3272"/>
      <c r="G94" s="3272"/>
      <c r="H94" s="3298"/>
      <c r="I94" s="2364"/>
      <c r="J94" s="2365"/>
      <c r="K94" s="2368"/>
      <c r="L94" s="2368"/>
      <c r="M94" s="2368"/>
      <c r="N94" s="2368"/>
      <c r="O94" s="2368"/>
      <c r="P94" s="2368"/>
      <c r="Q94" s="2368"/>
      <c r="R94" s="2368"/>
      <c r="S94" s="2368"/>
      <c r="T94" s="2368"/>
      <c r="U94" s="2368"/>
      <c r="V94" s="2368"/>
      <c r="W94" s="2375"/>
      <c r="X94" s="2375"/>
      <c r="Y94" s="2375"/>
      <c r="Z94" s="2375"/>
    </row>
    <row r="95" spans="1:26" s="2053" customFormat="1" ht="24.75" customHeight="1">
      <c r="A95" s="2287" t="s">
        <v>885</v>
      </c>
      <c r="B95" s="2264" t="s">
        <v>886</v>
      </c>
      <c r="C95" s="1543">
        <f>ROUND(IF(G95="个人买卖住房",0,IF(G95="2016年5月1日前购买",C93*D95,C93*D95/(1+'数据-取费表'!C42))),0)</f>
        <v>61</v>
      </c>
      <c r="D95" s="2294">
        <f>'数据-取费表'!B48+'数据-取费表'!B49</f>
        <v>3.0499999999999999E-2</v>
      </c>
      <c r="E95" s="850" t="s">
        <v>887</v>
      </c>
      <c r="F95" s="2295"/>
      <c r="G95" s="2296" t="s">
        <v>888</v>
      </c>
      <c r="H95" s="2293" t="str">
        <f>IF(G95="个人买卖住房","免征印花税"," ")</f>
        <v xml:space="preserve"> </v>
      </c>
      <c r="I95" s="2364"/>
      <c r="J95" s="2365"/>
      <c r="K95" s="2368"/>
      <c r="L95" s="2368"/>
      <c r="M95" s="2368"/>
      <c r="N95" s="2368"/>
      <c r="O95" s="2368"/>
      <c r="P95" s="2368"/>
      <c r="Q95" s="2368"/>
      <c r="R95" s="2368"/>
      <c r="S95" s="2368"/>
      <c r="T95" s="2368"/>
      <c r="U95" s="2368"/>
      <c r="V95" s="2368"/>
      <c r="W95" s="2375"/>
      <c r="X95" s="2375"/>
      <c r="Y95" s="2375"/>
      <c r="Z95" s="2375"/>
    </row>
    <row r="96" spans="1:26" s="2053" customFormat="1" ht="24.75" customHeight="1">
      <c r="A96" s="2287" t="s">
        <v>855</v>
      </c>
      <c r="B96" s="2264" t="s">
        <v>889</v>
      </c>
      <c r="C96" s="2297">
        <f ca="1">ROUND(D63*D96/(1+'数据-取费表'!C42),0)</f>
        <v>27</v>
      </c>
      <c r="D96" s="2298">
        <f>'数据-取费表'!B43</f>
        <v>6.3000000000000009E-3</v>
      </c>
      <c r="E96" s="3302" t="s">
        <v>890</v>
      </c>
      <c r="F96" s="3290"/>
      <c r="G96" s="3290"/>
      <c r="H96" s="3291"/>
      <c r="I96" s="2369"/>
      <c r="J96" s="2370"/>
      <c r="K96" s="2368"/>
      <c r="L96" s="2368"/>
      <c r="M96" s="2368"/>
      <c r="N96" s="2368"/>
      <c r="O96" s="2368"/>
      <c r="P96" s="2368"/>
      <c r="Q96" s="2368"/>
      <c r="R96" s="2368"/>
      <c r="S96" s="2368"/>
      <c r="T96" s="2368"/>
      <c r="U96" s="2368"/>
      <c r="V96" s="2368"/>
      <c r="W96" s="2375"/>
      <c r="X96" s="2375"/>
      <c r="Y96" s="2375"/>
      <c r="Z96" s="2375"/>
    </row>
    <row r="97" spans="1:26" s="2053" customFormat="1" ht="14.25">
      <c r="A97" s="2301" t="s">
        <v>864</v>
      </c>
      <c r="B97" s="2268" t="s">
        <v>891</v>
      </c>
      <c r="C97" s="2272">
        <f ca="1">C90-C91</f>
        <v>1684</v>
      </c>
      <c r="D97" s="1543" t="s">
        <v>138</v>
      </c>
      <c r="E97" s="770"/>
      <c r="F97" s="771"/>
      <c r="G97" s="771"/>
      <c r="H97" s="2286"/>
      <c r="I97" s="2364"/>
      <c r="J97" s="2365"/>
      <c r="K97" s="2368"/>
      <c r="L97" s="2368"/>
      <c r="M97" s="2368"/>
      <c r="N97" s="2368"/>
      <c r="O97" s="2368"/>
      <c r="P97" s="2368"/>
      <c r="Q97" s="2368"/>
      <c r="R97" s="2368"/>
      <c r="S97" s="2368"/>
      <c r="T97" s="2368"/>
      <c r="U97" s="2368"/>
      <c r="V97" s="2368"/>
      <c r="W97" s="2375"/>
      <c r="X97" s="2375"/>
      <c r="Y97" s="2375"/>
      <c r="Z97" s="2375"/>
    </row>
    <row r="98" spans="1:26" s="2053" customFormat="1" ht="24">
      <c r="A98" s="2301" t="s">
        <v>867</v>
      </c>
      <c r="B98" s="2268" t="s">
        <v>892</v>
      </c>
      <c r="C98" s="2302">
        <f ca="1">IF(C97&lt;=0,0,C97/C91)</f>
        <v>0.65069551777434309</v>
      </c>
      <c r="D98" s="1543" t="s">
        <v>138</v>
      </c>
      <c r="E98" s="85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771"/>
      <c r="G98" s="771"/>
      <c r="H98" s="2286"/>
      <c r="I98" s="2364"/>
      <c r="J98" s="2365"/>
      <c r="K98" s="2368"/>
      <c r="L98" s="2368"/>
      <c r="M98" s="2368"/>
      <c r="N98" s="2368"/>
      <c r="O98" s="2368"/>
      <c r="P98" s="2368"/>
      <c r="Q98" s="2368"/>
      <c r="R98" s="2368"/>
      <c r="S98" s="2368"/>
      <c r="T98" s="2368"/>
      <c r="U98" s="2368"/>
      <c r="V98" s="2368"/>
      <c r="W98" s="2375"/>
      <c r="X98" s="2375"/>
      <c r="Y98" s="2375"/>
      <c r="Z98" s="2375"/>
    </row>
    <row r="99" spans="1:26" s="2053" customFormat="1" ht="24">
      <c r="A99" s="2303" t="s">
        <v>893</v>
      </c>
      <c r="B99" s="2274" t="s">
        <v>894</v>
      </c>
      <c r="C99" s="2304">
        <f ca="1">ROUND(IF(C97&lt;=0,0,IF(C98&gt;=200%,C97*60%-C91*35%,IF(C98&gt;=100%,C97*50%-C91*15%,IF(C98&gt;=50%,C97*40%-C91*5%,IF(C98&lt;50%,C97*30%,0))))),0)</f>
        <v>544</v>
      </c>
      <c r="D99" s="2305" t="s">
        <v>138</v>
      </c>
      <c r="E99" s="23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07"/>
      <c r="G99" s="2307"/>
      <c r="H99" s="2308"/>
      <c r="I99" s="2364"/>
      <c r="J99" s="2365"/>
      <c r="K99" s="2368"/>
      <c r="L99" s="2368"/>
      <c r="M99" s="2368"/>
      <c r="N99" s="2368"/>
      <c r="O99" s="2368"/>
      <c r="P99" s="2368"/>
      <c r="Q99" s="2368"/>
      <c r="R99" s="2368"/>
      <c r="S99" s="2368"/>
      <c r="T99" s="2368"/>
      <c r="U99" s="2368"/>
      <c r="V99" s="2368"/>
      <c r="W99" s="2375"/>
      <c r="X99" s="2375"/>
      <c r="Y99" s="2375"/>
      <c r="Z99" s="2375"/>
    </row>
    <row r="100" spans="1:26" s="2053" customFormat="1" ht="7.5" customHeight="1">
      <c r="A100" s="2309"/>
      <c r="B100" s="2310"/>
      <c r="C100" s="2218"/>
      <c r="D100" s="2218"/>
      <c r="E100" s="2310"/>
      <c r="F100" s="2310"/>
      <c r="G100" s="2310"/>
      <c r="H100" s="2311"/>
      <c r="I100" s="2369"/>
      <c r="J100" s="2370"/>
      <c r="K100" s="2368"/>
      <c r="L100" s="2368"/>
      <c r="M100" s="2368"/>
      <c r="N100" s="2368"/>
      <c r="O100" s="2368"/>
      <c r="P100" s="2368"/>
      <c r="Q100" s="2368"/>
      <c r="R100" s="2368"/>
      <c r="S100" s="2368"/>
      <c r="T100" s="2368"/>
      <c r="U100" s="2368"/>
      <c r="V100" s="2368"/>
      <c r="W100" s="2375"/>
      <c r="X100" s="2375"/>
      <c r="Y100" s="2375"/>
      <c r="Z100" s="2375"/>
    </row>
    <row r="101" spans="1:26" s="2053" customFormat="1" ht="14.25">
      <c r="A101" s="3296" t="s">
        <v>895</v>
      </c>
      <c r="B101" s="3297"/>
      <c r="C101" s="3297"/>
      <c r="D101" s="3297"/>
      <c r="E101" s="3297"/>
      <c r="F101" s="3297"/>
      <c r="G101" s="3297"/>
      <c r="H101" s="3297"/>
      <c r="I101" s="2218"/>
      <c r="J101" s="2368"/>
      <c r="K101" s="2368"/>
      <c r="L101" s="2368"/>
      <c r="M101" s="2368"/>
      <c r="N101" s="2368"/>
      <c r="O101" s="2368"/>
      <c r="P101" s="2368"/>
      <c r="Q101" s="2368"/>
      <c r="R101" s="2368"/>
      <c r="S101" s="2368"/>
      <c r="T101" s="2368"/>
      <c r="U101" s="2368"/>
      <c r="V101" s="2368"/>
      <c r="W101" s="2375"/>
      <c r="X101" s="2375"/>
      <c r="Y101" s="2375"/>
      <c r="Z101" s="2375"/>
    </row>
    <row r="102" spans="1:26" s="2053" customFormat="1" ht="14.25">
      <c r="A102" s="3292" t="s">
        <v>848</v>
      </c>
      <c r="B102" s="3293"/>
      <c r="C102" s="2257"/>
      <c r="D102" s="2257" t="s">
        <v>849</v>
      </c>
      <c r="E102" s="2283" t="s">
        <v>805</v>
      </c>
      <c r="F102" s="2284"/>
      <c r="G102" s="2284"/>
      <c r="H102" s="2312"/>
      <c r="I102" s="2218"/>
      <c r="J102" s="2368"/>
      <c r="K102" s="2368"/>
      <c r="L102" s="2368"/>
      <c r="M102" s="2368"/>
      <c r="N102" s="2368"/>
      <c r="O102" s="2368"/>
      <c r="P102" s="2368"/>
      <c r="Q102" s="2368"/>
      <c r="R102" s="2368"/>
      <c r="S102" s="2368"/>
      <c r="T102" s="2368"/>
      <c r="U102" s="2368"/>
      <c r="V102" s="2368"/>
      <c r="W102" s="2375"/>
      <c r="X102" s="2375"/>
      <c r="Y102" s="2375"/>
      <c r="Z102" s="2375"/>
    </row>
    <row r="103" spans="1:26" s="2053" customFormat="1" ht="14.25">
      <c r="A103" s="2259" t="s">
        <v>850</v>
      </c>
      <c r="B103" s="2268" t="s">
        <v>874</v>
      </c>
      <c r="C103" s="2272">
        <f ca="1">ROUND(D63/(1+'数据-取费表'!C42),0)</f>
        <v>4272</v>
      </c>
      <c r="D103" s="1543" t="s">
        <v>138</v>
      </c>
      <c r="E103" s="770"/>
      <c r="F103" s="771"/>
      <c r="G103" s="771"/>
      <c r="H103" s="2313"/>
      <c r="I103" s="2218"/>
      <c r="J103" s="2368"/>
      <c r="K103" s="2368"/>
      <c r="L103" s="2368"/>
      <c r="M103" s="2368"/>
      <c r="N103" s="2368"/>
      <c r="O103" s="2368"/>
      <c r="P103" s="2368"/>
      <c r="Q103" s="2368"/>
      <c r="R103" s="2368"/>
      <c r="S103" s="2368"/>
      <c r="T103" s="2368"/>
      <c r="U103" s="2368"/>
      <c r="V103" s="2368"/>
      <c r="W103" s="2375"/>
      <c r="X103" s="2375"/>
      <c r="Y103" s="2375"/>
      <c r="Z103" s="2375"/>
    </row>
    <row r="104" spans="1:26" s="2053" customFormat="1" ht="14.25">
      <c r="A104" s="2259" t="s">
        <v>859</v>
      </c>
      <c r="B104" s="2224" t="s">
        <v>875</v>
      </c>
      <c r="C104" s="2272">
        <f ca="1">IF(H106="仅含出让金",C105+C108+C109+C110+C111+C112,C105+C109+C110+C111+C112)</f>
        <v>717</v>
      </c>
      <c r="D104" s="2314"/>
      <c r="E104" s="770"/>
      <c r="F104" s="771"/>
      <c r="G104" s="771"/>
      <c r="H104" s="2313"/>
      <c r="I104" s="2218"/>
      <c r="J104" s="2368"/>
      <c r="K104" s="2368"/>
      <c r="L104" s="2368"/>
      <c r="M104" s="2368"/>
      <c r="N104" s="2368"/>
      <c r="O104" s="2368"/>
      <c r="P104" s="2368"/>
      <c r="Q104" s="2368"/>
      <c r="R104" s="2368"/>
      <c r="S104" s="2368"/>
      <c r="T104" s="2368"/>
      <c r="U104" s="2368"/>
      <c r="V104" s="2368"/>
      <c r="W104" s="2375"/>
      <c r="X104" s="2375"/>
      <c r="Y104" s="2375"/>
      <c r="Z104" s="2375"/>
    </row>
    <row r="105" spans="1:26" s="2053" customFormat="1" ht="14.25">
      <c r="A105" s="2287" t="s">
        <v>853</v>
      </c>
      <c r="B105" s="2264" t="s">
        <v>896</v>
      </c>
      <c r="C105" s="2297">
        <f>C106+C107</f>
        <v>572</v>
      </c>
      <c r="D105" s="2298"/>
      <c r="E105" s="2315"/>
      <c r="F105" s="2299"/>
      <c r="G105" s="2299"/>
      <c r="H105" s="2300"/>
      <c r="I105" s="2218"/>
      <c r="J105" s="2368"/>
      <c r="K105" s="2368"/>
      <c r="L105" s="2368"/>
      <c r="M105" s="2368"/>
      <c r="N105" s="2368"/>
      <c r="O105" s="2368"/>
      <c r="P105" s="2368"/>
      <c r="Q105" s="2368"/>
      <c r="R105" s="2368"/>
      <c r="S105" s="2368"/>
      <c r="T105" s="2368"/>
      <c r="U105" s="2368"/>
      <c r="V105" s="2368"/>
      <c r="W105" s="2375"/>
      <c r="X105" s="2375"/>
      <c r="Y105" s="2375"/>
      <c r="Z105" s="2375"/>
    </row>
    <row r="106" spans="1:26" s="2053" customFormat="1" ht="14.25">
      <c r="A106" s="2287" t="s">
        <v>877</v>
      </c>
      <c r="B106" s="2264" t="s">
        <v>897</v>
      </c>
      <c r="C106" s="2316">
        <v>555</v>
      </c>
      <c r="D106" s="2298"/>
      <c r="E106" s="2317" t="s">
        <v>898</v>
      </c>
      <c r="F106" s="2299"/>
      <c r="G106" s="2318" t="s">
        <v>899</v>
      </c>
      <c r="H106" s="2319" t="s">
        <v>900</v>
      </c>
      <c r="I106" s="2218"/>
      <c r="J106" s="2368"/>
      <c r="K106" s="2368"/>
      <c r="L106" s="2368"/>
      <c r="M106" s="2368"/>
      <c r="N106" s="2368"/>
      <c r="O106" s="2368"/>
      <c r="P106" s="2368"/>
      <c r="Q106" s="2368"/>
      <c r="R106" s="2368"/>
      <c r="S106" s="2368"/>
      <c r="T106" s="2368"/>
      <c r="U106" s="2368"/>
      <c r="V106" s="2368"/>
      <c r="W106" s="2375"/>
      <c r="X106" s="2375"/>
      <c r="Y106" s="2375"/>
      <c r="Z106" s="2375"/>
    </row>
    <row r="107" spans="1:26" s="2053" customFormat="1" ht="14.25">
      <c r="A107" s="2287" t="s">
        <v>882</v>
      </c>
      <c r="B107" s="2264" t="s">
        <v>886</v>
      </c>
      <c r="C107" s="2297">
        <f>ROUND(C106*D107,0)</f>
        <v>17</v>
      </c>
      <c r="D107" s="2298">
        <f>'数据-取费表'!B48+'数据-取费表'!B49</f>
        <v>3.0499999999999999E-2</v>
      </c>
      <c r="E107" s="2317" t="s">
        <v>901</v>
      </c>
      <c r="F107" s="2299"/>
      <c r="G107" s="2299"/>
      <c r="H107" s="2300"/>
      <c r="I107" s="2218"/>
      <c r="J107" s="2368"/>
      <c r="K107" s="2368"/>
      <c r="L107" s="2368"/>
      <c r="M107" s="2368"/>
      <c r="N107" s="2368"/>
      <c r="O107" s="2368"/>
      <c r="P107" s="2368"/>
      <c r="Q107" s="2368"/>
      <c r="R107" s="2368"/>
      <c r="S107" s="2368"/>
      <c r="T107" s="2368"/>
      <c r="U107" s="2368"/>
      <c r="V107" s="2368"/>
      <c r="W107" s="2375"/>
      <c r="X107" s="2375"/>
      <c r="Y107" s="2375"/>
      <c r="Z107" s="2375"/>
    </row>
    <row r="108" spans="1:26" s="2053" customFormat="1" ht="14.25">
      <c r="A108" s="2287" t="s">
        <v>855</v>
      </c>
      <c r="B108" s="2264" t="s">
        <v>902</v>
      </c>
      <c r="C108" s="2316"/>
      <c r="D108" s="2298"/>
      <c r="E108" s="2317" t="str">
        <f>IF(H106="-","土地取得成本中已包含该笔费用"," ")</f>
        <v xml:space="preserve"> </v>
      </c>
      <c r="F108" s="2299"/>
      <c r="G108" s="2299"/>
      <c r="H108" s="2300"/>
      <c r="I108" s="2218"/>
      <c r="J108" s="2368"/>
      <c r="K108" s="2368"/>
      <c r="L108" s="2368"/>
      <c r="M108" s="2368"/>
      <c r="N108" s="2368"/>
      <c r="O108" s="2368"/>
      <c r="P108" s="2368"/>
      <c r="Q108" s="2368"/>
      <c r="R108" s="2368"/>
      <c r="S108" s="2368"/>
      <c r="T108" s="2368"/>
      <c r="U108" s="2368"/>
      <c r="V108" s="2368"/>
      <c r="W108" s="2375"/>
      <c r="X108" s="2375"/>
      <c r="Y108" s="2375"/>
      <c r="Z108" s="2375"/>
    </row>
    <row r="109" spans="1:26" s="2053" customFormat="1" ht="24" customHeight="1">
      <c r="A109" s="2320" t="s">
        <v>903</v>
      </c>
      <c r="B109" s="2264" t="s">
        <v>904</v>
      </c>
      <c r="C109" s="2297">
        <f>IF(H109="——",IF(F1="现房",'剩余法-现房'!C18,'剩余法-待开发'!C18),I109)</f>
        <v>55</v>
      </c>
      <c r="D109" s="2298"/>
      <c r="E109" s="3289" t="s">
        <v>905</v>
      </c>
      <c r="F109" s="3290"/>
      <c r="G109" s="3290"/>
      <c r="H109" s="2321" t="s">
        <v>906</v>
      </c>
      <c r="I109" s="2371">
        <v>55</v>
      </c>
      <c r="J109" s="2368"/>
      <c r="K109" s="2368"/>
      <c r="L109" s="2368"/>
      <c r="M109" s="2368"/>
      <c r="N109" s="2368"/>
      <c r="O109" s="2368"/>
      <c r="P109" s="2368"/>
      <c r="Q109" s="2368"/>
      <c r="R109" s="2368"/>
      <c r="S109" s="2368"/>
      <c r="T109" s="2368"/>
      <c r="U109" s="2368"/>
      <c r="V109" s="2368"/>
      <c r="W109" s="2375"/>
      <c r="X109" s="2375"/>
      <c r="Y109" s="2375"/>
      <c r="Z109" s="2375"/>
    </row>
    <row r="110" spans="1:26" s="2053" customFormat="1" ht="25.5" customHeight="1">
      <c r="A110" s="2320" t="s">
        <v>907</v>
      </c>
      <c r="B110" s="2264" t="s">
        <v>908</v>
      </c>
      <c r="C110" s="2297">
        <f>ROUND((C105+C108+C109)*D110,0)</f>
        <v>63</v>
      </c>
      <c r="D110" s="2298">
        <v>0.1</v>
      </c>
      <c r="E110" s="3289" t="s">
        <v>909</v>
      </c>
      <c r="F110" s="3290"/>
      <c r="G110" s="3290"/>
      <c r="H110" s="3291"/>
      <c r="I110" s="2218"/>
      <c r="J110" s="2368"/>
      <c r="K110" s="2368"/>
      <c r="L110" s="2368"/>
      <c r="M110" s="2368"/>
      <c r="N110" s="2368"/>
      <c r="O110" s="2368"/>
      <c r="P110" s="2368"/>
      <c r="Q110" s="2368"/>
      <c r="R110" s="2368"/>
      <c r="S110" s="2368"/>
      <c r="T110" s="2368"/>
      <c r="U110" s="2368"/>
      <c r="V110" s="2368"/>
      <c r="W110" s="2375"/>
      <c r="X110" s="2375"/>
      <c r="Y110" s="2375"/>
      <c r="Z110" s="2375"/>
    </row>
    <row r="111" spans="1:26" s="2053" customFormat="1" ht="25.5" customHeight="1">
      <c r="A111" s="2320" t="s">
        <v>910</v>
      </c>
      <c r="B111" s="2264" t="s">
        <v>889</v>
      </c>
      <c r="C111" s="2297">
        <f ca="1">ROUND(D63*D111/(1+'数据-取费表'!C42),0)</f>
        <v>27</v>
      </c>
      <c r="D111" s="2298">
        <f>'数据-取费表'!B43</f>
        <v>6.3000000000000009E-3</v>
      </c>
      <c r="E111" s="3302" t="s">
        <v>890</v>
      </c>
      <c r="F111" s="3290"/>
      <c r="G111" s="3290"/>
      <c r="H111" s="3291"/>
      <c r="I111" s="2218"/>
      <c r="J111" s="2368"/>
      <c r="K111" s="2368"/>
      <c r="L111" s="2368"/>
      <c r="M111" s="2368"/>
      <c r="N111" s="2368"/>
      <c r="O111" s="2368"/>
      <c r="P111" s="2368"/>
      <c r="Q111" s="2368"/>
      <c r="R111" s="2368"/>
      <c r="S111" s="2368"/>
      <c r="T111" s="2368"/>
      <c r="U111" s="2368"/>
      <c r="V111" s="2368"/>
      <c r="W111" s="2375"/>
      <c r="X111" s="2375"/>
      <c r="Y111" s="2375"/>
      <c r="Z111" s="2375"/>
    </row>
    <row r="112" spans="1:26" s="2053" customFormat="1" ht="25.5" customHeight="1">
      <c r="A112" s="2320" t="s">
        <v>911</v>
      </c>
      <c r="B112" s="2264" t="s">
        <v>912</v>
      </c>
      <c r="C112" s="2297">
        <f>ROUND(C108*D112,0)</f>
        <v>0</v>
      </c>
      <c r="D112" s="2298">
        <v>0.2</v>
      </c>
      <c r="E112" s="3289" t="s">
        <v>913</v>
      </c>
      <c r="F112" s="3290"/>
      <c r="G112" s="3290"/>
      <c r="H112" s="3291"/>
      <c r="I112" s="2218"/>
      <c r="J112" s="2368"/>
      <c r="K112" s="2368"/>
      <c r="L112" s="2368"/>
      <c r="M112" s="2368"/>
      <c r="N112" s="2368"/>
      <c r="O112" s="2368"/>
      <c r="P112" s="2368"/>
      <c r="Q112" s="2368"/>
      <c r="R112" s="2368"/>
      <c r="S112" s="2368"/>
      <c r="T112" s="2368"/>
      <c r="U112" s="2368"/>
      <c r="V112" s="2368"/>
      <c r="W112" s="2375"/>
      <c r="X112" s="2375"/>
      <c r="Y112" s="2375"/>
      <c r="Z112" s="2375"/>
    </row>
    <row r="113" spans="1:26" s="2053" customFormat="1" ht="14.25">
      <c r="A113" s="2301" t="s">
        <v>864</v>
      </c>
      <c r="B113" s="2268" t="s">
        <v>891</v>
      </c>
      <c r="C113" s="2272">
        <f ca="1">ROUND(C103-C104,0)</f>
        <v>3555</v>
      </c>
      <c r="D113" s="1543" t="s">
        <v>138</v>
      </c>
      <c r="E113" s="770"/>
      <c r="F113" s="771"/>
      <c r="G113" s="771"/>
      <c r="H113" s="2313"/>
      <c r="I113" s="2218"/>
      <c r="J113" s="2368"/>
      <c r="K113" s="2368"/>
      <c r="L113" s="2368"/>
      <c r="M113" s="2368"/>
      <c r="N113" s="2368"/>
      <c r="O113" s="2368"/>
      <c r="P113" s="2368"/>
      <c r="Q113" s="2368"/>
      <c r="R113" s="2368"/>
      <c r="S113" s="2368"/>
      <c r="T113" s="2368"/>
      <c r="U113" s="2368"/>
      <c r="V113" s="2368"/>
      <c r="W113" s="2375"/>
      <c r="X113" s="2375"/>
      <c r="Y113" s="2375"/>
      <c r="Z113" s="2375"/>
    </row>
    <row r="114" spans="1:26" s="2053" customFormat="1" ht="24">
      <c r="A114" s="2301" t="s">
        <v>867</v>
      </c>
      <c r="B114" s="2268" t="s">
        <v>892</v>
      </c>
      <c r="C114" s="2302">
        <f ca="1">IF(C113&lt;=0,0,C113/C104)</f>
        <v>4.9581589958158991</v>
      </c>
      <c r="D114" s="1543"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13"/>
      <c r="I114" s="2218"/>
      <c r="J114" s="2368"/>
      <c r="K114" s="2368"/>
      <c r="L114" s="2368"/>
      <c r="M114" s="2368"/>
      <c r="N114" s="2368"/>
      <c r="O114" s="2368"/>
      <c r="P114" s="2368"/>
      <c r="Q114" s="2368"/>
      <c r="R114" s="2368"/>
      <c r="S114" s="2368"/>
      <c r="T114" s="2368"/>
      <c r="U114" s="2368"/>
      <c r="V114" s="2368"/>
      <c r="W114" s="2375"/>
      <c r="X114" s="2375"/>
      <c r="Y114" s="2375"/>
      <c r="Z114" s="2375"/>
    </row>
    <row r="115" spans="1:26" s="2053" customFormat="1" ht="24">
      <c r="A115" s="2303" t="s">
        <v>893</v>
      </c>
      <c r="B115" s="2274" t="s">
        <v>894</v>
      </c>
      <c r="C115" s="2304">
        <f ca="1">ROUND(IF(C113&lt;=0,0,IF(C114&gt;=200%,C113*60%-C104*35%,IF(C114&gt;=100%,C113*50%-C104*15%,IF(C114&gt;=50%,C113*40%-C104*5%,IF(C114&lt;50%,C113*30%,0))))),0)</f>
        <v>1882</v>
      </c>
      <c r="D115" s="2305" t="s">
        <v>138</v>
      </c>
      <c r="E115" s="23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7"/>
      <c r="G115" s="2307"/>
      <c r="H115" s="2322"/>
      <c r="I115" s="2218"/>
      <c r="J115" s="2368"/>
      <c r="K115" s="2368"/>
      <c r="L115" s="2368"/>
      <c r="M115" s="2368"/>
      <c r="N115" s="2368"/>
      <c r="O115" s="2368"/>
      <c r="P115" s="2368"/>
      <c r="Q115" s="2368"/>
      <c r="R115" s="2368"/>
      <c r="S115" s="2368"/>
      <c r="T115" s="2368"/>
      <c r="U115" s="2368"/>
      <c r="V115" s="2368"/>
      <c r="W115" s="2375"/>
      <c r="X115" s="2375"/>
      <c r="Y115" s="2375"/>
      <c r="Z115" s="2375"/>
    </row>
    <row r="116" spans="1:26" s="153" customFormat="1" ht="21.75" customHeight="1">
      <c r="J116" s="2372"/>
      <c r="K116" s="180"/>
      <c r="L116" s="180"/>
      <c r="M116" s="180"/>
      <c r="N116" s="180"/>
      <c r="O116" s="180"/>
    </row>
    <row r="117" spans="1:26" s="153" customFormat="1" ht="21.75" customHeight="1">
      <c r="J117" s="2372"/>
    </row>
    <row r="118" spans="1:26" s="153" customFormat="1" ht="21.75" customHeight="1">
      <c r="J118" s="2372"/>
    </row>
    <row r="119" spans="1:26" s="153" customFormat="1" ht="21.75" customHeight="1">
      <c r="J119" s="2372"/>
    </row>
    <row r="120" spans="1:26" s="153" customFormat="1" ht="21.75" customHeight="1">
      <c r="J120" s="2372"/>
    </row>
    <row r="121" spans="1:26" s="153" customFormat="1" ht="21.75" customHeight="1"/>
    <row r="122" spans="1:26" s="153" customFormat="1" ht="21.75" customHeight="1">
      <c r="J122" s="2373"/>
    </row>
    <row r="123" spans="1:26" s="153" customFormat="1" ht="21.75" customHeight="1"/>
    <row r="124" spans="1:26" s="153" customFormat="1" ht="21.75" customHeight="1"/>
    <row r="125" spans="1:26" s="153" customFormat="1" ht="21.75" customHeight="1">
      <c r="J125" s="2373"/>
    </row>
    <row r="126" spans="1:26" s="153" customFormat="1" ht="21.75" customHeight="1"/>
    <row r="127" spans="1:26" s="153" customFormat="1" ht="21.75" customHeight="1"/>
    <row r="128" spans="1:26" s="153" customFormat="1" ht="21.75" customHeight="1">
      <c r="J128" s="2373"/>
    </row>
    <row r="129" spans="2:6" s="153" customFormat="1" ht="21.75" customHeight="1"/>
    <row r="130" spans="2:6" s="153" customFormat="1" ht="21.75" customHeight="1">
      <c r="B130" s="2376"/>
      <c r="C130" s="2377"/>
      <c r="D130" s="2378"/>
      <c r="E130" s="2378"/>
      <c r="F130" s="237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4"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
  <sheetViews>
    <sheetView workbookViewId="0">
      <selection activeCell="E11" sqref="E11"/>
    </sheetView>
  </sheetViews>
  <sheetFormatPr defaultRowHeight="13.5"/>
  <cols>
    <col min="2" max="2" width="11.625" bestFit="1" customWidth="1"/>
    <col min="8" max="8" width="13" customWidth="1"/>
  </cols>
  <sheetData>
    <row r="2" spans="1:9">
      <c r="A2" s="3457" t="s">
        <v>2344</v>
      </c>
      <c r="B2" s="3452" t="s">
        <v>2339</v>
      </c>
      <c r="C2" s="3452" t="s">
        <v>2340</v>
      </c>
      <c r="D2" s="3452" t="s">
        <v>2341</v>
      </c>
      <c r="E2" s="3452" t="s">
        <v>2342</v>
      </c>
      <c r="F2" s="3452" t="s">
        <v>2343</v>
      </c>
      <c r="H2" s="3452" t="s">
        <v>2348</v>
      </c>
      <c r="I2" s="3452" t="s">
        <v>2349</v>
      </c>
    </row>
    <row r="3" spans="1:9">
      <c r="A3" s="3456"/>
      <c r="B3" s="3453">
        <v>43445</v>
      </c>
      <c r="C3">
        <v>6446</v>
      </c>
      <c r="D3">
        <v>1500</v>
      </c>
      <c r="E3">
        <f ca="1">结果表!G19</f>
        <v>7477</v>
      </c>
      <c r="F3" s="3464">
        <f ca="1">E3/C3-1</f>
        <v>0.15994415141172813</v>
      </c>
      <c r="H3" s="3455">
        <f ca="1">ROUND(E3/'数据-汇总表'!F27*10000,0)</f>
        <v>1545</v>
      </c>
      <c r="I3" s="3454">
        <f ca="1">H3/'剩余法-待开发'!C8</f>
        <v>0.308629644426688</v>
      </c>
    </row>
  </sheetData>
  <mergeCells count="1">
    <mergeCell ref="A2:A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43" zoomScale="80" zoomScaleNormal="95" zoomScaleSheetLayoutView="80" workbookViewId="0">
      <selection activeCell="C33" sqref="C3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914</v>
      </c>
      <c r="B1" s="529"/>
      <c r="C1" s="200" t="s">
        <v>915</v>
      </c>
      <c r="D1" s="1725" t="s">
        <v>916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7"/>
    </row>
    <row r="2" spans="1:30" s="189" customFormat="1" ht="28.5" customHeight="1">
      <c r="A2" s="205" t="s">
        <v>917</v>
      </c>
      <c r="B2" s="1727">
        <f>F68</f>
        <v>8865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7"/>
    </row>
    <row r="3" spans="1:30" s="189" customFormat="1" ht="28.5" customHeight="1">
      <c r="A3" s="621" t="s">
        <v>918</v>
      </c>
      <c r="B3" s="211">
        <f>ROUND(B2*10000/'数据-汇总表'!E3,0)</f>
        <v>1208</v>
      </c>
      <c r="C3" s="565"/>
      <c r="D3" s="201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9" t="s">
        <v>919</v>
      </c>
      <c r="B4" s="623">
        <f>IF(B48="单位面积地价",C50,ROUND(B2*10000/'数据-汇总表'!D3,0))</f>
        <v>2063</v>
      </c>
      <c r="C4" s="565"/>
      <c r="D4" s="201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921</v>
      </c>
      <c r="B6" s="215"/>
      <c r="C6" s="3315" t="s">
        <v>922</v>
      </c>
      <c r="D6" s="3316"/>
      <c r="E6" s="3315" t="s">
        <v>923</v>
      </c>
      <c r="F6" s="3316"/>
      <c r="G6" s="3315" t="s">
        <v>924</v>
      </c>
      <c r="H6" s="3316"/>
      <c r="I6" s="3315" t="s">
        <v>925</v>
      </c>
      <c r="J6" s="3316"/>
      <c r="K6" s="376" t="s">
        <v>926</v>
      </c>
      <c r="L6" s="377"/>
      <c r="M6" s="375"/>
      <c r="N6" s="375"/>
      <c r="O6" s="378"/>
      <c r="P6" s="3343" t="s">
        <v>927</v>
      </c>
      <c r="Q6" s="3344"/>
      <c r="R6" s="3349" t="s">
        <v>923</v>
      </c>
      <c r="S6" s="3350"/>
      <c r="T6" s="3349" t="s">
        <v>924</v>
      </c>
      <c r="U6" s="3350"/>
      <c r="V6" s="3335" t="s">
        <v>925</v>
      </c>
      <c r="W6" s="3335"/>
      <c r="X6" s="443"/>
      <c r="Y6" s="3349" t="s">
        <v>927</v>
      </c>
      <c r="Z6" s="3350"/>
      <c r="AA6" s="3336" t="s">
        <v>923</v>
      </c>
      <c r="AB6" s="3337" t="s">
        <v>924</v>
      </c>
      <c r="AC6" s="3336" t="s">
        <v>925</v>
      </c>
    </row>
    <row r="7" spans="1:30" ht="20.25">
      <c r="A7" s="216"/>
      <c r="B7" s="217"/>
      <c r="C7" s="3317" t="s">
        <v>928</v>
      </c>
      <c r="D7" s="3318"/>
      <c r="E7" s="3317" t="s">
        <v>929</v>
      </c>
      <c r="F7" s="3318"/>
      <c r="G7" s="3317" t="s">
        <v>930</v>
      </c>
      <c r="H7" s="3318"/>
      <c r="I7" s="3317" t="s">
        <v>931</v>
      </c>
      <c r="J7" s="3318"/>
      <c r="K7" s="376"/>
      <c r="L7" s="377"/>
      <c r="M7" s="375"/>
      <c r="N7" s="375"/>
      <c r="O7" s="378"/>
      <c r="P7" s="3345"/>
      <c r="Q7" s="3346"/>
      <c r="R7" s="3351"/>
      <c r="S7" s="3352"/>
      <c r="T7" s="3351"/>
      <c r="U7" s="3352"/>
      <c r="V7" s="3335"/>
      <c r="W7" s="3335"/>
      <c r="X7" s="443"/>
      <c r="Y7" s="3351"/>
      <c r="Z7" s="3352"/>
      <c r="AA7" s="3337"/>
      <c r="AB7" s="3337"/>
      <c r="AC7" s="3337"/>
    </row>
    <row r="8" spans="1:30" ht="20.25">
      <c r="A8" s="216"/>
      <c r="B8" s="217"/>
      <c r="C8" s="3317" t="str">
        <f>C7</f>
        <v>文家67</v>
      </c>
      <c r="D8" s="3318"/>
      <c r="E8" s="3319" t="str">
        <f t="shared" ref="E8:G8" si="0">E7</f>
        <v>文庙街以南、兴仕路以东</v>
      </c>
      <c r="F8" s="3320"/>
      <c r="G8" s="3321" t="str">
        <f t="shared" si="0"/>
        <v>永宁路以西、洛城街以北</v>
      </c>
      <c r="H8" s="3322"/>
      <c r="I8" s="3321" t="str">
        <f>I7</f>
        <v>圣阳街以北、正阳路以东</v>
      </c>
      <c r="J8" s="3322"/>
      <c r="K8" s="376" t="s">
        <v>932</v>
      </c>
      <c r="L8" s="377"/>
      <c r="M8" s="375"/>
      <c r="N8" s="375"/>
      <c r="O8" s="378"/>
      <c r="P8" s="3347"/>
      <c r="Q8" s="3348"/>
      <c r="R8" s="3351"/>
      <c r="S8" s="3352"/>
      <c r="T8" s="3353"/>
      <c r="U8" s="3354"/>
      <c r="V8" s="3335"/>
      <c r="W8" s="3335"/>
      <c r="X8" s="443"/>
      <c r="Y8" s="3353"/>
      <c r="Z8" s="3354"/>
      <c r="AA8" s="3338"/>
      <c r="AB8" s="3338"/>
      <c r="AC8" s="3338"/>
    </row>
    <row r="9" spans="1:30" s="190" customFormat="1" ht="20.25">
      <c r="A9" s="220"/>
      <c r="B9" s="221" t="s">
        <v>933</v>
      </c>
      <c r="C9" s="2017">
        <f>'数据-取费表'!B2</f>
        <v>43600</v>
      </c>
      <c r="D9" s="223">
        <v>100</v>
      </c>
      <c r="E9" s="224">
        <v>43390</v>
      </c>
      <c r="F9" s="225">
        <f>SUMIF(72:72,YEAR(E9)&amp;"-"&amp;INT((MONTH(E9)+2)/3),73:73)</f>
        <v>100</v>
      </c>
      <c r="G9" s="226">
        <v>43464</v>
      </c>
      <c r="H9" s="223">
        <f>SUMIF(72:72,YEAR(G9)&amp;"-"&amp;INT((MONTH(G9)+2)/3),73:73)</f>
        <v>100</v>
      </c>
      <c r="I9" s="226">
        <v>43222</v>
      </c>
      <c r="J9" s="223">
        <f>SUMIF(72:72,YEAR(I9)&amp;"-"&amp;INT((MONTH(I9)+2)/3),73:73)</f>
        <v>100</v>
      </c>
      <c r="K9" s="379"/>
      <c r="L9" s="380"/>
      <c r="M9" s="375"/>
      <c r="N9" s="375"/>
      <c r="O9" s="381"/>
      <c r="P9" s="3323" t="s">
        <v>934</v>
      </c>
      <c r="Q9" s="3324"/>
      <c r="R9" s="444" t="s">
        <v>935</v>
      </c>
      <c r="S9" s="445">
        <f t="shared" ref="S9:S17" si="1">F9</f>
        <v>100</v>
      </c>
      <c r="T9" s="444" t="s">
        <v>935</v>
      </c>
      <c r="U9" s="445">
        <f t="shared" ref="U9:U17" si="2">H9</f>
        <v>100</v>
      </c>
      <c r="V9" s="444" t="s">
        <v>935</v>
      </c>
      <c r="W9" s="445">
        <f t="shared" ref="W9:W17" si="3">J9</f>
        <v>100</v>
      </c>
      <c r="X9" s="446"/>
      <c r="Y9" s="3323" t="s">
        <v>934</v>
      </c>
      <c r="Z9" s="3355"/>
      <c r="AA9" s="463">
        <f>D9/F9</f>
        <v>1</v>
      </c>
      <c r="AB9" s="463">
        <f>D9/H9</f>
        <v>1</v>
      </c>
      <c r="AC9" s="463">
        <f>D9/J9</f>
        <v>1</v>
      </c>
    </row>
    <row r="10" spans="1:30" s="190" customFormat="1" ht="20.25">
      <c r="A10" s="227"/>
      <c r="B10" s="228" t="s">
        <v>936</v>
      </c>
      <c r="C10" s="969" t="s">
        <v>937</v>
      </c>
      <c r="D10" s="223">
        <v>100</v>
      </c>
      <c r="E10" s="229" t="s">
        <v>938</v>
      </c>
      <c r="F10" s="225">
        <f>SUMIF(75:75,E10,76:76)-SUMIF(75:75,C10,76:76)+100</f>
        <v>100</v>
      </c>
      <c r="G10" s="229" t="s">
        <v>938</v>
      </c>
      <c r="H10" s="223">
        <f>SUMIF(75:75,G10,76:76)-SUMIF(75:75,C10,76:76)+100</f>
        <v>100</v>
      </c>
      <c r="I10" s="229" t="s">
        <v>938</v>
      </c>
      <c r="J10" s="223">
        <f>SUMIF(75:75,I10,76:76)-SUMIF(75:75,C10,76:76)+100</f>
        <v>100</v>
      </c>
      <c r="K10" s="379"/>
      <c r="L10" s="380"/>
      <c r="M10" s="375"/>
      <c r="N10" s="375"/>
      <c r="O10" s="381"/>
      <c r="P10" s="3323" t="s">
        <v>939</v>
      </c>
      <c r="Q10" s="3355"/>
      <c r="R10" s="444" t="s">
        <v>935</v>
      </c>
      <c r="S10" s="445">
        <f t="shared" si="1"/>
        <v>100</v>
      </c>
      <c r="T10" s="444" t="s">
        <v>935</v>
      </c>
      <c r="U10" s="445">
        <f t="shared" si="2"/>
        <v>100</v>
      </c>
      <c r="V10" s="444" t="s">
        <v>935</v>
      </c>
      <c r="W10" s="445">
        <f t="shared" si="3"/>
        <v>100</v>
      </c>
      <c r="X10" s="446"/>
      <c r="Y10" s="3323" t="s">
        <v>939</v>
      </c>
      <c r="Z10" s="3355"/>
      <c r="AA10" s="463">
        <f t="shared" ref="AA10:AA47" si="4">D10/F10</f>
        <v>1</v>
      </c>
      <c r="AB10" s="463">
        <f t="shared" ref="AB10:AB47" si="5">D10/H10</f>
        <v>1</v>
      </c>
      <c r="AC10" s="463">
        <f t="shared" ref="AC10:AC47" si="6">D10/J10</f>
        <v>1</v>
      </c>
    </row>
    <row r="11" spans="1:30" s="190" customFormat="1" ht="20.25">
      <c r="A11" s="230"/>
      <c r="B11" s="231" t="s">
        <v>940</v>
      </c>
      <c r="C11" s="2018" t="s">
        <v>941</v>
      </c>
      <c r="D11" s="233">
        <v>100</v>
      </c>
      <c r="E11" s="2018" t="s">
        <v>941</v>
      </c>
      <c r="F11" s="233">
        <f>SUMIF(77:77,E11,78:78)-SUMIF(77:77,C11,78:78)+100</f>
        <v>100</v>
      </c>
      <c r="G11" s="2018" t="s">
        <v>941</v>
      </c>
      <c r="H11" s="233">
        <f>SUMIF(77:77,G11,78:78)-SUMIF(77:77,C11,78:78)+100</f>
        <v>100</v>
      </c>
      <c r="I11" s="2018" t="s">
        <v>941</v>
      </c>
      <c r="J11" s="233">
        <f>SUMIF(77:77,I11,78:78)-SUMIF(77:77,C11,78:78)+100</f>
        <v>100</v>
      </c>
      <c r="K11" s="379"/>
      <c r="L11" s="380"/>
      <c r="M11" s="375"/>
      <c r="N11" s="375"/>
      <c r="O11" s="382"/>
      <c r="P11" s="3326" t="s">
        <v>942</v>
      </c>
      <c r="Q11" s="447" t="str">
        <f t="shared" ref="Q11:Q17" si="7">B11</f>
        <v>用途</v>
      </c>
      <c r="R11" s="444" t="s">
        <v>935</v>
      </c>
      <c r="S11" s="445">
        <f t="shared" si="1"/>
        <v>100</v>
      </c>
      <c r="T11" s="444" t="s">
        <v>935</v>
      </c>
      <c r="U11" s="445">
        <f t="shared" si="2"/>
        <v>100</v>
      </c>
      <c r="V11" s="444" t="s">
        <v>935</v>
      </c>
      <c r="W11" s="445">
        <f t="shared" si="3"/>
        <v>100</v>
      </c>
      <c r="X11" s="446"/>
      <c r="Y11" s="3314" t="s">
        <v>943</v>
      </c>
      <c r="Z11" s="464" t="str">
        <f t="shared" ref="Z11:Z17" si="8">Q11</f>
        <v>用途</v>
      </c>
      <c r="AA11" s="463">
        <f t="shared" si="4"/>
        <v>1</v>
      </c>
      <c r="AB11" s="463">
        <f t="shared" si="5"/>
        <v>1</v>
      </c>
      <c r="AC11" s="463">
        <f t="shared" si="6"/>
        <v>1</v>
      </c>
    </row>
    <row r="12" spans="1:30" s="191" customFormat="1" ht="27">
      <c r="A12" s="235"/>
      <c r="B12" s="228" t="s">
        <v>944</v>
      </c>
      <c r="C12" s="566">
        <f>项目基本情况!D19</f>
        <v>69.569999999999993</v>
      </c>
      <c r="D12" s="237">
        <v>100</v>
      </c>
      <c r="E12" s="974" t="s">
        <v>945</v>
      </c>
      <c r="F12" s="237">
        <f>ROUND(100/'数据-取费表'!G16,0)</f>
        <v>100</v>
      </c>
      <c r="G12" s="973" t="s">
        <v>945</v>
      </c>
      <c r="H12" s="237">
        <f>ROUND(100/'数据-取费表'!G16,0)</f>
        <v>100</v>
      </c>
      <c r="I12" s="973" t="s">
        <v>945</v>
      </c>
      <c r="J12" s="237">
        <f>ROUND(100/'数据-取费表'!G16,0)</f>
        <v>100</v>
      </c>
      <c r="K12" s="1787"/>
      <c r="L12" s="385"/>
      <c r="M12" s="375"/>
      <c r="N12" s="375"/>
      <c r="O12" s="387"/>
      <c r="P12" s="3326"/>
      <c r="Q12" s="447" t="str">
        <f t="shared" si="7"/>
        <v>土地使用年限（年）</v>
      </c>
      <c r="R12" s="444" t="s">
        <v>935</v>
      </c>
      <c r="S12" s="445">
        <f t="shared" si="1"/>
        <v>100</v>
      </c>
      <c r="T12" s="444" t="s">
        <v>935</v>
      </c>
      <c r="U12" s="445">
        <f t="shared" si="2"/>
        <v>100</v>
      </c>
      <c r="V12" s="444" t="s">
        <v>935</v>
      </c>
      <c r="W12" s="445">
        <f t="shared" si="3"/>
        <v>100</v>
      </c>
      <c r="X12" s="446"/>
      <c r="Y12" s="3314"/>
      <c r="Z12" s="464" t="str">
        <f t="shared" si="8"/>
        <v>土地使用年限（年）</v>
      </c>
      <c r="AA12" s="463">
        <f t="shared" si="4"/>
        <v>1</v>
      </c>
      <c r="AB12" s="463">
        <f t="shared" si="5"/>
        <v>1</v>
      </c>
      <c r="AC12" s="463">
        <f t="shared" si="6"/>
        <v>1</v>
      </c>
    </row>
    <row r="13" spans="1:30" ht="20.25">
      <c r="A13" s="530"/>
      <c r="B13" s="228" t="s">
        <v>946</v>
      </c>
      <c r="C13" s="532">
        <f>'数据-汇总表'!I6</f>
        <v>1.1299999999999999</v>
      </c>
      <c r="D13" s="237">
        <v>100</v>
      </c>
      <c r="E13" s="531">
        <v>2</v>
      </c>
      <c r="F13" s="237">
        <f>LOOKUP(E13,82:82,83:83)-LOOKUP(C13,82:82,83:83)+100</f>
        <v>105</v>
      </c>
      <c r="G13" s="532">
        <v>1.7</v>
      </c>
      <c r="H13" s="237">
        <f>LOOKUP(G13,82:82,83:83)-LOOKUP(C13,82:82,83:83)+100</f>
        <v>100</v>
      </c>
      <c r="I13" s="531">
        <v>2.5</v>
      </c>
      <c r="J13" s="237">
        <f>LOOKUP(I13,82:82,83:83)-LOOKUP(C13,82:82,83:83)+100</f>
        <v>105</v>
      </c>
      <c r="K13" s="1788">
        <v>5</v>
      </c>
      <c r="L13" s="389"/>
      <c r="M13" s="375"/>
      <c r="N13" s="375"/>
      <c r="O13" s="390"/>
      <c r="P13" s="3326"/>
      <c r="Q13" s="447" t="str">
        <f t="shared" si="7"/>
        <v>容积率</v>
      </c>
      <c r="R13" s="444" t="s">
        <v>935</v>
      </c>
      <c r="S13" s="445">
        <f t="shared" si="1"/>
        <v>105</v>
      </c>
      <c r="T13" s="444" t="s">
        <v>935</v>
      </c>
      <c r="U13" s="445">
        <f t="shared" si="2"/>
        <v>100</v>
      </c>
      <c r="V13" s="444" t="s">
        <v>935</v>
      </c>
      <c r="W13" s="445">
        <f t="shared" si="3"/>
        <v>105</v>
      </c>
      <c r="X13" s="446"/>
      <c r="Y13" s="3314"/>
      <c r="Z13" s="464" t="str">
        <f t="shared" si="8"/>
        <v>容积率</v>
      </c>
      <c r="AA13" s="463">
        <f t="shared" si="4"/>
        <v>0.95238095238095233</v>
      </c>
      <c r="AB13" s="463">
        <f t="shared" si="5"/>
        <v>1</v>
      </c>
      <c r="AC13" s="463">
        <f t="shared" si="6"/>
        <v>0.95238095238095233</v>
      </c>
    </row>
    <row r="14" spans="1:30" s="190" customFormat="1" ht="20.25">
      <c r="A14" s="227"/>
      <c r="B14" s="2019" t="s">
        <v>947</v>
      </c>
      <c r="C14" s="2020"/>
      <c r="D14" s="243">
        <v>100</v>
      </c>
      <c r="E14" s="2021"/>
      <c r="F14" s="237">
        <f>SUMIF(84:84,E14,85:85)-SUMIF(84:84,C14,85:85)+100</f>
        <v>100</v>
      </c>
      <c r="G14" s="973"/>
      <c r="H14" s="237">
        <f>SUMIF(84:84,G14,85:85)-SUMIF(84:84,C14,85:85)+100</f>
        <v>100</v>
      </c>
      <c r="I14" s="974"/>
      <c r="J14" s="237">
        <f>SUMIF(84:84,I14,85:85)-SUMIF(84:84,C14,85:85)+100</f>
        <v>100</v>
      </c>
      <c r="K14" s="1787"/>
      <c r="L14" s="380"/>
      <c r="M14" s="375"/>
      <c r="N14" s="375"/>
      <c r="O14" s="382"/>
      <c r="P14" s="3326"/>
      <c r="Q14" s="447" t="str">
        <f t="shared" si="7"/>
        <v>配建</v>
      </c>
      <c r="R14" s="444" t="s">
        <v>935</v>
      </c>
      <c r="S14" s="445">
        <f t="shared" si="1"/>
        <v>100</v>
      </c>
      <c r="T14" s="444" t="s">
        <v>935</v>
      </c>
      <c r="U14" s="445">
        <f t="shared" si="2"/>
        <v>100</v>
      </c>
      <c r="V14" s="444" t="s">
        <v>935</v>
      </c>
      <c r="W14" s="445">
        <f t="shared" si="3"/>
        <v>100</v>
      </c>
      <c r="X14" s="446"/>
      <c r="Y14" s="3314"/>
      <c r="Z14" s="464" t="str">
        <f t="shared" si="8"/>
        <v>配建</v>
      </c>
      <c r="AA14" s="463">
        <f t="shared" si="4"/>
        <v>1</v>
      </c>
      <c r="AB14" s="463">
        <f t="shared" si="5"/>
        <v>1</v>
      </c>
      <c r="AC14" s="463">
        <f t="shared" si="6"/>
        <v>1</v>
      </c>
    </row>
    <row r="15" spans="1:30" ht="20.25">
      <c r="A15" s="239"/>
      <c r="B15" s="240">
        <v>111</v>
      </c>
      <c r="C15" s="572"/>
      <c r="D15" s="247">
        <v>100</v>
      </c>
      <c r="E15" s="360"/>
      <c r="F15" s="237">
        <f>SUMIF(86:86,E15,87:87)-SUMIF(86:86,C15,87:87)+100</f>
        <v>100</v>
      </c>
      <c r="G15" s="1731"/>
      <c r="H15" s="247">
        <f>SUMIF(86:86,G15,87:87)-SUMIF(86:86,C15,87:87)+100</f>
        <v>100</v>
      </c>
      <c r="I15" s="1731"/>
      <c r="J15" s="247">
        <f>SUMIF(86:86,I15,87:87)-SUMIF(86:86,C15,87:87)+100</f>
        <v>100</v>
      </c>
      <c r="K15" s="1787"/>
      <c r="L15" s="391"/>
      <c r="M15" s="375"/>
      <c r="N15" s="375"/>
      <c r="O15" s="390"/>
      <c r="P15" s="3326"/>
      <c r="Q15" s="447">
        <f t="shared" si="7"/>
        <v>111</v>
      </c>
      <c r="R15" s="444" t="s">
        <v>935</v>
      </c>
      <c r="S15" s="445">
        <f t="shared" si="1"/>
        <v>100</v>
      </c>
      <c r="T15" s="444" t="s">
        <v>935</v>
      </c>
      <c r="U15" s="445">
        <f t="shared" si="2"/>
        <v>100</v>
      </c>
      <c r="V15" s="444" t="s">
        <v>935</v>
      </c>
      <c r="W15" s="445">
        <f t="shared" si="3"/>
        <v>100</v>
      </c>
      <c r="X15" s="446"/>
      <c r="Y15" s="3314"/>
      <c r="Z15" s="464">
        <f t="shared" si="8"/>
        <v>111</v>
      </c>
      <c r="AA15" s="463">
        <f t="shared" si="4"/>
        <v>1</v>
      </c>
      <c r="AB15" s="463">
        <f t="shared" si="5"/>
        <v>1</v>
      </c>
      <c r="AC15" s="463">
        <f t="shared" si="6"/>
        <v>1</v>
      </c>
    </row>
    <row r="16" spans="1:30" ht="20.25">
      <c r="A16" s="244"/>
      <c r="B16" s="245">
        <v>111</v>
      </c>
      <c r="C16" s="577"/>
      <c r="D16" s="300">
        <v>100</v>
      </c>
      <c r="E16" s="360"/>
      <c r="F16" s="300">
        <f>SUMIF(88:88,E16,89:89)-SUMIF(88:88,C16,89:89)+100</f>
        <v>100</v>
      </c>
      <c r="G16" s="1731"/>
      <c r="H16" s="300">
        <f>SUMIF(88:88,G16,89:89)-SUMIF(88:88,C16,89:89)+100</f>
        <v>100</v>
      </c>
      <c r="I16" s="1731"/>
      <c r="J16" s="300">
        <f>SUMIF(88:88,I16,89:89)-SUMIF(88:88,C16,89:89)+100</f>
        <v>100</v>
      </c>
      <c r="K16" s="1787"/>
      <c r="L16" s="391"/>
      <c r="M16" s="375"/>
      <c r="N16" s="375"/>
      <c r="O16" s="390"/>
      <c r="P16" s="3326"/>
      <c r="Q16" s="447">
        <f t="shared" si="7"/>
        <v>111</v>
      </c>
      <c r="R16" s="444" t="s">
        <v>935</v>
      </c>
      <c r="S16" s="445">
        <f t="shared" si="1"/>
        <v>100</v>
      </c>
      <c r="T16" s="444" t="s">
        <v>935</v>
      </c>
      <c r="U16" s="445">
        <f t="shared" si="2"/>
        <v>100</v>
      </c>
      <c r="V16" s="444" t="s">
        <v>935</v>
      </c>
      <c r="W16" s="445">
        <f t="shared" si="3"/>
        <v>100</v>
      </c>
      <c r="X16" s="446"/>
      <c r="Y16" s="3314"/>
      <c r="Z16" s="464">
        <f t="shared" si="8"/>
        <v>111</v>
      </c>
      <c r="AA16" s="463">
        <f t="shared" si="4"/>
        <v>1</v>
      </c>
      <c r="AB16" s="463">
        <f t="shared" si="5"/>
        <v>1</v>
      </c>
      <c r="AC16" s="463">
        <f t="shared" si="6"/>
        <v>1</v>
      </c>
    </row>
    <row r="17" spans="1:29" ht="99.75">
      <c r="A17" s="248" t="s">
        <v>948</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788">
        <v>3</v>
      </c>
      <c r="L17" s="391"/>
      <c r="M17" s="375"/>
      <c r="N17" s="375"/>
      <c r="O17" s="390"/>
      <c r="P17" s="3327" t="s">
        <v>949</v>
      </c>
      <c r="Q17" s="383" t="str">
        <f t="shared" si="7"/>
        <v>居住社区成熟度</v>
      </c>
      <c r="R17" s="448" t="s">
        <v>935</v>
      </c>
      <c r="S17" s="449">
        <f t="shared" si="1"/>
        <v>100</v>
      </c>
      <c r="T17" s="448" t="s">
        <v>935</v>
      </c>
      <c r="U17" s="449">
        <f t="shared" si="2"/>
        <v>97</v>
      </c>
      <c r="V17" s="448" t="s">
        <v>935</v>
      </c>
      <c r="W17" s="449">
        <f t="shared" si="3"/>
        <v>100</v>
      </c>
      <c r="X17" s="443"/>
      <c r="Y17" s="3327" t="s">
        <v>949</v>
      </c>
      <c r="Z17" s="442" t="str">
        <f t="shared" si="8"/>
        <v>居住社区成熟度</v>
      </c>
      <c r="AA17" s="454">
        <f t="shared" si="4"/>
        <v>1</v>
      </c>
      <c r="AB17" s="454">
        <f t="shared" si="5"/>
        <v>1.0309278350515463</v>
      </c>
      <c r="AC17" s="454">
        <f t="shared" si="6"/>
        <v>1</v>
      </c>
    </row>
    <row r="18" spans="1:29" ht="20.25">
      <c r="A18" s="255"/>
      <c r="B18" s="568"/>
      <c r="C18" s="569" t="s">
        <v>950</v>
      </c>
      <c r="D18" s="259"/>
      <c r="E18" s="537" t="s">
        <v>950</v>
      </c>
      <c r="F18" s="258"/>
      <c r="G18" s="536" t="s">
        <v>951</v>
      </c>
      <c r="H18" s="260"/>
      <c r="I18" s="537" t="s">
        <v>950</v>
      </c>
      <c r="J18" s="258"/>
      <c r="K18" s="1787"/>
      <c r="L18" s="391"/>
      <c r="M18" s="375"/>
      <c r="N18" s="375"/>
      <c r="O18" s="390"/>
      <c r="P18" s="3328"/>
      <c r="Q18" s="383"/>
      <c r="R18" s="448"/>
      <c r="S18" s="449"/>
      <c r="T18" s="448"/>
      <c r="U18" s="449"/>
      <c r="V18" s="448"/>
      <c r="W18" s="449"/>
      <c r="X18" s="443"/>
      <c r="Y18" s="3328"/>
      <c r="Z18" s="442"/>
      <c r="AA18" s="454">
        <v>1</v>
      </c>
      <c r="AB18" s="454">
        <v>1</v>
      </c>
      <c r="AC18" s="454">
        <v>1</v>
      </c>
    </row>
    <row r="19" spans="1:29" ht="71.25">
      <c r="A19" s="255"/>
      <c r="B19" s="500" t="s">
        <v>228</v>
      </c>
      <c r="C19" s="2022" t="str">
        <f>估价对象房地状况!C16</f>
        <v>估价对象位于XX商圈，周边商业氛围成熟，人流量大，商业繁华度好</v>
      </c>
      <c r="D19" s="271">
        <v>100</v>
      </c>
      <c r="E19" s="272"/>
      <c r="F19" s="260">
        <f>SUMIF(92:92,E20,93:93)-SUMIF(92:92,C20,93:93)+100</f>
        <v>100</v>
      </c>
      <c r="G19" s="270"/>
      <c r="H19" s="263">
        <f>SUMIF(92:92,G20,93:93)-SUMIF(92:92,C20,93:93)+100</f>
        <v>98</v>
      </c>
      <c r="I19" s="272"/>
      <c r="J19" s="263">
        <f>SUMIF(92:92,I20,93:93)-SUMIF(92:92,C20,93:93)+100</f>
        <v>100</v>
      </c>
      <c r="K19" s="1788">
        <v>2</v>
      </c>
      <c r="L19" s="391"/>
      <c r="M19" s="375"/>
      <c r="N19" s="375"/>
      <c r="O19" s="390"/>
      <c r="P19" s="3328"/>
      <c r="Q19" s="383" t="str">
        <f>B19</f>
        <v>商业繁华度</v>
      </c>
      <c r="R19" s="448" t="s">
        <v>935</v>
      </c>
      <c r="S19" s="449">
        <f>F19</f>
        <v>100</v>
      </c>
      <c r="T19" s="448" t="s">
        <v>935</v>
      </c>
      <c r="U19" s="449">
        <f>H19</f>
        <v>98</v>
      </c>
      <c r="V19" s="448" t="s">
        <v>935</v>
      </c>
      <c r="W19" s="449">
        <f>J19</f>
        <v>100</v>
      </c>
      <c r="X19" s="443"/>
      <c r="Y19" s="3328"/>
      <c r="Z19" s="442" t="str">
        <f>Q19</f>
        <v>商业繁华度</v>
      </c>
      <c r="AA19" s="454">
        <f t="shared" si="4"/>
        <v>1</v>
      </c>
      <c r="AB19" s="454">
        <f t="shared" si="5"/>
        <v>1.0204081632653061</v>
      </c>
      <c r="AC19" s="454">
        <f t="shared" si="6"/>
        <v>1</v>
      </c>
    </row>
    <row r="20" spans="1:29" ht="20.25">
      <c r="A20" s="255"/>
      <c r="B20" s="267"/>
      <c r="C20" s="571" t="s">
        <v>950</v>
      </c>
      <c r="D20" s="271"/>
      <c r="E20" s="535" t="s">
        <v>950</v>
      </c>
      <c r="F20" s="260"/>
      <c r="G20" s="534" t="s">
        <v>951</v>
      </c>
      <c r="H20" s="258"/>
      <c r="I20" s="535" t="s">
        <v>950</v>
      </c>
      <c r="J20" s="258"/>
      <c r="K20" s="1787"/>
      <c r="L20" s="391"/>
      <c r="M20" s="375"/>
      <c r="N20" s="375"/>
      <c r="O20" s="390"/>
      <c r="P20" s="3328"/>
      <c r="Q20" s="383"/>
      <c r="R20" s="448"/>
      <c r="S20" s="449"/>
      <c r="T20" s="448"/>
      <c r="U20" s="449"/>
      <c r="V20" s="448"/>
      <c r="W20" s="449"/>
      <c r="X20" s="443"/>
      <c r="Y20" s="3328"/>
      <c r="Z20" s="442"/>
      <c r="AA20" s="454">
        <v>1</v>
      </c>
      <c r="AB20" s="454">
        <v>1</v>
      </c>
      <c r="AC20" s="454">
        <v>1</v>
      </c>
    </row>
    <row r="21" spans="1:29" ht="71.25">
      <c r="A21" s="255"/>
      <c r="B21" s="500" t="s">
        <v>229</v>
      </c>
      <c r="C21" s="20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8">
        <v>0</v>
      </c>
      <c r="L21" s="391"/>
      <c r="M21" s="375"/>
      <c r="N21" s="375"/>
      <c r="O21" s="390"/>
      <c r="P21" s="3328"/>
      <c r="Q21" s="383" t="str">
        <f>B21</f>
        <v>办公集聚程度</v>
      </c>
      <c r="R21" s="448" t="s">
        <v>935</v>
      </c>
      <c r="S21" s="449">
        <f>F21</f>
        <v>100</v>
      </c>
      <c r="T21" s="448" t="s">
        <v>935</v>
      </c>
      <c r="U21" s="449">
        <f>H21</f>
        <v>100</v>
      </c>
      <c r="V21" s="448" t="s">
        <v>935</v>
      </c>
      <c r="W21" s="449">
        <f>J21</f>
        <v>100</v>
      </c>
      <c r="X21" s="443"/>
      <c r="Y21" s="3328"/>
      <c r="Z21" s="442" t="str">
        <f>Q21</f>
        <v>办公集聚程度</v>
      </c>
      <c r="AA21" s="454">
        <f t="shared" si="4"/>
        <v>1</v>
      </c>
      <c r="AB21" s="454">
        <f t="shared" si="5"/>
        <v>1</v>
      </c>
      <c r="AC21" s="454">
        <f t="shared" si="6"/>
        <v>1</v>
      </c>
    </row>
    <row r="22" spans="1:29" ht="20.25">
      <c r="A22" s="255"/>
      <c r="B22" s="267"/>
      <c r="C22" s="569"/>
      <c r="D22" s="259"/>
      <c r="E22" s="537"/>
      <c r="F22" s="258"/>
      <c r="G22" s="536"/>
      <c r="H22" s="258"/>
      <c r="I22" s="537"/>
      <c r="J22" s="258"/>
      <c r="K22" s="1787"/>
      <c r="L22" s="391"/>
      <c r="M22" s="375"/>
      <c r="N22" s="375"/>
      <c r="O22" s="390"/>
      <c r="P22" s="3328"/>
      <c r="Q22" s="383"/>
      <c r="R22" s="448"/>
      <c r="S22" s="449"/>
      <c r="T22" s="448"/>
      <c r="U22" s="449"/>
      <c r="V22" s="448"/>
      <c r="W22" s="449"/>
      <c r="X22" s="443"/>
      <c r="Y22" s="3328"/>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788">
        <v>3</v>
      </c>
      <c r="L23" s="391"/>
      <c r="M23" s="375"/>
      <c r="N23" s="375"/>
      <c r="O23" s="390"/>
      <c r="P23" s="3328"/>
      <c r="Q23" s="383" t="str">
        <f>B23</f>
        <v>交通便捷度</v>
      </c>
      <c r="R23" s="448" t="s">
        <v>935</v>
      </c>
      <c r="S23" s="449">
        <f>F23</f>
        <v>100</v>
      </c>
      <c r="T23" s="448" t="s">
        <v>935</v>
      </c>
      <c r="U23" s="449">
        <f>H23</f>
        <v>97</v>
      </c>
      <c r="V23" s="448" t="s">
        <v>935</v>
      </c>
      <c r="W23" s="449">
        <f>J23</f>
        <v>100</v>
      </c>
      <c r="X23" s="443"/>
      <c r="Y23" s="3328"/>
      <c r="Z23" s="442" t="str">
        <f>Q23</f>
        <v>交通便捷度</v>
      </c>
      <c r="AA23" s="454">
        <f t="shared" si="4"/>
        <v>1</v>
      </c>
      <c r="AB23" s="454">
        <f t="shared" si="5"/>
        <v>1.0309278350515463</v>
      </c>
      <c r="AC23" s="454">
        <f t="shared" si="6"/>
        <v>1</v>
      </c>
    </row>
    <row r="24" spans="1:29" ht="20.25">
      <c r="A24" s="255"/>
      <c r="B24" s="273"/>
      <c r="C24" s="569" t="s">
        <v>950</v>
      </c>
      <c r="D24" s="259"/>
      <c r="E24" s="537" t="s">
        <v>950</v>
      </c>
      <c r="F24" s="258"/>
      <c r="G24" s="536" t="s">
        <v>951</v>
      </c>
      <c r="H24" s="258"/>
      <c r="I24" s="537" t="s">
        <v>950</v>
      </c>
      <c r="J24" s="258"/>
      <c r="K24" s="1787"/>
      <c r="L24" s="391"/>
      <c r="M24" s="375"/>
      <c r="N24" s="375"/>
      <c r="O24" s="390"/>
      <c r="P24" s="3328"/>
      <c r="Q24" s="383"/>
      <c r="R24" s="448"/>
      <c r="S24" s="449"/>
      <c r="T24" s="448"/>
      <c r="U24" s="449"/>
      <c r="V24" s="448"/>
      <c r="W24" s="449"/>
      <c r="X24" s="443"/>
      <c r="Y24" s="3328"/>
      <c r="Z24" s="442"/>
      <c r="AA24" s="454">
        <v>1</v>
      </c>
      <c r="AB24" s="454">
        <v>1</v>
      </c>
      <c r="AC24" s="454">
        <v>1</v>
      </c>
    </row>
    <row r="25" spans="1:29" ht="27">
      <c r="A25" s="216"/>
      <c r="B25" s="20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8">
        <v>1</v>
      </c>
      <c r="L25" s="391"/>
      <c r="M25" s="375"/>
      <c r="N25" s="375"/>
      <c r="O25" s="390"/>
      <c r="P25" s="3328"/>
      <c r="Q25" s="383" t="str">
        <f t="shared" ref="Q25:Q40" si="9">B25</f>
        <v>区域土地利用方向</v>
      </c>
      <c r="R25" s="448" t="s">
        <v>935</v>
      </c>
      <c r="S25" s="449">
        <f>F25</f>
        <v>100</v>
      </c>
      <c r="T25" s="448" t="s">
        <v>935</v>
      </c>
      <c r="U25" s="449">
        <f>H25</f>
        <v>100</v>
      </c>
      <c r="V25" s="448" t="s">
        <v>935</v>
      </c>
      <c r="W25" s="449">
        <f>J25</f>
        <v>100</v>
      </c>
      <c r="X25" s="443"/>
      <c r="Y25" s="3328"/>
      <c r="Z25" s="442" t="str">
        <f>Q25</f>
        <v>区域土地利用方向</v>
      </c>
      <c r="AA25" s="454">
        <f t="shared" si="4"/>
        <v>1</v>
      </c>
      <c r="AB25" s="454">
        <f t="shared" si="5"/>
        <v>1</v>
      </c>
      <c r="AC25" s="454">
        <f t="shared" si="6"/>
        <v>1</v>
      </c>
    </row>
    <row r="26" spans="1:29" ht="20.25">
      <c r="A26" s="216"/>
      <c r="B26" s="2024"/>
      <c r="C26" s="569" t="s">
        <v>952</v>
      </c>
      <c r="D26" s="259"/>
      <c r="E26" s="537" t="s">
        <v>952</v>
      </c>
      <c r="F26" s="258"/>
      <c r="G26" s="536" t="s">
        <v>952</v>
      </c>
      <c r="H26" s="258"/>
      <c r="I26" s="537" t="s">
        <v>952</v>
      </c>
      <c r="J26" s="258"/>
      <c r="K26" s="1787"/>
      <c r="L26" s="391"/>
      <c r="M26" s="375"/>
      <c r="N26" s="375"/>
      <c r="O26" s="390"/>
      <c r="P26" s="3328"/>
      <c r="Q26" s="383"/>
      <c r="R26" s="448"/>
      <c r="S26" s="449"/>
      <c r="T26" s="448"/>
      <c r="U26" s="449"/>
      <c r="V26" s="448"/>
      <c r="W26" s="449"/>
      <c r="X26" s="443"/>
      <c r="Y26" s="3328"/>
      <c r="Z26" s="442"/>
      <c r="AA26" s="454"/>
      <c r="AB26" s="454"/>
      <c r="AC26" s="454"/>
    </row>
    <row r="27" spans="1:29" ht="57">
      <c r="A27" s="216"/>
      <c r="B27" s="273" t="s">
        <v>953</v>
      </c>
      <c r="C27" s="20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8">
        <v>2</v>
      </c>
      <c r="L27" s="391"/>
      <c r="M27" s="375"/>
      <c r="N27" s="375"/>
      <c r="O27" s="390"/>
      <c r="P27" s="3328"/>
      <c r="Q27" s="383" t="str">
        <f t="shared" si="9"/>
        <v>自然及人文环境状况</v>
      </c>
      <c r="R27" s="448" t="s">
        <v>935</v>
      </c>
      <c r="S27" s="449">
        <f>F27</f>
        <v>100</v>
      </c>
      <c r="T27" s="448" t="s">
        <v>935</v>
      </c>
      <c r="U27" s="449">
        <f>H27</f>
        <v>100</v>
      </c>
      <c r="V27" s="448" t="s">
        <v>935</v>
      </c>
      <c r="W27" s="449">
        <f>J27</f>
        <v>100</v>
      </c>
      <c r="X27" s="443"/>
      <c r="Y27" s="3328"/>
      <c r="Z27" s="442" t="str">
        <f>Q27</f>
        <v>自然及人文环境状况</v>
      </c>
      <c r="AA27" s="454">
        <f t="shared" si="4"/>
        <v>1</v>
      </c>
      <c r="AB27" s="454">
        <f t="shared" si="5"/>
        <v>1</v>
      </c>
      <c r="AC27" s="454">
        <f t="shared" si="6"/>
        <v>1</v>
      </c>
    </row>
    <row r="28" spans="1:29" ht="20.25">
      <c r="A28" s="216"/>
      <c r="B28" s="267"/>
      <c r="C28" s="569" t="s">
        <v>950</v>
      </c>
      <c r="D28" s="259"/>
      <c r="E28" s="257" t="s">
        <v>950</v>
      </c>
      <c r="F28" s="258"/>
      <c r="G28" s="569" t="s">
        <v>950</v>
      </c>
      <c r="H28" s="258"/>
      <c r="I28" s="257" t="s">
        <v>950</v>
      </c>
      <c r="J28" s="258"/>
      <c r="K28" s="1787"/>
      <c r="L28" s="391"/>
      <c r="M28" s="375"/>
      <c r="N28" s="375"/>
      <c r="O28" s="390"/>
      <c r="P28" s="3328"/>
      <c r="Q28" s="383"/>
      <c r="R28" s="448"/>
      <c r="S28" s="449"/>
      <c r="T28" s="448"/>
      <c r="U28" s="449"/>
      <c r="V28" s="448"/>
      <c r="W28" s="449"/>
      <c r="X28" s="443"/>
      <c r="Y28" s="3328"/>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8">
        <v>2</v>
      </c>
      <c r="L29" s="380"/>
      <c r="M29" s="375"/>
      <c r="N29" s="375"/>
      <c r="O29" s="382"/>
      <c r="P29" s="3328"/>
      <c r="Q29" s="447" t="str">
        <f t="shared" si="9"/>
        <v>公共配套设施</v>
      </c>
      <c r="R29" s="444" t="s">
        <v>935</v>
      </c>
      <c r="S29" s="445">
        <f>F29</f>
        <v>100</v>
      </c>
      <c r="T29" s="444" t="s">
        <v>935</v>
      </c>
      <c r="U29" s="445">
        <f>H29</f>
        <v>100</v>
      </c>
      <c r="V29" s="444" t="s">
        <v>935</v>
      </c>
      <c r="W29" s="445">
        <f>J29</f>
        <v>100</v>
      </c>
      <c r="X29" s="446"/>
      <c r="Y29" s="3328"/>
      <c r="Z29" s="464" t="str">
        <f>Q29</f>
        <v>公共配套设施</v>
      </c>
      <c r="AA29" s="454">
        <f>D29/F29</f>
        <v>1</v>
      </c>
      <c r="AB29" s="454">
        <f>D29/H29</f>
        <v>1</v>
      </c>
      <c r="AC29" s="454">
        <f>D29/J29</f>
        <v>1</v>
      </c>
    </row>
    <row r="30" spans="1:29" s="190" customFormat="1" ht="20.25">
      <c r="A30" s="502"/>
      <c r="B30" s="267"/>
      <c r="C30" s="1733" t="s">
        <v>950</v>
      </c>
      <c r="D30" s="259"/>
      <c r="E30" s="1733" t="s">
        <v>950</v>
      </c>
      <c r="F30" s="258"/>
      <c r="G30" s="1733" t="s">
        <v>950</v>
      </c>
      <c r="H30" s="258"/>
      <c r="I30" s="1733" t="s">
        <v>950</v>
      </c>
      <c r="J30" s="258"/>
      <c r="K30" s="1787"/>
      <c r="L30" s="380"/>
      <c r="M30" s="375"/>
      <c r="N30" s="375"/>
      <c r="O30" s="382"/>
      <c r="P30" s="3328"/>
      <c r="Q30" s="447"/>
      <c r="R30" s="444"/>
      <c r="S30" s="445"/>
      <c r="T30" s="444"/>
      <c r="U30" s="445"/>
      <c r="V30" s="444"/>
      <c r="W30" s="445"/>
      <c r="X30" s="446"/>
      <c r="Y30" s="3328"/>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8">
        <v>1</v>
      </c>
      <c r="L31" s="380"/>
      <c r="M31" s="375"/>
      <c r="N31" s="375"/>
      <c r="O31" s="382"/>
      <c r="P31" s="3328"/>
      <c r="Q31" s="447" t="str">
        <f t="shared" ref="Q31" si="10">B31</f>
        <v>基础设施水平</v>
      </c>
      <c r="R31" s="444" t="s">
        <v>935</v>
      </c>
      <c r="S31" s="445">
        <f>F31</f>
        <v>100</v>
      </c>
      <c r="T31" s="444" t="s">
        <v>935</v>
      </c>
      <c r="U31" s="445">
        <f>H31</f>
        <v>100</v>
      </c>
      <c r="V31" s="444" t="s">
        <v>935</v>
      </c>
      <c r="W31" s="445">
        <f>J31</f>
        <v>100</v>
      </c>
      <c r="X31" s="446"/>
      <c r="Y31" s="3328"/>
      <c r="Z31" s="464" t="str">
        <f>Q31</f>
        <v>基础设施水平</v>
      </c>
      <c r="AA31" s="454">
        <f>D31/F31</f>
        <v>1</v>
      </c>
      <c r="AB31" s="454">
        <f>D31/H31</f>
        <v>1</v>
      </c>
      <c r="AC31" s="454">
        <f>D31/J31</f>
        <v>1</v>
      </c>
    </row>
    <row r="32" spans="1:29" s="190" customFormat="1" ht="20.25">
      <c r="A32" s="502"/>
      <c r="B32" s="267"/>
      <c r="C32" s="1733" t="s">
        <v>249</v>
      </c>
      <c r="D32" s="259"/>
      <c r="E32" s="1733" t="s">
        <v>249</v>
      </c>
      <c r="F32" s="258"/>
      <c r="G32" s="1733" t="s">
        <v>249</v>
      </c>
      <c r="H32" s="258"/>
      <c r="I32" s="1733" t="s">
        <v>249</v>
      </c>
      <c r="J32" s="258"/>
      <c r="K32" s="1787"/>
      <c r="L32" s="380"/>
      <c r="M32" s="375"/>
      <c r="N32" s="375"/>
      <c r="O32" s="382"/>
      <c r="P32" s="3328"/>
      <c r="Q32" s="447"/>
      <c r="R32" s="444"/>
      <c r="S32" s="445"/>
      <c r="T32" s="444"/>
      <c r="U32" s="445"/>
      <c r="V32" s="444"/>
      <c r="W32" s="445"/>
      <c r="X32" s="446"/>
      <c r="Y32" s="3328"/>
      <c r="Z32" s="464"/>
      <c r="AA32" s="454">
        <v>1</v>
      </c>
      <c r="AB32" s="454">
        <v>1</v>
      </c>
      <c r="AC32" s="454">
        <v>1</v>
      </c>
    </row>
    <row r="33" spans="1:29" ht="20.25">
      <c r="A33" s="255"/>
      <c r="B33" s="267" t="s">
        <v>236</v>
      </c>
      <c r="C33" s="573" t="s">
        <v>954</v>
      </c>
      <c r="D33" s="277">
        <v>100</v>
      </c>
      <c r="E33" s="573" t="s">
        <v>954</v>
      </c>
      <c r="F33" s="247">
        <f>SUMIF(106:106,E33,107:107)-SUMIF(106:106,C33,107:107)+100</f>
        <v>100</v>
      </c>
      <c r="G33" s="573" t="s">
        <v>954</v>
      </c>
      <c r="H33" s="247">
        <f>SUMIF(106:106,G33,107:107)-SUMIF(106:106,C33,107:107)+100</f>
        <v>100</v>
      </c>
      <c r="I33" s="573" t="s">
        <v>954</v>
      </c>
      <c r="J33" s="247">
        <f>SUMIF(106:106,I33,107:107)-SUMIF(106:106,C33,107:107)+100</f>
        <v>100</v>
      </c>
      <c r="K33" s="1788">
        <v>1</v>
      </c>
      <c r="L33" s="391"/>
      <c r="M33" s="375"/>
      <c r="N33" s="375"/>
      <c r="O33" s="390"/>
      <c r="P33" s="3328"/>
      <c r="Q33" s="383" t="str">
        <f t="shared" si="9"/>
        <v>临街状况</v>
      </c>
      <c r="R33" s="448" t="s">
        <v>935</v>
      </c>
      <c r="S33" s="449">
        <f t="shared" ref="S33:S47" si="11">F33</f>
        <v>100</v>
      </c>
      <c r="T33" s="448" t="s">
        <v>935</v>
      </c>
      <c r="U33" s="449">
        <f t="shared" ref="U33:U47" si="12">H33</f>
        <v>100</v>
      </c>
      <c r="V33" s="448" t="s">
        <v>935</v>
      </c>
      <c r="W33" s="449">
        <f t="shared" ref="W33:W47" si="13">J33</f>
        <v>100</v>
      </c>
      <c r="X33" s="443"/>
      <c r="Y33" s="3328"/>
      <c r="Z33" s="442" t="str">
        <f t="shared" ref="Z33:Z47" si="14">Q33</f>
        <v>临街状况</v>
      </c>
      <c r="AA33" s="454">
        <f t="shared" si="4"/>
        <v>1</v>
      </c>
      <c r="AB33" s="454">
        <f t="shared" si="5"/>
        <v>1</v>
      </c>
      <c r="AC33" s="454">
        <f t="shared" si="6"/>
        <v>1</v>
      </c>
    </row>
    <row r="34" spans="1:29" ht="27">
      <c r="A34" s="255"/>
      <c r="B34" s="273" t="s">
        <v>955</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8">
        <v>1</v>
      </c>
      <c r="L34" s="391"/>
      <c r="M34" s="375"/>
      <c r="N34" s="375"/>
      <c r="O34" s="390"/>
      <c r="P34" s="3328"/>
      <c r="Q34" s="383" t="str">
        <f t="shared" si="9"/>
        <v>毗邻道路的类型与等级</v>
      </c>
      <c r="R34" s="448" t="s">
        <v>935</v>
      </c>
      <c r="S34" s="449">
        <f t="shared" si="11"/>
        <v>100</v>
      </c>
      <c r="T34" s="448" t="s">
        <v>935</v>
      </c>
      <c r="U34" s="449">
        <f t="shared" si="12"/>
        <v>100</v>
      </c>
      <c r="V34" s="448" t="s">
        <v>935</v>
      </c>
      <c r="W34" s="449">
        <f t="shared" si="13"/>
        <v>100</v>
      </c>
      <c r="X34" s="443"/>
      <c r="Y34" s="3328"/>
      <c r="Z34" s="442" t="str">
        <f t="shared" si="14"/>
        <v>毗邻道路的类型与等级</v>
      </c>
      <c r="AA34" s="454">
        <f t="shared" si="4"/>
        <v>1</v>
      </c>
      <c r="AB34" s="454">
        <f t="shared" si="5"/>
        <v>1</v>
      </c>
      <c r="AC34" s="454">
        <f t="shared" si="6"/>
        <v>1</v>
      </c>
    </row>
    <row r="35" spans="1:29" ht="20.25">
      <c r="A35" s="255"/>
      <c r="B35" s="267"/>
      <c r="C35" s="569"/>
      <c r="D35" s="259"/>
      <c r="E35" s="257"/>
      <c r="F35" s="258"/>
      <c r="G35" s="569"/>
      <c r="H35" s="258"/>
      <c r="I35" s="257"/>
      <c r="J35" s="258"/>
      <c r="K35" s="388"/>
      <c r="L35" s="391"/>
      <c r="M35" s="375"/>
      <c r="N35" s="375"/>
      <c r="O35" s="390"/>
      <c r="P35" s="3328"/>
      <c r="Q35" s="383"/>
      <c r="R35" s="448"/>
      <c r="S35" s="449"/>
      <c r="T35" s="448"/>
      <c r="U35" s="449"/>
      <c r="V35" s="448"/>
      <c r="W35" s="449"/>
      <c r="X35" s="443"/>
      <c r="Y35" s="3328"/>
      <c r="Z35" s="442"/>
      <c r="AA35" s="454">
        <v>1</v>
      </c>
      <c r="AB35" s="454">
        <v>1</v>
      </c>
      <c r="AC35" s="454">
        <v>1</v>
      </c>
    </row>
    <row r="36" spans="1:29" ht="20.25" hidden="1">
      <c r="A36" s="255"/>
      <c r="B36" s="510" t="s">
        <v>956</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28"/>
      <c r="Q36" s="383" t="str">
        <f t="shared" si="9"/>
        <v>土地级别</v>
      </c>
      <c r="R36" s="448" t="s">
        <v>935</v>
      </c>
      <c r="S36" s="449">
        <f t="shared" si="11"/>
        <v>100</v>
      </c>
      <c r="T36" s="448" t="s">
        <v>935</v>
      </c>
      <c r="U36" s="449">
        <f t="shared" si="12"/>
        <v>100</v>
      </c>
      <c r="V36" s="448" t="s">
        <v>935</v>
      </c>
      <c r="W36" s="449">
        <f t="shared" si="13"/>
        <v>100</v>
      </c>
      <c r="X36" s="443"/>
      <c r="Y36" s="3328"/>
      <c r="Z36" s="442" t="str">
        <f t="shared" si="14"/>
        <v>土地级别</v>
      </c>
      <c r="AA36" s="454">
        <f t="shared" si="4"/>
        <v>1</v>
      </c>
      <c r="AB36" s="454">
        <f t="shared" si="5"/>
        <v>1</v>
      </c>
      <c r="AC36" s="454">
        <f t="shared" si="6"/>
        <v>1</v>
      </c>
    </row>
    <row r="37" spans="1:29" ht="20.25" hidden="1">
      <c r="A37" s="216"/>
      <c r="B37" s="576">
        <v>111</v>
      </c>
      <c r="C37" s="988"/>
      <c r="D37" s="277">
        <v>100</v>
      </c>
      <c r="E37" s="1731"/>
      <c r="F37" s="247">
        <f>SUMIF(112:112,E37,113:113)-SUMIF(112:112,C37,113:113)+100</f>
        <v>100</v>
      </c>
      <c r="G37" s="988"/>
      <c r="H37" s="247">
        <f>SUMIF(112:112,G37,113:113)-SUMIF(112:112,C37,113:113)+100</f>
        <v>100</v>
      </c>
      <c r="I37" s="1731"/>
      <c r="J37" s="247">
        <f>SUMIF(112:112,I37,113:113)-SUMIF(112:112,C37,113:113)+100</f>
        <v>100</v>
      </c>
      <c r="K37" s="388"/>
      <c r="L37" s="391"/>
      <c r="M37" s="375"/>
      <c r="N37" s="375"/>
      <c r="O37" s="390"/>
      <c r="P37" s="3328"/>
      <c r="Q37" s="383">
        <f t="shared" si="9"/>
        <v>111</v>
      </c>
      <c r="R37" s="448" t="s">
        <v>935</v>
      </c>
      <c r="S37" s="449">
        <f t="shared" si="11"/>
        <v>100</v>
      </c>
      <c r="T37" s="448" t="s">
        <v>935</v>
      </c>
      <c r="U37" s="449">
        <f t="shared" si="12"/>
        <v>100</v>
      </c>
      <c r="V37" s="448" t="s">
        <v>935</v>
      </c>
      <c r="W37" s="449">
        <f t="shared" si="13"/>
        <v>100</v>
      </c>
      <c r="X37" s="443"/>
      <c r="Y37" s="3328"/>
      <c r="Z37" s="442">
        <f t="shared" si="14"/>
        <v>111</v>
      </c>
      <c r="AA37" s="454">
        <f t="shared" si="4"/>
        <v>1</v>
      </c>
      <c r="AB37" s="454">
        <f t="shared" si="5"/>
        <v>1</v>
      </c>
      <c r="AC37" s="454">
        <f t="shared" si="6"/>
        <v>1</v>
      </c>
    </row>
    <row r="38" spans="1:29" ht="20.25" hidden="1">
      <c r="A38" s="1736"/>
      <c r="B38" s="2025">
        <v>111</v>
      </c>
      <c r="C38" s="988"/>
      <c r="D38" s="277">
        <v>100</v>
      </c>
      <c r="E38" s="1731"/>
      <c r="F38" s="247">
        <f>SUMIF(114:114,E39,115:115)-SUMIF(114:114,C39,115:115)+100</f>
        <v>100</v>
      </c>
      <c r="G38" s="988"/>
      <c r="H38" s="247">
        <f>SUMIF(114:114,G38,115:115)-SUMIF(114:114,C38,115:115)+100</f>
        <v>100</v>
      </c>
      <c r="I38" s="1731"/>
      <c r="J38" s="247">
        <f>SUMIF(114:114,I38,115:115)-SUMIF(114:114,C38,115:115)+100</f>
        <v>100</v>
      </c>
      <c r="K38" s="388"/>
      <c r="L38" s="391"/>
      <c r="M38" s="375"/>
      <c r="N38" s="375"/>
      <c r="O38" s="390"/>
      <c r="P38" s="3329" t="s">
        <v>957</v>
      </c>
      <c r="Q38" s="383">
        <f t="shared" si="9"/>
        <v>111</v>
      </c>
      <c r="R38" s="448" t="s">
        <v>935</v>
      </c>
      <c r="S38" s="449">
        <f t="shared" si="11"/>
        <v>100</v>
      </c>
      <c r="T38" s="448" t="s">
        <v>935</v>
      </c>
      <c r="U38" s="449">
        <f t="shared" si="12"/>
        <v>100</v>
      </c>
      <c r="V38" s="448" t="s">
        <v>935</v>
      </c>
      <c r="W38" s="449">
        <f t="shared" si="13"/>
        <v>100</v>
      </c>
      <c r="X38" s="443"/>
      <c r="Y38" s="3330" t="s">
        <v>957</v>
      </c>
      <c r="Z38" s="442">
        <f t="shared" si="14"/>
        <v>111</v>
      </c>
      <c r="AA38" s="454">
        <f t="shared" si="4"/>
        <v>1</v>
      </c>
      <c r="AB38" s="454">
        <f t="shared" si="5"/>
        <v>1</v>
      </c>
      <c r="AC38" s="454">
        <f t="shared" si="6"/>
        <v>1</v>
      </c>
    </row>
    <row r="39" spans="1:29" s="192" customFormat="1" ht="20.25" hidden="1">
      <c r="A39" s="1738"/>
      <c r="B39" s="2026">
        <v>111</v>
      </c>
      <c r="C39" s="2027"/>
      <c r="D39" s="2028">
        <v>100</v>
      </c>
      <c r="E39" s="1740"/>
      <c r="F39" s="300">
        <f>SUMIF(116:116,E39,117:117)-SUMIF(116:116,C39,117:117)+100</f>
        <v>100</v>
      </c>
      <c r="G39" s="1742"/>
      <c r="H39" s="300">
        <f>SUMIF(116:116,G39,117:117)-SUMIF(116:116,C39,117:117)+100</f>
        <v>100</v>
      </c>
      <c r="I39" s="1740"/>
      <c r="J39" s="300">
        <f>SUMIF(116:116,I39,117:117)-SUMIF(116:116,C39,117:117)+100</f>
        <v>100</v>
      </c>
      <c r="K39" s="388"/>
      <c r="L39" s="389"/>
      <c r="M39" s="375"/>
      <c r="N39" s="375"/>
      <c r="O39" s="396"/>
      <c r="P39" s="3330"/>
      <c r="Q39" s="383">
        <f t="shared" si="9"/>
        <v>111</v>
      </c>
      <c r="R39" s="451" t="s">
        <v>935</v>
      </c>
      <c r="S39" s="452">
        <f t="shared" si="11"/>
        <v>100</v>
      </c>
      <c r="T39" s="451" t="s">
        <v>935</v>
      </c>
      <c r="U39" s="452">
        <f t="shared" si="12"/>
        <v>100</v>
      </c>
      <c r="V39" s="451" t="s">
        <v>935</v>
      </c>
      <c r="W39" s="452">
        <f t="shared" si="13"/>
        <v>100</v>
      </c>
      <c r="X39" s="453"/>
      <c r="Y39" s="3330"/>
      <c r="Z39" s="465">
        <f t="shared" si="14"/>
        <v>111</v>
      </c>
      <c r="AA39" s="454">
        <f t="shared" si="4"/>
        <v>1</v>
      </c>
      <c r="AB39" s="454">
        <f t="shared" si="5"/>
        <v>1</v>
      </c>
      <c r="AC39" s="454">
        <f t="shared" si="6"/>
        <v>1</v>
      </c>
    </row>
    <row r="40" spans="1:29" ht="20.25">
      <c r="A40" s="283" t="s">
        <v>958</v>
      </c>
      <c r="B40" s="275" t="s">
        <v>959</v>
      </c>
      <c r="C40" s="1743">
        <f>'数据-基础表'!A3</f>
        <v>42969</v>
      </c>
      <c r="D40" s="286">
        <v>100</v>
      </c>
      <c r="E40" s="1743">
        <v>25706</v>
      </c>
      <c r="F40" s="286">
        <f>LOOKUP(E40,119:119,120:120)-LOOKUP(C40,119:119,120:120)+100</f>
        <v>99</v>
      </c>
      <c r="G40" s="1743">
        <v>36689</v>
      </c>
      <c r="H40" s="286">
        <f>LOOKUP(G40,119:119,120:120)-LOOKUP(C40,119:119,120:120)+100</f>
        <v>100</v>
      </c>
      <c r="I40" s="351">
        <v>42861</v>
      </c>
      <c r="J40" s="286">
        <f>LOOKUP(I40,119:119,120:120)-LOOKUP(C40,119:119,120:120)+100</f>
        <v>100</v>
      </c>
      <c r="K40" s="388"/>
      <c r="L40" s="391"/>
      <c r="M40" s="375"/>
      <c r="N40" s="375"/>
      <c r="O40" s="390"/>
      <c r="P40" s="3330"/>
      <c r="Q40" s="383" t="str">
        <f t="shared" si="9"/>
        <v>宗地面积</v>
      </c>
      <c r="R40" s="448" t="s">
        <v>935</v>
      </c>
      <c r="S40" s="449">
        <f t="shared" si="11"/>
        <v>99</v>
      </c>
      <c r="T40" s="448" t="s">
        <v>935</v>
      </c>
      <c r="U40" s="449">
        <f t="shared" si="12"/>
        <v>100</v>
      </c>
      <c r="V40" s="448" t="s">
        <v>935</v>
      </c>
      <c r="W40" s="449">
        <f t="shared" si="13"/>
        <v>100</v>
      </c>
      <c r="X40" s="443"/>
      <c r="Y40" s="3330"/>
      <c r="Z40" s="442" t="str">
        <f t="shared" si="14"/>
        <v>宗地面积</v>
      </c>
      <c r="AA40" s="454">
        <f t="shared" si="4"/>
        <v>1.0101010101010102</v>
      </c>
      <c r="AB40" s="454">
        <f t="shared" si="5"/>
        <v>1</v>
      </c>
      <c r="AC40" s="454">
        <f t="shared" si="6"/>
        <v>1</v>
      </c>
    </row>
    <row r="41" spans="1:29" ht="20.25">
      <c r="A41" s="293"/>
      <c r="B41" s="289" t="s">
        <v>960</v>
      </c>
      <c r="C41" s="3463" t="s">
        <v>961</v>
      </c>
      <c r="D41" s="247">
        <v>100</v>
      </c>
      <c r="E41" s="578" t="s">
        <v>961</v>
      </c>
      <c r="F41" s="247">
        <f>SUMIF(121:121,E41,122:122)-SUMIF(121:121,C41,122:122)+100</f>
        <v>100</v>
      </c>
      <c r="G41" s="578" t="s">
        <v>961</v>
      </c>
      <c r="H41" s="247">
        <f>SUMIF(121:121,G41,122:122)-SUMIF(121:121,C41,122:122)+100</f>
        <v>100</v>
      </c>
      <c r="I41" s="578" t="s">
        <v>961</v>
      </c>
      <c r="J41" s="247">
        <f>SUMIF(121:121,I41,122:122)-SUMIF(121:121,C41,122:122)+100</f>
        <v>100</v>
      </c>
      <c r="K41" s="2035">
        <v>2</v>
      </c>
      <c r="L41" s="391"/>
      <c r="M41" s="375"/>
      <c r="N41" s="375"/>
      <c r="O41" s="390"/>
      <c r="P41" s="3330"/>
      <c r="Q41" s="383" t="str">
        <f t="shared" ref="Q41:Q47" si="15">B41</f>
        <v>宗地形状</v>
      </c>
      <c r="R41" s="448" t="s">
        <v>935</v>
      </c>
      <c r="S41" s="449">
        <f t="shared" si="11"/>
        <v>100</v>
      </c>
      <c r="T41" s="448" t="s">
        <v>935</v>
      </c>
      <c r="U41" s="449">
        <f t="shared" si="12"/>
        <v>100</v>
      </c>
      <c r="V41" s="448" t="s">
        <v>935</v>
      </c>
      <c r="W41" s="449">
        <f t="shared" si="13"/>
        <v>100</v>
      </c>
      <c r="X41" s="443"/>
      <c r="Y41" s="3330"/>
      <c r="Z41" s="442" t="str">
        <f t="shared" si="14"/>
        <v>宗地形状</v>
      </c>
      <c r="AA41" s="454">
        <f t="shared" si="4"/>
        <v>1</v>
      </c>
      <c r="AB41" s="454">
        <f t="shared" si="5"/>
        <v>1</v>
      </c>
      <c r="AC41" s="454">
        <f t="shared" si="6"/>
        <v>1</v>
      </c>
    </row>
    <row r="42" spans="1:29" ht="20.25">
      <c r="A42" s="293"/>
      <c r="B42" s="289" t="s">
        <v>962</v>
      </c>
      <c r="C42" s="578" t="s">
        <v>952</v>
      </c>
      <c r="D42" s="247">
        <v>100</v>
      </c>
      <c r="E42" s="578" t="s">
        <v>952</v>
      </c>
      <c r="F42" s="247">
        <f>SUMIF(123:123,E42,124:124)-SUMIF(123:123,C42,124:124)+100</f>
        <v>100</v>
      </c>
      <c r="G42" s="578" t="s">
        <v>952</v>
      </c>
      <c r="H42" s="247">
        <f>SUMIF(123:123,G42,124:124)-SUMIF(123:123,C42,124:124)+100</f>
        <v>100</v>
      </c>
      <c r="I42" s="578" t="s">
        <v>952</v>
      </c>
      <c r="J42" s="247">
        <f>SUMIF(123:123,I42,124:124)-SUMIF(123:123,C42,124:124)+100</f>
        <v>100</v>
      </c>
      <c r="K42" s="384">
        <v>2</v>
      </c>
      <c r="L42" s="391"/>
      <c r="M42" s="375"/>
      <c r="N42" s="375"/>
      <c r="O42" s="390"/>
      <c r="P42" s="3330"/>
      <c r="Q42" s="383" t="str">
        <f t="shared" si="15"/>
        <v>临街宽度及深度</v>
      </c>
      <c r="R42" s="448" t="s">
        <v>935</v>
      </c>
      <c r="S42" s="449">
        <f t="shared" si="11"/>
        <v>100</v>
      </c>
      <c r="T42" s="448" t="s">
        <v>935</v>
      </c>
      <c r="U42" s="449">
        <f t="shared" si="12"/>
        <v>100</v>
      </c>
      <c r="V42" s="448" t="s">
        <v>935</v>
      </c>
      <c r="W42" s="449">
        <f t="shared" si="13"/>
        <v>100</v>
      </c>
      <c r="X42" s="443"/>
      <c r="Y42" s="3330"/>
      <c r="Z42" s="442" t="str">
        <f t="shared" si="14"/>
        <v>临街宽度及深度</v>
      </c>
      <c r="AA42" s="454">
        <f t="shared" si="4"/>
        <v>1</v>
      </c>
      <c r="AB42" s="454">
        <f t="shared" si="5"/>
        <v>1</v>
      </c>
      <c r="AC42" s="454">
        <f t="shared" si="6"/>
        <v>1</v>
      </c>
    </row>
    <row r="43" spans="1:29" s="190" customFormat="1" ht="20.25">
      <c r="A43" s="296"/>
      <c r="B43" s="544" t="s">
        <v>963</v>
      </c>
      <c r="C43" s="1744" t="s">
        <v>249</v>
      </c>
      <c r="D43" s="237">
        <v>100</v>
      </c>
      <c r="E43" s="1744" t="s">
        <v>249</v>
      </c>
      <c r="F43" s="247">
        <f>SUMIF(125:125,E43,126:126)-SUMIF(125:125,C43,126:126)+100</f>
        <v>100</v>
      </c>
      <c r="G43" s="1744" t="s">
        <v>249</v>
      </c>
      <c r="H43" s="247">
        <f>SUMIF(125:125,G43,126:126)-SUMIF(125:125,C43,126:126)+100</f>
        <v>100</v>
      </c>
      <c r="I43" s="1744" t="s">
        <v>249</v>
      </c>
      <c r="J43" s="247">
        <f>SUMIF(125:125,I43,126:126)-SUMIF(125:125,C43,126:126)+100</f>
        <v>100</v>
      </c>
      <c r="K43" s="384">
        <v>2</v>
      </c>
      <c r="L43" s="380"/>
      <c r="M43" s="375"/>
      <c r="N43" s="375"/>
      <c r="O43" s="382"/>
      <c r="P43" s="3330"/>
      <c r="Q43" s="383" t="str">
        <f t="shared" si="15"/>
        <v>宗地开发程度</v>
      </c>
      <c r="R43" s="444" t="s">
        <v>935</v>
      </c>
      <c r="S43" s="445">
        <f t="shared" si="11"/>
        <v>100</v>
      </c>
      <c r="T43" s="444" t="s">
        <v>935</v>
      </c>
      <c r="U43" s="445">
        <f t="shared" si="12"/>
        <v>100</v>
      </c>
      <c r="V43" s="444" t="s">
        <v>935</v>
      </c>
      <c r="W43" s="445">
        <f t="shared" si="13"/>
        <v>100</v>
      </c>
      <c r="X43" s="446"/>
      <c r="Y43" s="3330"/>
      <c r="Z43" s="464" t="str">
        <f t="shared" si="14"/>
        <v>宗地开发程度</v>
      </c>
      <c r="AA43" s="463">
        <f t="shared" si="4"/>
        <v>1</v>
      </c>
      <c r="AB43" s="463">
        <f t="shared" si="5"/>
        <v>1</v>
      </c>
      <c r="AC43" s="463">
        <f t="shared" si="6"/>
        <v>1</v>
      </c>
    </row>
    <row r="44" spans="1:29" ht="20.25">
      <c r="A44" s="293"/>
      <c r="B44" s="289" t="s">
        <v>964</v>
      </c>
      <c r="C44" s="578" t="s">
        <v>952</v>
      </c>
      <c r="D44" s="247">
        <v>100</v>
      </c>
      <c r="E44" s="578" t="s">
        <v>952</v>
      </c>
      <c r="F44" s="247">
        <f>SUMIF(127:127,E44,128:128)-SUMIF(127:127,C44,128:128)+100</f>
        <v>100</v>
      </c>
      <c r="G44" s="578" t="s">
        <v>952</v>
      </c>
      <c r="H44" s="247">
        <f>SUMIF(127:127,G44,128:128)-SUMIF(127:127,C44,128:128)+100</f>
        <v>100</v>
      </c>
      <c r="I44" s="578" t="s">
        <v>952</v>
      </c>
      <c r="J44" s="247">
        <f>SUMIF(127:127,I44,128:128)-SUMIF(127:127,C44,128:128)+100</f>
        <v>100</v>
      </c>
      <c r="K44" s="384">
        <v>2</v>
      </c>
      <c r="L44" s="391"/>
      <c r="M44" s="375"/>
      <c r="N44" s="375"/>
      <c r="O44" s="390"/>
      <c r="P44" s="3330" t="s">
        <v>957</v>
      </c>
      <c r="Q44" s="383" t="str">
        <f t="shared" si="15"/>
        <v>工程地质条件</v>
      </c>
      <c r="R44" s="448" t="s">
        <v>935</v>
      </c>
      <c r="S44" s="449">
        <f t="shared" si="11"/>
        <v>100</v>
      </c>
      <c r="T44" s="448" t="s">
        <v>935</v>
      </c>
      <c r="U44" s="449">
        <f t="shared" si="12"/>
        <v>100</v>
      </c>
      <c r="V44" s="448" t="s">
        <v>935</v>
      </c>
      <c r="W44" s="449">
        <f t="shared" si="13"/>
        <v>100</v>
      </c>
      <c r="X44" s="443"/>
      <c r="Y44" s="3330" t="s">
        <v>957</v>
      </c>
      <c r="Z44" s="442" t="str">
        <f t="shared" si="14"/>
        <v>工程地质条件</v>
      </c>
      <c r="AA44" s="454">
        <f t="shared" si="4"/>
        <v>1</v>
      </c>
      <c r="AB44" s="454">
        <f t="shared" si="5"/>
        <v>1</v>
      </c>
      <c r="AC44" s="454">
        <f t="shared" si="6"/>
        <v>1</v>
      </c>
    </row>
    <row r="45" spans="1:29" ht="20.25">
      <c r="A45" s="293"/>
      <c r="B45" s="1737">
        <v>111</v>
      </c>
      <c r="C45" s="1731"/>
      <c r="D45" s="247">
        <v>100</v>
      </c>
      <c r="E45" s="1731"/>
      <c r="F45" s="247">
        <f>SUMIF(129:129,E45,130:130)-SUMIF(129:129,C45,130:130)+100</f>
        <v>100</v>
      </c>
      <c r="G45" s="1731"/>
      <c r="H45" s="247">
        <f>SUMIF(129:129,G45,130:130)-SUMIF(129:129,C45,130:130)+100</f>
        <v>100</v>
      </c>
      <c r="I45" s="360"/>
      <c r="J45" s="247">
        <f>SUMIF(129:129,I45,130:130)-SUMIF(129:129,C45,130:130)+100</f>
        <v>100</v>
      </c>
      <c r="K45" s="388"/>
      <c r="L45" s="391"/>
      <c r="M45" s="375"/>
      <c r="N45" s="375"/>
      <c r="O45" s="390"/>
      <c r="P45" s="3330"/>
      <c r="Q45" s="383">
        <f t="shared" si="15"/>
        <v>111</v>
      </c>
      <c r="R45" s="448" t="s">
        <v>935</v>
      </c>
      <c r="S45" s="449">
        <f t="shared" si="11"/>
        <v>100</v>
      </c>
      <c r="T45" s="448" t="s">
        <v>935</v>
      </c>
      <c r="U45" s="449">
        <f t="shared" si="12"/>
        <v>100</v>
      </c>
      <c r="V45" s="448" t="s">
        <v>935</v>
      </c>
      <c r="W45" s="449">
        <f t="shared" si="13"/>
        <v>100</v>
      </c>
      <c r="X45" s="443"/>
      <c r="Y45" s="3330"/>
      <c r="Z45" s="442">
        <f t="shared" si="14"/>
        <v>111</v>
      </c>
      <c r="AA45" s="454">
        <f t="shared" si="4"/>
        <v>1</v>
      </c>
      <c r="AB45" s="454">
        <f t="shared" si="5"/>
        <v>1</v>
      </c>
      <c r="AC45" s="454">
        <f t="shared" si="6"/>
        <v>1</v>
      </c>
    </row>
    <row r="46" spans="1:29" ht="20.25">
      <c r="A46" s="293"/>
      <c r="B46" s="1737">
        <v>111</v>
      </c>
      <c r="C46" s="1731"/>
      <c r="D46" s="247">
        <v>100</v>
      </c>
      <c r="E46" s="1731"/>
      <c r="F46" s="247">
        <f>SUMIF(131:131,E46,132:132)-SUMIF(131:131,C46,132:132)+100</f>
        <v>100</v>
      </c>
      <c r="G46" s="1731"/>
      <c r="H46" s="247">
        <f>SUMIF(131:131,G46,132:132)-SUMIF(131:131,C46,132:132)+100</f>
        <v>100</v>
      </c>
      <c r="I46" s="360"/>
      <c r="J46" s="247">
        <f>SUMIF(131:131,I46,132:132)-SUMIF(131:131,C46,132:132)+100</f>
        <v>100</v>
      </c>
      <c r="K46" s="388"/>
      <c r="L46" s="391"/>
      <c r="M46" s="375"/>
      <c r="N46" s="375"/>
      <c r="O46" s="390"/>
      <c r="P46" s="3330"/>
      <c r="Q46" s="383">
        <f t="shared" si="15"/>
        <v>111</v>
      </c>
      <c r="R46" s="448" t="s">
        <v>935</v>
      </c>
      <c r="S46" s="449">
        <f t="shared" si="11"/>
        <v>100</v>
      </c>
      <c r="T46" s="448" t="s">
        <v>935</v>
      </c>
      <c r="U46" s="449">
        <f t="shared" si="12"/>
        <v>100</v>
      </c>
      <c r="V46" s="448" t="s">
        <v>935</v>
      </c>
      <c r="W46" s="449">
        <f t="shared" si="13"/>
        <v>100</v>
      </c>
      <c r="X46" s="443"/>
      <c r="Y46" s="3330"/>
      <c r="Z46" s="442">
        <f t="shared" si="14"/>
        <v>111</v>
      </c>
      <c r="AA46" s="454">
        <f t="shared" si="4"/>
        <v>1</v>
      </c>
      <c r="AB46" s="454">
        <f t="shared" si="5"/>
        <v>1</v>
      </c>
      <c r="AC46" s="454">
        <f t="shared" si="6"/>
        <v>1</v>
      </c>
    </row>
    <row r="47" spans="1:29" s="192" customFormat="1" ht="20.25">
      <c r="A47" s="288"/>
      <c r="B47" s="1737">
        <v>111</v>
      </c>
      <c r="C47" s="1745"/>
      <c r="D47" s="2029">
        <v>100</v>
      </c>
      <c r="E47" s="1731"/>
      <c r="F47" s="300">
        <f>SUMIF(133:133,E47,134:134)-SUMIF(133:133,C47,134:134)+100</f>
        <v>100</v>
      </c>
      <c r="G47" s="1731"/>
      <c r="H47" s="300">
        <f>SUMIF(133:133,G47,134:134)-SUMIF(133:133,C47,134:134)+100</f>
        <v>100</v>
      </c>
      <c r="I47" s="1731"/>
      <c r="J47" s="300">
        <f>SUMIF(133:133,I47,134:134)-SUMIF(133:133,C47,134:134)+100</f>
        <v>100</v>
      </c>
      <c r="K47" s="1791"/>
      <c r="L47" s="389"/>
      <c r="M47" s="375"/>
      <c r="N47" s="375"/>
      <c r="O47" s="396"/>
      <c r="P47" s="3330"/>
      <c r="Q47" s="383">
        <f t="shared" si="15"/>
        <v>111</v>
      </c>
      <c r="R47" s="451" t="s">
        <v>935</v>
      </c>
      <c r="S47" s="452">
        <f t="shared" si="11"/>
        <v>100</v>
      </c>
      <c r="T47" s="451" t="s">
        <v>935</v>
      </c>
      <c r="U47" s="452">
        <f t="shared" si="12"/>
        <v>100</v>
      </c>
      <c r="V47" s="451" t="s">
        <v>935</v>
      </c>
      <c r="W47" s="452">
        <f t="shared" si="13"/>
        <v>100</v>
      </c>
      <c r="X47" s="453"/>
      <c r="Y47" s="3330"/>
      <c r="Z47" s="465">
        <f t="shared" si="14"/>
        <v>111</v>
      </c>
      <c r="AA47" s="454">
        <f t="shared" si="4"/>
        <v>1</v>
      </c>
      <c r="AB47" s="454">
        <f t="shared" si="5"/>
        <v>1</v>
      </c>
      <c r="AC47" s="454">
        <f t="shared" si="6"/>
        <v>1</v>
      </c>
    </row>
    <row r="48" spans="1:29" ht="20.25">
      <c r="A48" s="303" t="s">
        <v>965</v>
      </c>
      <c r="B48" s="1746" t="s">
        <v>966</v>
      </c>
      <c r="C48" s="1747" t="s">
        <v>138</v>
      </c>
      <c r="D48" s="1748"/>
      <c r="E48" s="1749">
        <v>2250</v>
      </c>
      <c r="F48" s="1750"/>
      <c r="G48" s="1751">
        <v>1919</v>
      </c>
      <c r="H48" s="1752"/>
      <c r="I48" s="1749">
        <v>2040</v>
      </c>
      <c r="J48" s="1752"/>
      <c r="K48" s="1792"/>
      <c r="L48" s="398"/>
      <c r="M48" s="375"/>
      <c r="N48" s="375"/>
      <c r="O48" s="319"/>
      <c r="P48" s="3326" t="str">
        <f>A48</f>
        <v>成交单价</v>
      </c>
      <c r="Q48" s="3326"/>
      <c r="R48" s="3335">
        <f>E48</f>
        <v>2250</v>
      </c>
      <c r="S48" s="3335"/>
      <c r="T48" s="3335">
        <f>G48</f>
        <v>1919</v>
      </c>
      <c r="U48" s="3335"/>
      <c r="V48" s="3335">
        <f>I48</f>
        <v>2040</v>
      </c>
      <c r="W48" s="3335"/>
      <c r="X48" s="330"/>
      <c r="Y48" s="466"/>
      <c r="Z48" s="330"/>
      <c r="AA48" s="330"/>
      <c r="AB48" s="330"/>
      <c r="AC48" s="330"/>
    </row>
    <row r="49" spans="1:29" ht="20.25">
      <c r="A49" s="311" t="s">
        <v>967</v>
      </c>
      <c r="B49" s="1753"/>
      <c r="C49" s="1754">
        <f>R50</f>
        <v>2063</v>
      </c>
      <c r="D49" s="1755"/>
      <c r="E49" s="1754">
        <f>R49</f>
        <v>2165</v>
      </c>
      <c r="F49" s="1756"/>
      <c r="G49" s="1757">
        <f>T49</f>
        <v>2081</v>
      </c>
      <c r="H49" s="1755"/>
      <c r="I49" s="1754">
        <f>V49</f>
        <v>1943</v>
      </c>
      <c r="J49" s="1755"/>
      <c r="K49" s="1793"/>
      <c r="L49" s="398"/>
      <c r="M49" s="375"/>
      <c r="N49" s="375"/>
      <c r="O49" s="319"/>
      <c r="P49" s="3326" t="str">
        <f>A49</f>
        <v>比较价格（元/平方米）</v>
      </c>
      <c r="Q49" s="3326"/>
      <c r="R49" s="3331">
        <f>ROUND(PRODUCT(R48,AA9:AA47),0)</f>
        <v>2165</v>
      </c>
      <c r="S49" s="3331"/>
      <c r="T49" s="3331">
        <f>ROUND(PRODUCT(T48,AB9:AB47),0)</f>
        <v>2081</v>
      </c>
      <c r="U49" s="3331"/>
      <c r="V49" s="3331">
        <f>ROUND(PRODUCT(V48,AC9:AC47),0)</f>
        <v>1943</v>
      </c>
      <c r="W49" s="3331"/>
      <c r="X49" s="330"/>
      <c r="Y49" s="330"/>
      <c r="Z49" s="330"/>
      <c r="AA49" s="330"/>
      <c r="AB49" s="330"/>
      <c r="AC49" s="330"/>
    </row>
    <row r="50" spans="1:29" ht="20.25">
      <c r="A50" s="316" t="s">
        <v>968</v>
      </c>
      <c r="B50" s="317"/>
      <c r="C50" s="1758">
        <f>R50</f>
        <v>2063</v>
      </c>
      <c r="D50" s="1758"/>
      <c r="E50" s="1758"/>
      <c r="F50" s="1758"/>
      <c r="G50" s="1758"/>
      <c r="H50" s="1758"/>
      <c r="I50" s="1758"/>
      <c r="J50" s="1758"/>
      <c r="K50" s="1794"/>
      <c r="L50" s="398"/>
      <c r="M50" s="375"/>
      <c r="N50" s="375"/>
      <c r="O50" s="319"/>
      <c r="P50" s="3332" t="str">
        <f>A50</f>
        <v>估价对象XX用房的比较价格（楼面单价，元/平方米）</v>
      </c>
      <c r="Q50" s="3333"/>
      <c r="R50" s="3334">
        <f>ROUND(AVERAGE(R49:V49),0)</f>
        <v>2063</v>
      </c>
      <c r="S50" s="3334"/>
      <c r="T50" s="3334"/>
      <c r="U50" s="3334"/>
      <c r="V50" s="3334"/>
      <c r="W50" s="3334"/>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969</v>
      </c>
      <c r="D53" s="322"/>
      <c r="E53" s="323">
        <f>IF(E48&lt;E49,E49/E48-1,E48/E49-1)</f>
        <v>3.9260969976905313E-2</v>
      </c>
      <c r="F53" s="324" t="str">
        <f>IF(OR(E53&gt;=0.3,E53&lt;=-0.3),"超过30%","")</f>
        <v/>
      </c>
      <c r="G53" s="323">
        <f>IF(G48&lt;G49,G49/G48-1,G48/G49-1)</f>
        <v>8.4418968212610634E-2</v>
      </c>
      <c r="H53" s="324" t="str">
        <f>IF(OR(G53&gt;=0.3,G53&lt;=-0.3),"超过30%","")</f>
        <v/>
      </c>
      <c r="I53" s="323">
        <f>IF(I48&lt;I49,I49/I48-1,I48/I49-1)</f>
        <v>4.9922799794132722E-2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970</v>
      </c>
      <c r="D54" s="325"/>
      <c r="E54" s="323">
        <f>IF(E49&lt;G49,G49/E49-1,E49/G49-1)</f>
        <v>4.0365209034118221E-2</v>
      </c>
      <c r="F54" s="324" t="str">
        <f>IF(OR(E54&gt;=0.2,E54&lt;=-0.2),"超过20%","")</f>
        <v/>
      </c>
      <c r="G54" s="323">
        <f>IF(G49&lt;I49,I49/G49-1,G49/I49-1)</f>
        <v>7.10241893978385E-2</v>
      </c>
      <c r="H54" s="324" t="str">
        <f>IF(OR(G54&gt;=0.2,G54&lt;=-0.2),"超过20%","")</f>
        <v/>
      </c>
      <c r="I54" s="323">
        <f>IF(I49&lt;E49,E49/I49-1,I49/E49-1)</f>
        <v>0.11425630468347925</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f>IF(E48&lt;G48,G48/E48-1,E48/G48-1)</f>
        <v>0.17248566961959355</v>
      </c>
      <c r="F55" s="324" t="str">
        <f>IF(OR(E55&gt;=0.3,E55&lt;=-0.3),"超过30%","")</f>
        <v/>
      </c>
      <c r="G55" s="323">
        <f>IF(G48&lt;I48,I48/G48-1,G48/I48-1)</f>
        <v>6.3053673788431519E-2</v>
      </c>
      <c r="H55" s="324" t="str">
        <f>IF(OR(G55&gt;=0.3,G55&lt;=-0.3),"超过30%","")</f>
        <v/>
      </c>
      <c r="I55" s="323">
        <f>IF(I48&lt;E48,E48/I48-1,I48/E48-1)</f>
        <v>0.10294117647058831</v>
      </c>
      <c r="J55" s="324" t="str">
        <f>IF(OR(I55&gt;=0.3,I55&lt;=-0.3),"超过30%","")</f>
        <v/>
      </c>
      <c r="K55" s="404"/>
      <c r="L55" s="405"/>
      <c r="M55" s="375"/>
      <c r="N55" s="375"/>
      <c r="O55" s="326"/>
      <c r="P55" s="2036"/>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6"/>
      <c r="Q56" s="326"/>
      <c r="R56" s="326"/>
      <c r="S56" s="326"/>
      <c r="T56" s="326"/>
      <c r="U56" s="326"/>
      <c r="V56" s="326"/>
      <c r="W56" s="326"/>
      <c r="X56" s="326"/>
      <c r="Y56" s="326"/>
      <c r="Z56" s="326"/>
      <c r="AA56" s="326"/>
      <c r="AB56" s="326"/>
      <c r="AC56" s="326"/>
    </row>
    <row r="57" spans="1:29" ht="26.25" customHeight="1">
      <c r="A57" s="1759" t="s">
        <v>972</v>
      </c>
      <c r="B57" s="1760" t="s">
        <v>973</v>
      </c>
      <c r="C57" s="1761" t="s">
        <v>974</v>
      </c>
      <c r="D57" s="1762" t="s">
        <v>975</v>
      </c>
      <c r="E57" s="1763" t="s">
        <v>976</v>
      </c>
      <c r="F57" s="2030" t="s">
        <v>977</v>
      </c>
      <c r="G57" s="3339" t="s">
        <v>978</v>
      </c>
      <c r="H57" s="3340"/>
      <c r="I57" s="1796" t="s">
        <v>426</v>
      </c>
      <c r="J57" s="1796" t="str">
        <f>项目基本情况!F41</f>
        <v>山东省</v>
      </c>
      <c r="K57" s="1797" t="s">
        <v>979</v>
      </c>
      <c r="L57" s="403"/>
      <c r="M57" s="319"/>
      <c r="N57" s="319"/>
      <c r="O57" s="319"/>
      <c r="P57" s="319"/>
      <c r="Q57" s="319"/>
      <c r="R57" s="319"/>
      <c r="S57" s="319"/>
      <c r="T57" s="319"/>
      <c r="U57" s="319"/>
      <c r="V57" s="319"/>
      <c r="W57" s="319"/>
      <c r="X57" s="319"/>
      <c r="Y57" s="319"/>
      <c r="Z57" s="319"/>
      <c r="AA57" s="319"/>
      <c r="AB57" s="319"/>
      <c r="AC57" s="319"/>
    </row>
    <row r="58" spans="1:29" s="1724" customFormat="1" ht="12.75">
      <c r="A58" s="1765" t="s">
        <v>980</v>
      </c>
      <c r="B58" s="1766">
        <f>C50</f>
        <v>2063</v>
      </c>
      <c r="C58" s="1767">
        <v>1</v>
      </c>
      <c r="D58" s="1768">
        <v>1</v>
      </c>
      <c r="E58" s="1767">
        <f>'数据-汇总表'!E8+'数据-汇总表'!E9</f>
        <v>48393.36</v>
      </c>
      <c r="F58" s="2031">
        <f t="shared" ref="F58:F67" si="16">ROUND(B58*E58/10000,0)</f>
        <v>9984</v>
      </c>
      <c r="G58" s="3341"/>
      <c r="H58" s="3342"/>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981</v>
      </c>
      <c r="B59" s="1771">
        <f>ROUND($C$50*C59*D59,0)</f>
        <v>0</v>
      </c>
      <c r="C59" s="1543">
        <f t="shared" ref="C59:C67" si="17">IF($C$57="北京市系数",I59,J59)</f>
        <v>0</v>
      </c>
      <c r="D59" s="1772">
        <v>0.25</v>
      </c>
      <c r="E59" s="1773">
        <v>0</v>
      </c>
      <c r="F59" s="2031">
        <f t="shared" si="16"/>
        <v>0</v>
      </c>
      <c r="G59" s="3325" t="s">
        <v>982</v>
      </c>
      <c r="H59" s="2033">
        <f>项目基本情况!B43</f>
        <v>0</v>
      </c>
      <c r="I59" s="1799">
        <f>SUMIF(修正!$A$45:$A$56,H59,修正!B45:B56)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983</v>
      </c>
      <c r="B60" s="1771">
        <f t="shared" ref="B60:B67" si="18">ROUND($C$50*C60*D60,0)</f>
        <v>0</v>
      </c>
      <c r="C60" s="1543">
        <f t="shared" si="17"/>
        <v>0</v>
      </c>
      <c r="D60" s="1772">
        <v>0.25</v>
      </c>
      <c r="E60" s="1773">
        <v>0</v>
      </c>
      <c r="F60" s="2031">
        <f t="shared" si="16"/>
        <v>0</v>
      </c>
      <c r="G60" s="3325"/>
      <c r="H60" s="2033">
        <f>项目基本情况!B43</f>
        <v>0</v>
      </c>
      <c r="I60" s="1799">
        <f>SUMIF(修正!$A$45:$A$56,H60,修正!C45:C56)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984</v>
      </c>
      <c r="B61" s="1771">
        <f t="shared" si="18"/>
        <v>0</v>
      </c>
      <c r="C61" s="1543">
        <f t="shared" si="17"/>
        <v>0</v>
      </c>
      <c r="D61" s="1772">
        <v>0.25</v>
      </c>
      <c r="E61" s="1773">
        <v>0</v>
      </c>
      <c r="F61" s="2031">
        <f t="shared" si="16"/>
        <v>0</v>
      </c>
      <c r="G61" s="3325"/>
      <c r="H61" s="2033">
        <f>项目基本情况!B43</f>
        <v>0</v>
      </c>
      <c r="I61" s="1799">
        <f>SUMIF(修正!$A$45:$A$56,H61,修正!D45:D56)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985</v>
      </c>
      <c r="B62" s="1771">
        <f t="shared" si="18"/>
        <v>0</v>
      </c>
      <c r="C62" s="1543">
        <f t="shared" si="17"/>
        <v>0</v>
      </c>
      <c r="D62" s="1772">
        <v>0.25</v>
      </c>
      <c r="E62" s="1773">
        <v>0</v>
      </c>
      <c r="F62" s="2031">
        <f t="shared" si="16"/>
        <v>0</v>
      </c>
      <c r="G62" s="3325"/>
      <c r="H62" s="2033">
        <f>项目基本情况!B43</f>
        <v>0</v>
      </c>
      <c r="I62" s="1799">
        <f>SUMIF(修正!$A$45:$A$56,H62,修正!E45:E56)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77" t="s">
        <v>533</v>
      </c>
      <c r="B63" s="1771">
        <f t="shared" si="18"/>
        <v>0</v>
      </c>
      <c r="C63" s="1543">
        <f t="shared" si="17"/>
        <v>0</v>
      </c>
      <c r="D63" s="1772">
        <v>0.25</v>
      </c>
      <c r="E63" s="1778">
        <f>'数据-汇总表'!E11</f>
        <v>0</v>
      </c>
      <c r="F63" s="2031">
        <f t="shared" si="16"/>
        <v>0</v>
      </c>
      <c r="G63" s="2032" t="s">
        <v>986</v>
      </c>
      <c r="H63" s="2033">
        <f>项目基本情况!C43</f>
        <v>0</v>
      </c>
      <c r="I63" s="1799">
        <f>SUMIF(修正!$A$45:$A$56,H63,修正!F45:F56)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pans="1:29" s="1724" customFormat="1" ht="12.75">
      <c r="A64" s="1770" t="s">
        <v>987</v>
      </c>
      <c r="B64" s="1771">
        <f t="shared" si="18"/>
        <v>0</v>
      </c>
      <c r="C64" s="1543">
        <f t="shared" si="17"/>
        <v>0</v>
      </c>
      <c r="D64" s="1772">
        <v>0.25</v>
      </c>
      <c r="E64" s="1778">
        <f>'数据-汇总表'!E12</f>
        <v>0</v>
      </c>
      <c r="F64" s="2031">
        <f t="shared" si="16"/>
        <v>0</v>
      </c>
      <c r="G64" s="1779" t="s">
        <v>378</v>
      </c>
      <c r="H64" s="2034">
        <f>IF(G64="商业",项目基本情况!B43,IF(G64="办公",项目基本情况!C43,IF(G64="住宅",项目基本情况!D43,项目基本情况!E43)))</f>
        <v>0</v>
      </c>
      <c r="I64" s="1799">
        <f>SUMIF(修正!$A$45:$A$56,H64,修正!G45:G56)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pans="1:29" s="1724" customFormat="1" ht="12.75">
      <c r="A65" s="1770" t="s">
        <v>988</v>
      </c>
      <c r="B65" s="1771">
        <f t="shared" si="18"/>
        <v>0</v>
      </c>
      <c r="C65" s="1543">
        <f t="shared" si="17"/>
        <v>0</v>
      </c>
      <c r="D65" s="1772">
        <v>0.25</v>
      </c>
      <c r="E65" s="1778">
        <f>'数据-汇总表'!E13</f>
        <v>25018.11</v>
      </c>
      <c r="F65" s="2031">
        <f t="shared" si="16"/>
        <v>0</v>
      </c>
      <c r="G65" s="1779" t="s">
        <v>376</v>
      </c>
      <c r="H65" s="2034">
        <f>IF(G65="商业",项目基本情况!B43,IF(G65="办公",项目基本情况!C43,IF(G65="住宅",项目基本情况!D43,项目基本情况!E43)))</f>
        <v>0</v>
      </c>
      <c r="I65" s="1799">
        <f>SUMIF(修正!$A$45:$A$56,H65,修正!H45:H56)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pans="1:29" s="1724" customFormat="1" ht="12.75">
      <c r="A66" s="1770" t="s">
        <v>989</v>
      </c>
      <c r="B66" s="1771">
        <f t="shared" si="18"/>
        <v>0</v>
      </c>
      <c r="C66" s="1543">
        <f t="shared" si="17"/>
        <v>0</v>
      </c>
      <c r="D66" s="1772">
        <v>0.25</v>
      </c>
      <c r="E66" s="1778">
        <f>'数据-汇总表'!E14</f>
        <v>0</v>
      </c>
      <c r="F66" s="2031">
        <f t="shared" si="16"/>
        <v>0</v>
      </c>
      <c r="G66" s="2032" t="s">
        <v>982</v>
      </c>
      <c r="H66" s="2033">
        <f>项目基本情况!B43</f>
        <v>0</v>
      </c>
      <c r="I66" s="1799">
        <f>SUMIF(修正!$A$45:$A$56,H66,修正!H45:H56)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pans="1:29" s="1724" customFormat="1" ht="12.75">
      <c r="A67" s="1770" t="s">
        <v>990</v>
      </c>
      <c r="B67" s="1771">
        <f t="shared" si="18"/>
        <v>0</v>
      </c>
      <c r="C67" s="1543">
        <f t="shared" si="17"/>
        <v>0</v>
      </c>
      <c r="D67" s="1772">
        <v>0.25</v>
      </c>
      <c r="E67" s="1778">
        <f>'数据-汇总表'!E15</f>
        <v>0</v>
      </c>
      <c r="F67" s="2031">
        <f t="shared" si="16"/>
        <v>0</v>
      </c>
      <c r="G67" s="2038" t="s">
        <v>986</v>
      </c>
      <c r="H67" s="2039">
        <f>项目基本情况!C43</f>
        <v>0</v>
      </c>
      <c r="I67" s="1799">
        <f>SUMIF(修正!$A$45:$A$56,H67,修正!H45:H56)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pans="1:29" s="1724" customFormat="1" ht="12.75">
      <c r="A68" s="1782" t="s">
        <v>991</v>
      </c>
      <c r="B68" s="1783" t="s">
        <v>992</v>
      </c>
      <c r="C68" s="1783" t="s">
        <v>992</v>
      </c>
      <c r="D68" s="1783" t="s">
        <v>992</v>
      </c>
      <c r="E68" s="1783">
        <f>IF(B48="楼面地价",SUM(E58:E67),'数据-汇总表'!D3)</f>
        <v>42969</v>
      </c>
      <c r="F68" s="1784">
        <f>IF(B48="楼面地价",SUM(F58:F67),ROUND(C50*E68/10000,0))</f>
        <v>8865</v>
      </c>
      <c r="G68" s="1785"/>
      <c r="H68" s="1785"/>
      <c r="I68" s="1785"/>
      <c r="J68" s="1785"/>
      <c r="K68" s="1785"/>
      <c r="L68" s="1800"/>
      <c r="M68" s="1800"/>
      <c r="N68" s="1800"/>
      <c r="O68" s="1800"/>
      <c r="P68" s="1800"/>
      <c r="Q68" s="1800"/>
      <c r="R68" s="1800"/>
      <c r="S68" s="1800"/>
      <c r="T68" s="1800"/>
      <c r="U68" s="1800"/>
      <c r="V68" s="1800"/>
      <c r="W68" s="1800"/>
      <c r="X68" s="1800"/>
      <c r="Y68" s="1800"/>
      <c r="Z68" s="1800"/>
      <c r="AA68" s="1800"/>
      <c r="AB68" s="1800"/>
      <c r="AC68" s="180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3" t="str">
        <f>YEAR(C9)&amp;"-"&amp;MONTH(C9)&amp;"-1"</f>
        <v>2019-5-1</v>
      </c>
      <c r="D70" s="1803">
        <f>EDATE(C70,-3)</f>
        <v>43497</v>
      </c>
      <c r="E70" s="1803">
        <f t="shared" ref="E70:N70" si="19">EDATE(D70,-3)</f>
        <v>43405</v>
      </c>
      <c r="F70" s="1803">
        <f t="shared" si="19"/>
        <v>43313</v>
      </c>
      <c r="G70" s="1803">
        <f t="shared" si="19"/>
        <v>43221</v>
      </c>
      <c r="H70" s="1803">
        <f t="shared" si="19"/>
        <v>43132</v>
      </c>
      <c r="I70" s="1803">
        <f t="shared" si="19"/>
        <v>43040</v>
      </c>
      <c r="J70" s="1803">
        <f t="shared" si="19"/>
        <v>42948</v>
      </c>
      <c r="K70" s="1803">
        <f t="shared" si="19"/>
        <v>42856</v>
      </c>
      <c r="L70" s="1803">
        <f t="shared" si="19"/>
        <v>42767</v>
      </c>
      <c r="M70" s="1803">
        <f t="shared" si="19"/>
        <v>42675</v>
      </c>
      <c r="N70" s="1803">
        <f t="shared" si="19"/>
        <v>42583</v>
      </c>
      <c r="O70" s="319"/>
      <c r="P70" s="319"/>
      <c r="Q70" s="319"/>
      <c r="R70" s="319"/>
      <c r="S70" s="319"/>
      <c r="T70" s="319"/>
      <c r="U70" s="319"/>
      <c r="V70" s="319"/>
      <c r="W70" s="319"/>
      <c r="X70" s="319"/>
      <c r="Y70" s="319"/>
      <c r="Z70" s="319"/>
      <c r="AA70" s="319"/>
      <c r="AB70" s="319"/>
      <c r="AC70" s="319"/>
    </row>
    <row r="71" spans="1:29" ht="21">
      <c r="A71" s="329" t="s">
        <v>993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4" t="s">
        <v>994</v>
      </c>
      <c r="B72" s="2040"/>
      <c r="C72" s="1805" t="str">
        <f>YEAR(C70)&amp;"-"&amp;ROUNDUP(MONTH(C70)/3,0)</f>
        <v>2019-2</v>
      </c>
      <c r="D72" s="1805" t="str">
        <f>YEAR(D70)&amp;"-"&amp;ROUNDUP(MONTH(D70)/3,0)</f>
        <v>2019-1</v>
      </c>
      <c r="E72" s="1805" t="str">
        <f t="shared" ref="E72:N72" si="20">YEAR(E70)&amp;"-"&amp;ROUNDUP(MONTH(E70)/3,0)</f>
        <v>2018-4</v>
      </c>
      <c r="F72" s="1805" t="str">
        <f t="shared" si="20"/>
        <v>2018-3</v>
      </c>
      <c r="G72" s="1805" t="str">
        <f t="shared" si="20"/>
        <v>2018-2</v>
      </c>
      <c r="H72" s="1805" t="str">
        <f t="shared" si="20"/>
        <v>2018-1</v>
      </c>
      <c r="I72" s="1805" t="str">
        <f t="shared" si="20"/>
        <v>2017-4</v>
      </c>
      <c r="J72" s="1805" t="str">
        <f t="shared" si="20"/>
        <v>2017-3</v>
      </c>
      <c r="K72" s="1805" t="str">
        <f t="shared" si="20"/>
        <v>2017-2</v>
      </c>
      <c r="L72" s="1805" t="str">
        <f t="shared" si="20"/>
        <v>2017-1</v>
      </c>
      <c r="M72" s="1805" t="str">
        <f t="shared" si="20"/>
        <v>2016-4</v>
      </c>
      <c r="N72" s="1805" t="str">
        <f t="shared" si="20"/>
        <v>2016-3</v>
      </c>
      <c r="O72" s="1813"/>
      <c r="P72" s="409"/>
      <c r="Q72" s="455"/>
      <c r="R72" s="455"/>
      <c r="S72" s="455"/>
      <c r="T72" s="455"/>
      <c r="U72" s="455"/>
      <c r="V72" s="455"/>
      <c r="W72" s="455"/>
      <c r="X72" s="455"/>
      <c r="Y72" s="455"/>
      <c r="Z72" s="455"/>
      <c r="AA72" s="455"/>
      <c r="AB72" s="455"/>
      <c r="AC72" s="455"/>
    </row>
    <row r="73" spans="1:29" s="190" customFormat="1" ht="27" customHeight="1">
      <c r="A73" s="2041" t="s">
        <v>995</v>
      </c>
      <c r="B73" s="1807" t="str">
        <f>"北京市平均增长率"&amp;TEXT(SUMIF(基准地价!N21:N25,A73,基准地价!P21:P25),"0.00%")</f>
        <v>北京市平均增长率0.00%</v>
      </c>
      <c r="C73" s="472">
        <v>100</v>
      </c>
      <c r="D73" s="475">
        <v>100</v>
      </c>
      <c r="E73" s="475">
        <v>100</v>
      </c>
      <c r="F73" s="475">
        <v>100</v>
      </c>
      <c r="G73" s="475">
        <v>100</v>
      </c>
      <c r="H73" s="475">
        <v>100</v>
      </c>
      <c r="I73" s="475"/>
      <c r="J73" s="475"/>
      <c r="K73" s="475"/>
      <c r="L73" s="475"/>
      <c r="M73" s="1814"/>
      <c r="N73" s="1815"/>
      <c r="O73" s="417"/>
      <c r="P73" s="412"/>
      <c r="Q73" s="456"/>
      <c r="R73" s="456"/>
      <c r="S73" s="456"/>
      <c r="T73" s="456"/>
      <c r="U73" s="456"/>
      <c r="V73" s="456"/>
      <c r="W73" s="456"/>
      <c r="X73" s="456"/>
      <c r="Y73" s="456"/>
      <c r="Z73" s="456"/>
      <c r="AA73" s="456"/>
      <c r="AB73" s="456"/>
      <c r="AC73" s="456"/>
    </row>
    <row r="74" spans="1:29" s="190" customFormat="1" ht="15" customHeight="1">
      <c r="A74" s="2042" t="s">
        <v>996</v>
      </c>
      <c r="B74" s="2043"/>
      <c r="C74" s="1808"/>
      <c r="D74" s="1809"/>
      <c r="E74" s="1809"/>
      <c r="F74" s="1809"/>
      <c r="G74" s="1809"/>
      <c r="H74" s="1809"/>
      <c r="I74" s="1809"/>
      <c r="J74" s="1809"/>
      <c r="K74" s="1809"/>
      <c r="L74" s="1809"/>
      <c r="M74" s="1809"/>
      <c r="N74" s="1809"/>
      <c r="O74" s="417"/>
      <c r="P74" s="412"/>
      <c r="Q74" s="412"/>
      <c r="R74" s="456"/>
      <c r="S74" s="456"/>
      <c r="T74" s="456"/>
      <c r="U74" s="456"/>
      <c r="V74" s="456"/>
      <c r="W74" s="456"/>
      <c r="X74" s="456"/>
      <c r="Y74" s="456"/>
      <c r="Z74" s="456"/>
      <c r="AA74" s="456"/>
      <c r="AB74" s="456"/>
      <c r="AC74" s="456"/>
    </row>
    <row r="75" spans="1:29" s="190" customFormat="1" ht="15">
      <c r="A75" s="345" t="s">
        <v>936</v>
      </c>
      <c r="B75" s="338"/>
      <c r="C75" s="346" t="s">
        <v>937</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997</v>
      </c>
      <c r="B77" s="349" t="s">
        <v>998</v>
      </c>
      <c r="C77" s="994" t="s">
        <v>941</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1000</v>
      </c>
      <c r="C81" s="545" t="str">
        <f>C82&amp;"（含）"&amp;"-"&amp;D82</f>
        <v>1（含）-2</v>
      </c>
      <c r="D81" s="545" t="str">
        <f t="shared" ref="D81:L81" si="21">D82&amp;"（含）"&amp;"-"&amp;E82</f>
        <v>2（含）-3</v>
      </c>
      <c r="E81" s="545" t="str">
        <f t="shared" si="21"/>
        <v>3（含）-4</v>
      </c>
      <c r="F81" s="545" t="str">
        <f t="shared" si="21"/>
        <v>4（含）-5</v>
      </c>
      <c r="G81" s="545" t="str">
        <f t="shared" si="21"/>
        <v>5（含）-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105</v>
      </c>
      <c r="E83" s="358">
        <f t="shared" ref="E83:M83" si="22">IF($B$48="单位面积地价",D83+$K13,D83-$K13)</f>
        <v>110</v>
      </c>
      <c r="F83" s="358">
        <f t="shared" si="22"/>
        <v>115</v>
      </c>
      <c r="G83" s="358">
        <f t="shared" si="22"/>
        <v>120</v>
      </c>
      <c r="H83" s="358">
        <f t="shared" si="22"/>
        <v>125</v>
      </c>
      <c r="I83" s="358">
        <f t="shared" si="22"/>
        <v>130</v>
      </c>
      <c r="J83" s="358">
        <f t="shared" si="22"/>
        <v>135</v>
      </c>
      <c r="K83" s="358">
        <f t="shared" si="22"/>
        <v>140</v>
      </c>
      <c r="L83" s="358">
        <f t="shared" si="22"/>
        <v>145</v>
      </c>
      <c r="M83" s="358">
        <f t="shared" si="22"/>
        <v>150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1"/>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953</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8"/>
      <c r="I102" s="998"/>
      <c r="J102" s="998"/>
      <c r="K102" s="998"/>
      <c r="L102" s="999"/>
      <c r="M102" s="100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4"/>
      <c r="I103" s="1004"/>
      <c r="J103" s="1004"/>
      <c r="K103" s="1004"/>
      <c r="L103" s="1004"/>
      <c r="M103" s="100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8"/>
      <c r="I104" s="998"/>
      <c r="J104" s="998"/>
      <c r="K104" s="998"/>
      <c r="L104" s="998"/>
      <c r="M104" s="100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1002</v>
      </c>
      <c r="D106" s="356" t="s">
        <v>1003</v>
      </c>
      <c r="E106" s="356" t="s">
        <v>1004</v>
      </c>
      <c r="F106" s="356" t="s">
        <v>1005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955</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4">D109-$K34</f>
        <v>98</v>
      </c>
      <c r="F109" s="358">
        <f t="shared" si="24"/>
        <v>97</v>
      </c>
      <c r="G109" s="358">
        <f t="shared" si="24"/>
        <v>96</v>
      </c>
      <c r="H109" s="358">
        <f t="shared" si="24"/>
        <v>95</v>
      </c>
      <c r="I109" s="358">
        <f t="shared" si="24"/>
        <v>94</v>
      </c>
      <c r="J109" s="358">
        <f t="shared" si="24"/>
        <v>93</v>
      </c>
      <c r="K109" s="358">
        <f t="shared" si="24"/>
        <v>92</v>
      </c>
      <c r="L109" s="358">
        <f t="shared" si="24"/>
        <v>91</v>
      </c>
      <c r="M109" s="358">
        <f t="shared" si="24"/>
        <v>90</v>
      </c>
      <c r="N109" s="425"/>
      <c r="O109" s="425"/>
      <c r="P109" s="423"/>
      <c r="Q109" s="412"/>
      <c r="R109" s="319"/>
      <c r="S109" s="319"/>
      <c r="T109" s="319"/>
      <c r="U109" s="319"/>
      <c r="V109" s="319"/>
      <c r="W109" s="319"/>
      <c r="X109" s="319"/>
      <c r="Y109" s="319"/>
      <c r="Z109" s="319"/>
      <c r="AA109" s="319"/>
      <c r="AB109" s="319"/>
      <c r="AC109" s="319"/>
    </row>
    <row r="110" spans="1:29" ht="15">
      <c r="A110" s="352"/>
      <c r="B110" s="355" t="s">
        <v>956</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0"/>
      <c r="E117" s="1810"/>
      <c r="F117" s="1810"/>
      <c r="G117" s="1810"/>
      <c r="H117" s="1810"/>
      <c r="I117" s="1810"/>
      <c r="J117" s="1810"/>
      <c r="K117" s="1810"/>
      <c r="L117" s="1810"/>
      <c r="M117" s="1818"/>
      <c r="N117" s="425"/>
      <c r="O117" s="425"/>
      <c r="P117" s="436"/>
      <c r="Q117" s="457"/>
      <c r="R117" s="458"/>
      <c r="S117" s="458"/>
      <c r="T117" s="458"/>
      <c r="U117" s="458"/>
      <c r="V117" s="458"/>
      <c r="W117" s="458"/>
      <c r="X117" s="458"/>
      <c r="Y117" s="458"/>
      <c r="Z117" s="458"/>
      <c r="AA117" s="458"/>
      <c r="AB117" s="458"/>
      <c r="AC117" s="458"/>
    </row>
    <row r="118" spans="1:29" ht="28.5">
      <c r="A118" s="348" t="s">
        <v>1006</v>
      </c>
      <c r="B118" s="349" t="s">
        <v>959</v>
      </c>
      <c r="C118" s="350" t="str">
        <f t="shared" ref="C118:L118" si="26">C119&amp;"(含)"&amp;"-"&amp;D119</f>
        <v>0(含)-10000</v>
      </c>
      <c r="D118" s="350" t="str">
        <f t="shared" si="26"/>
        <v>10000(含)-30000</v>
      </c>
      <c r="E118" s="350" t="str">
        <f t="shared" si="26"/>
        <v>30000(含)-50000</v>
      </c>
      <c r="F118" s="350" t="str">
        <f t="shared" si="26"/>
        <v>50000(含)-100000</v>
      </c>
      <c r="G118" s="350" t="str">
        <f t="shared" si="26"/>
        <v>100000(含)-150000</v>
      </c>
      <c r="H118" s="350" t="str">
        <f t="shared" si="26"/>
        <v>150000(含)-</v>
      </c>
      <c r="I118" s="350" t="str">
        <f t="shared" si="26"/>
        <v>(含)-</v>
      </c>
      <c r="J118" s="1819" t="str">
        <f t="shared" si="26"/>
        <v>(含)-</v>
      </c>
      <c r="K118" s="1819" t="str">
        <f t="shared" si="26"/>
        <v>(含)-</v>
      </c>
      <c r="L118" s="1820" t="str">
        <f t="shared" si="26"/>
        <v>(含)-</v>
      </c>
      <c r="M118" s="182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30000</v>
      </c>
      <c r="F119" s="475">
        <v>50000</v>
      </c>
      <c r="G119" s="475">
        <v>100000</v>
      </c>
      <c r="H119" s="475">
        <v>150000</v>
      </c>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97</v>
      </c>
      <c r="E120" s="554">
        <v>98</v>
      </c>
      <c r="F120" s="554">
        <v>99</v>
      </c>
      <c r="G120" s="554">
        <v>100</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960</v>
      </c>
      <c r="C121" s="996" t="s">
        <v>961</v>
      </c>
      <c r="D121" s="996" t="s">
        <v>2345</v>
      </c>
      <c r="E121" s="996" t="s">
        <v>2346</v>
      </c>
      <c r="F121" s="996" t="s">
        <v>2347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962</v>
      </c>
      <c r="C123" s="997" t="s">
        <v>952</v>
      </c>
      <c r="D123" s="997" t="s">
        <v>950</v>
      </c>
      <c r="E123" s="997" t="s">
        <v>951</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98</v>
      </c>
      <c r="E124" s="358">
        <f t="shared" si="28"/>
        <v>96</v>
      </c>
      <c r="F124" s="358">
        <f t="shared" si="28"/>
        <v>94</v>
      </c>
      <c r="G124" s="358">
        <f t="shared" si="28"/>
        <v>92</v>
      </c>
      <c r="H124" s="358">
        <f t="shared" si="28"/>
        <v>90</v>
      </c>
      <c r="I124" s="358">
        <f t="shared" si="28"/>
        <v>88</v>
      </c>
      <c r="J124" s="358">
        <f t="shared" si="28"/>
        <v>86</v>
      </c>
      <c r="K124" s="358">
        <f t="shared" si="28"/>
        <v>84</v>
      </c>
      <c r="L124" s="358">
        <f t="shared" si="28"/>
        <v>82</v>
      </c>
      <c r="M124" s="429">
        <f t="shared" si="28"/>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963</v>
      </c>
      <c r="C125" s="1811" t="s">
        <v>249</v>
      </c>
      <c r="D125" s="1811" t="s">
        <v>261</v>
      </c>
      <c r="E125" s="1811" t="s">
        <v>272</v>
      </c>
      <c r="F125" s="1811"/>
      <c r="G125" s="1811"/>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964</v>
      </c>
      <c r="C127" s="997" t="s">
        <v>952</v>
      </c>
      <c r="D127" s="997" t="s">
        <v>950</v>
      </c>
      <c r="E127" s="996" t="s">
        <v>951</v>
      </c>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15"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15"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15"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15"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15"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15"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15"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15"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15"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15"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15"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15"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15"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15"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15"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15"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15"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15"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15"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15"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15"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15"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15"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15"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15"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15"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15"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15"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15"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15"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15"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15"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15"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15"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15"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15"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15"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15"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15"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15"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15"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15"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15"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15"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15"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15"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15"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15"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15"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15"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15"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15"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15"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15"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15"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15"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15"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15"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15"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15"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15"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15"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15"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15"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15"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15"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15"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15"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15"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15"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15"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15"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15"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15"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15"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15"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15"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15"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15"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15"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15"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15"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15"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15"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15"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15"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15"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15"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15"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15"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15"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15"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15"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15"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15"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15"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15"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15"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15"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15"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15"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15"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15"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15"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15"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15"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15"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15"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15"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15"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15"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15"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15"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15"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15"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15"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15"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15"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15"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15"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15"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15" customFormat="1">
      <c r="K256" s="2050"/>
      <c r="L256" s="2051"/>
    </row>
    <row r="257" spans="11:12" s="2015" customFormat="1">
      <c r="K257" s="2050"/>
      <c r="L257" s="2051"/>
    </row>
    <row r="258" spans="11:12" s="2015" customFormat="1">
      <c r="K258" s="2050"/>
      <c r="L258" s="2051"/>
    </row>
    <row r="259" spans="11:12" s="2015" customFormat="1">
      <c r="K259" s="2050"/>
      <c r="L259" s="2051"/>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7" customWidth="1"/>
    <col min="2" max="2" width="10.75" style="3117" customWidth="1"/>
    <col min="3" max="4" width="11.625" style="3117" customWidth="1"/>
    <col min="5" max="5" width="6.625" style="3117" customWidth="1"/>
    <col min="6" max="16384" width="9" style="3117"/>
  </cols>
  <sheetData>
    <row r="36" spans="1:9">
      <c r="A36" s="3116" t="s">
        <v>75</v>
      </c>
      <c r="B36" s="3116" t="s">
        <v>76</v>
      </c>
    </row>
    <row r="37" spans="1:9" ht="28.5" customHeight="1">
      <c r="A37" s="3116"/>
      <c r="B37" s="3150" t="str">
        <f>项目基本情况!B1</f>
        <v>山东省寿光市文苑路以西、文庙街以北出让国有建设用地使用权抵押价格预评估</v>
      </c>
      <c r="C37" s="3150"/>
      <c r="D37" s="3150"/>
      <c r="E37" s="3150"/>
      <c r="F37" s="3150"/>
      <c r="G37" s="3150"/>
      <c r="H37" s="3150"/>
      <c r="I37" s="3150"/>
    </row>
    <row r="38" spans="1:9">
      <c r="A38" s="3118"/>
      <c r="B38" s="3118"/>
    </row>
    <row r="39" spans="1:9">
      <c r="A39" s="3116" t="s">
        <v>75</v>
      </c>
      <c r="B39" s="3116" t="s">
        <v>77</v>
      </c>
    </row>
    <row r="40" spans="1:9">
      <c r="A40" s="3116"/>
      <c r="B40" s="3116" t="str">
        <f>项目基本情况!B5</f>
        <v>寿光市文腾基础设施建设开发有限公司</v>
      </c>
    </row>
    <row r="41" spans="1:9">
      <c r="A41" s="3116"/>
      <c r="B41" s="3116"/>
    </row>
    <row r="42" spans="1:9">
      <c r="A42" s="3116" t="s">
        <v>75</v>
      </c>
      <c r="B42" s="3116" t="s">
        <v>78</v>
      </c>
    </row>
    <row r="43" spans="1:9">
      <c r="A43" s="3116"/>
      <c r="B43" s="3116" t="s">
        <v>79</v>
      </c>
    </row>
    <row r="44" spans="1:9">
      <c r="A44" s="3116"/>
      <c r="B44" s="3116"/>
    </row>
    <row r="45" spans="1:9">
      <c r="A45" s="3116" t="s">
        <v>75</v>
      </c>
      <c r="B45" s="3116" t="s">
        <v>80</v>
      </c>
    </row>
    <row r="46" spans="1:9" s="3116" customFormat="1" ht="12.75">
      <c r="B46" s="3116" t="str">
        <f>项目基本情况!K4</f>
        <v>郑燚、王鹏</v>
      </c>
    </row>
    <row r="47" spans="1:9">
      <c r="A47" s="3116"/>
      <c r="B47" s="3116"/>
    </row>
    <row r="48" spans="1:9">
      <c r="A48" s="3116" t="s">
        <v>75</v>
      </c>
      <c r="B48" s="3116" t="s">
        <v>81</v>
      </c>
    </row>
    <row r="49" spans="2:2">
      <c r="B49" s="3116" t="str">
        <f>"康正预评字"&amp;项目基本情况!B2&amp;"号"</f>
        <v>康正预评字号</v>
      </c>
    </row>
  </sheetData>
  <sheetProtection sheet="1" objects="1" scenarios="1" formatCells="0" formatRows="0"/>
  <mergeCells count="1">
    <mergeCell ref="B37:I37"/>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8" sqref="E8"/>
    </sheetView>
  </sheetViews>
  <sheetFormatPr defaultColWidth="6.625" defaultRowHeight="12.75"/>
  <cols>
    <col min="1" max="1" width="9.75" style="1831" customWidth="1"/>
    <col min="2" max="2" width="25.75" style="1832" customWidth="1"/>
    <col min="3" max="3" width="10.375" style="1833" customWidth="1"/>
    <col min="4" max="4" width="12" style="1832" customWidth="1"/>
    <col min="5" max="5" width="9.5" style="1831" customWidth="1"/>
    <col min="6" max="6" width="10.125" style="1832" customWidth="1"/>
    <col min="7" max="7" width="11.62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1" s="153" customFormat="1" ht="20.25">
      <c r="A1" s="1935" t="s">
        <v>1007</v>
      </c>
      <c r="B1" s="1834"/>
      <c r="C1" s="1835"/>
      <c r="D1" s="1835"/>
      <c r="E1" s="1835"/>
      <c r="F1" s="1835"/>
      <c r="G1" s="1835"/>
      <c r="H1" s="1835"/>
      <c r="I1" s="1835"/>
      <c r="J1" s="1835"/>
      <c r="K1" s="1919">
        <f>MATCH(B1,'数据-取费表'!A6:A16,0)+5</f>
        <v>9</v>
      </c>
    </row>
    <row r="2" spans="1:31" s="153" customFormat="1" ht="18" customHeight="1">
      <c r="A2" s="1936" t="s">
        <v>917</v>
      </c>
      <c r="B2" s="1937">
        <f ca="1">C36</f>
        <v>5394</v>
      </c>
      <c r="C2" s="1835"/>
      <c r="D2" s="1835"/>
      <c r="E2" s="1835"/>
      <c r="F2" s="1835"/>
      <c r="G2" s="1835"/>
      <c r="H2" s="1835"/>
      <c r="I2" s="1835"/>
      <c r="J2" s="1835"/>
      <c r="K2" s="1835"/>
    </row>
    <row r="3" spans="1:31" s="153" customFormat="1" ht="18" customHeight="1">
      <c r="A3" s="1938" t="s">
        <v>918</v>
      </c>
      <c r="B3" s="1939">
        <f ca="1">ROUND(B2*10000/IF(B1="",'数据-汇总表'!E3,INDIRECT("'数据-取费表'!K"&amp;$K$1)),0)</f>
        <v>735</v>
      </c>
      <c r="C3" s="1835"/>
      <c r="D3" s="1835"/>
      <c r="E3" s="1835"/>
      <c r="F3" s="1835"/>
      <c r="G3" s="1835"/>
      <c r="H3" s="1835"/>
      <c r="I3" s="1835"/>
      <c r="J3" s="1835"/>
      <c r="K3" s="1835"/>
    </row>
    <row r="4" spans="1:31" s="153" customFormat="1" ht="18" customHeight="1">
      <c r="A4" s="622" t="s">
        <v>1008</v>
      </c>
      <c r="B4" s="623">
        <f ca="1">ROUND(B2*10000/IF(B1="",'数据-汇总表'!D3,INDIRECT("'数据-取费表'!R"&amp;$K$1)),0)</f>
        <v>1255</v>
      </c>
      <c r="C4" s="462"/>
      <c r="D4" s="1919"/>
      <c r="E4" s="1919"/>
      <c r="F4" s="1919"/>
      <c r="G4" s="1919"/>
      <c r="H4" s="1919"/>
      <c r="I4" s="1919"/>
      <c r="J4" s="1919"/>
      <c r="K4" s="1919"/>
    </row>
    <row r="5" spans="1:31" s="153" customFormat="1" ht="18" customHeight="1">
      <c r="A5" s="624"/>
      <c r="B5" s="625">
        <f ca="1">ROUND(B2/(IF(B1="",'数据-汇总表'!D3,INDIRECT("'数据-取费表'!R"&amp;$K$1))/666.67),0)</f>
        <v>84</v>
      </c>
      <c r="C5" s="626" t="s">
        <v>920</v>
      </c>
      <c r="D5" s="1919"/>
      <c r="E5" s="1919"/>
      <c r="F5" s="1919"/>
      <c r="G5" s="1919"/>
      <c r="H5" s="1919"/>
      <c r="I5" s="1919"/>
      <c r="J5" s="1919"/>
      <c r="K5" s="1919"/>
    </row>
    <row r="6" spans="1:31" s="1822" customFormat="1" ht="16.5" customHeight="1">
      <c r="A6" s="1940" t="s">
        <v>1009</v>
      </c>
      <c r="B6" s="1941"/>
      <c r="C6" s="1942">
        <f ca="1">SUM(C10:K10)</f>
        <v>26994</v>
      </c>
      <c r="D6" s="1941"/>
      <c r="E6" s="1941"/>
      <c r="F6" s="1941"/>
      <c r="G6" s="1941"/>
      <c r="H6" s="1941"/>
      <c r="I6" s="1941"/>
      <c r="J6" s="1941"/>
      <c r="K6" s="2005"/>
    </row>
    <row r="7" spans="1:31" s="1823" customFormat="1" ht="15">
      <c r="A7" s="1943" t="s">
        <v>1010</v>
      </c>
      <c r="B7" s="1944" t="s">
        <v>1011</v>
      </c>
      <c r="C7" s="1843" t="s">
        <v>490</v>
      </c>
      <c r="D7" s="1843" t="s">
        <v>492</v>
      </c>
      <c r="E7" s="1843" t="s">
        <v>493</v>
      </c>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row>
    <row r="8" spans="1:31" s="1824" customFormat="1" ht="13.5" customHeight="1">
      <c r="A8" s="1210" t="s">
        <v>853</v>
      </c>
      <c r="B8" s="779" t="s">
        <v>1012</v>
      </c>
      <c r="C8" s="1945">
        <f>'不动产比较法-住宅'!B3</f>
        <v>5006</v>
      </c>
      <c r="D8" s="1945"/>
      <c r="E8" s="1945">
        <f ca="1">'不动产收益法 (车库)'!B3</f>
        <v>1453</v>
      </c>
      <c r="F8" s="1945"/>
      <c r="G8" s="1945"/>
      <c r="H8" s="1945"/>
      <c r="I8" s="1945"/>
      <c r="J8" s="1945"/>
      <c r="K8" s="2006"/>
      <c r="L8" s="1832"/>
      <c r="M8" s="1832"/>
      <c r="N8" s="1832"/>
      <c r="O8" s="1832"/>
      <c r="P8" s="1832"/>
      <c r="Q8" s="1832"/>
      <c r="R8" s="1832"/>
      <c r="S8" s="1832"/>
      <c r="T8" s="1832"/>
      <c r="U8" s="1832"/>
      <c r="V8" s="1832"/>
      <c r="W8" s="1832"/>
      <c r="X8" s="1832"/>
      <c r="Y8" s="1832"/>
      <c r="Z8" s="1832"/>
      <c r="AA8" s="1832"/>
      <c r="AB8" s="1832"/>
      <c r="AC8" s="1832"/>
      <c r="AD8" s="1832"/>
      <c r="AE8" s="1832"/>
    </row>
    <row r="9" spans="1:31" s="1824" customFormat="1" ht="13.5" customHeight="1">
      <c r="A9" s="1210" t="s">
        <v>855</v>
      </c>
      <c r="B9" s="779" t="s">
        <v>451</v>
      </c>
      <c r="C9" s="1847">
        <f>SUMIF('数据-汇总表'!$C19:$C33,'剩余法-待开发'!C7,'数据-汇总表'!$E19:$E33)</f>
        <v>46660.33</v>
      </c>
      <c r="D9" s="1847">
        <f>SUMIF('数据-汇总表'!$C19:$C33,'剩余法-待开发'!D7,'数据-汇总表'!$E19:$E33)</f>
        <v>1733.03</v>
      </c>
      <c r="E9" s="1847">
        <f>SUMIF('数据-汇总表'!$C19:$C33,'剩余法-待开发'!E7,'数据-汇总表'!$E19:$E33)</f>
        <v>25018.11</v>
      </c>
      <c r="F9" s="1847">
        <f>SUMIF('数据-汇总表'!$C19:$C33,'剩余法-待开发'!F7,'数据-汇总表'!$E19:$E33)</f>
        <v>0</v>
      </c>
      <c r="G9" s="1847">
        <f>SUMIF('数据-汇总表'!$C19:$C33,'剩余法-待开发'!G7,'数据-汇总表'!$E19:$E33)</f>
        <v>0</v>
      </c>
      <c r="H9" s="1847">
        <f>SUMIF('数据-汇总表'!$C19:$C33,'剩余法-待开发'!H7,'数据-汇总表'!$E19:$E33)</f>
        <v>0</v>
      </c>
      <c r="I9" s="1847">
        <f>SUMIF('数据-汇总表'!$C19:$C33,'剩余法-待开发'!I7,'数据-汇总表'!$E19:$E33)</f>
        <v>0</v>
      </c>
      <c r="J9" s="1847">
        <f>SUMIF('数据-汇总表'!$C19:$C33,'剩余法-待开发'!J7,'数据-汇总表'!$E19:$E33)</f>
        <v>0</v>
      </c>
      <c r="K9" s="1924">
        <f>SUMIF('数据-汇总表'!$C19:$C33,'剩余法-待开发'!K7,'数据-汇总表'!$E19:$E33)</f>
        <v>0</v>
      </c>
      <c r="L9" s="1832"/>
      <c r="M9" s="1832"/>
      <c r="N9" s="1832"/>
      <c r="O9" s="1832"/>
      <c r="P9" s="1832"/>
      <c r="Q9" s="1832"/>
      <c r="R9" s="1832"/>
      <c r="S9" s="1832"/>
      <c r="T9" s="1832"/>
      <c r="U9" s="1832"/>
      <c r="V9" s="1832"/>
      <c r="W9" s="1832"/>
      <c r="X9" s="1832"/>
      <c r="Y9" s="1832"/>
      <c r="Z9" s="1832"/>
      <c r="AA9" s="1832"/>
      <c r="AB9" s="1832"/>
      <c r="AC9" s="1832"/>
      <c r="AD9" s="1832"/>
      <c r="AE9" s="1832"/>
    </row>
    <row r="10" spans="1:31" s="1824" customFormat="1" ht="13.5" customHeight="1">
      <c r="A10" s="1946" t="s">
        <v>1013</v>
      </c>
      <c r="B10" s="1947" t="s">
        <v>1014</v>
      </c>
      <c r="C10" s="1948">
        <f>'不动产比较法-住宅'!B2</f>
        <v>23358</v>
      </c>
      <c r="D10" s="1948"/>
      <c r="E10" s="1948">
        <f ca="1">'不动产收益法 (车库)'!B2</f>
        <v>3636</v>
      </c>
      <c r="F10" s="1949"/>
      <c r="G10" s="1949"/>
      <c r="H10" s="1949"/>
      <c r="I10" s="1949"/>
      <c r="J10" s="1949"/>
      <c r="K10" s="2007"/>
      <c r="L10" s="1832"/>
      <c r="M10" s="1832"/>
      <c r="N10" s="1832"/>
      <c r="O10" s="1832"/>
      <c r="P10" s="1832"/>
      <c r="Q10" s="1832"/>
      <c r="R10" s="1832"/>
      <c r="S10" s="1832"/>
      <c r="T10" s="1832"/>
      <c r="U10" s="1832"/>
      <c r="V10" s="1832"/>
      <c r="W10" s="1832"/>
      <c r="X10" s="1832"/>
      <c r="Y10" s="1832"/>
      <c r="Z10" s="1832"/>
      <c r="AA10" s="1832"/>
      <c r="AB10" s="1832"/>
      <c r="AC10" s="1832"/>
      <c r="AD10" s="1832"/>
      <c r="AE10" s="1832"/>
    </row>
    <row r="11" spans="1:31" s="1822" customFormat="1" ht="16.5" customHeight="1">
      <c r="A11" s="1950" t="s">
        <v>1015</v>
      </c>
      <c r="B11" s="1941"/>
      <c r="C11" s="1941"/>
      <c r="D11" s="1941"/>
      <c r="E11" s="1941"/>
      <c r="F11" s="1941"/>
      <c r="G11" s="1941"/>
      <c r="H11" s="1941"/>
      <c r="I11" s="1941"/>
      <c r="J11" s="1941"/>
      <c r="K11" s="2005"/>
    </row>
    <row r="12" spans="1:31" s="830" customFormat="1" ht="13.5" customHeight="1">
      <c r="A12" s="1951" t="s">
        <v>1010</v>
      </c>
      <c r="B12" s="1952" t="s">
        <v>1011</v>
      </c>
      <c r="C12" s="1953" t="s">
        <v>1016</v>
      </c>
      <c r="D12" s="1954" t="s">
        <v>1017</v>
      </c>
      <c r="E12" s="1954" t="s">
        <v>1018</v>
      </c>
      <c r="F12" s="1954" t="s">
        <v>1019</v>
      </c>
      <c r="G12" s="1952"/>
      <c r="H12" s="1955"/>
      <c r="I12" s="1955"/>
      <c r="J12" s="1955"/>
      <c r="K12" s="2008"/>
    </row>
    <row r="13" spans="1:31" s="1825" customFormat="1" ht="13.5" customHeight="1">
      <c r="A13" s="1956" t="s">
        <v>877</v>
      </c>
      <c r="B13" s="1957" t="s">
        <v>1020</v>
      </c>
      <c r="C13" s="1860">
        <f ca="1">IF(B1="",'数据-取费表'!P16,INDIRECT("'数据-取费表'!p"&amp;$K$1)+INDIRECT("'数据-取费表'!t"&amp;$K$1))</f>
        <v>13716</v>
      </c>
      <c r="D13" s="1958"/>
      <c r="E13" s="1959"/>
      <c r="F13" s="1960"/>
      <c r="G13" s="1952"/>
      <c r="H13" s="1955"/>
      <c r="I13" s="1955"/>
      <c r="J13" s="1955"/>
      <c r="K13" s="2008"/>
    </row>
    <row r="14" spans="1:31" s="1825" customFormat="1" ht="13.5" customHeight="1">
      <c r="A14" s="1956" t="s">
        <v>1021</v>
      </c>
      <c r="B14" s="1957" t="s">
        <v>1022</v>
      </c>
      <c r="C14" s="121">
        <f ca="1">ROUND(C13*F14,0)</f>
        <v>411</v>
      </c>
      <c r="D14" s="1958"/>
      <c r="E14" s="1959"/>
      <c r="F14" s="1961">
        <f>'数据-取费表'!B33</f>
        <v>0.03</v>
      </c>
      <c r="G14" s="1952" t="s">
        <v>1023</v>
      </c>
      <c r="H14" s="1955"/>
      <c r="I14" s="1955"/>
      <c r="J14" s="1955"/>
      <c r="K14" s="2008"/>
    </row>
    <row r="15" spans="1:31" s="1825" customFormat="1" ht="13.5" customHeight="1">
      <c r="A15" s="1956" t="s">
        <v>1024</v>
      </c>
      <c r="B15" s="1957" t="s">
        <v>1025</v>
      </c>
      <c r="C15" s="121">
        <f ca="1">ROUND(IF(B1="",SUMIF('数据-取费表'!C:C,"住宅",'数据-取费表'!P:P)*F15,IF(INDIRECT("'数据-取费表'!c"&amp;$K$1)="住宅",INDIRECT("'数据-取费表'!P"&amp;$K$1)*F15,0)),0)</f>
        <v>467</v>
      </c>
      <c r="D15" s="1958"/>
      <c r="E15" s="1959"/>
      <c r="F15" s="1961">
        <f>'数据-取费表'!B34</f>
        <v>0.05</v>
      </c>
      <c r="G15" s="1952" t="s">
        <v>1026</v>
      </c>
      <c r="H15" s="1955"/>
      <c r="I15" s="1955"/>
      <c r="J15" s="1955"/>
      <c r="K15" s="2008"/>
    </row>
    <row r="16" spans="1:31" s="1826" customFormat="1" ht="13.5" customHeight="1">
      <c r="A16" s="1956" t="s">
        <v>1027</v>
      </c>
      <c r="B16" s="1957" t="s">
        <v>1028</v>
      </c>
      <c r="C16" s="121">
        <f ca="1">ROUND(D16*E16/10000,0)</f>
        <v>1468</v>
      </c>
      <c r="D16" s="1958">
        <f ca="1">IF(B1="",'数据-汇总表'!E3,INDIRECT("'数据-取费表'!K"&amp;$K$1)+INDIRECT("'数据-取费表'!S"&amp;$K$1))</f>
        <v>73411.47</v>
      </c>
      <c r="E16" s="121">
        <f>'数据-取费表'!B35</f>
        <v>200</v>
      </c>
      <c r="F16" s="1961"/>
      <c r="G16" s="1952"/>
      <c r="H16" s="1955"/>
      <c r="I16" s="1955"/>
      <c r="J16" s="1955"/>
      <c r="K16" s="2008"/>
      <c r="L16" s="1825"/>
      <c r="M16" s="1825"/>
      <c r="N16" s="1825"/>
      <c r="O16" s="1825"/>
      <c r="P16" s="1825"/>
      <c r="Q16" s="1825"/>
      <c r="R16" s="1825"/>
      <c r="S16" s="1825"/>
      <c r="T16" s="1825"/>
      <c r="U16" s="1825"/>
      <c r="V16" s="1825"/>
      <c r="W16" s="1825"/>
      <c r="X16" s="1825"/>
      <c r="Y16" s="1825"/>
      <c r="Z16" s="1825"/>
      <c r="AA16" s="1825"/>
      <c r="AB16" s="1825"/>
      <c r="AC16" s="1825"/>
      <c r="AD16" s="1825"/>
      <c r="AE16" s="1825"/>
    </row>
    <row r="17" spans="1:14" s="1825" customFormat="1" ht="13.5" customHeight="1">
      <c r="A17" s="1956" t="s">
        <v>1029</v>
      </c>
      <c r="B17" s="1957" t="s">
        <v>1030</v>
      </c>
      <c r="C17" s="1962">
        <f ca="1">ROUND(C13*F17,0)</f>
        <v>206</v>
      </c>
      <c r="D17" s="1963"/>
      <c r="E17" s="1962"/>
      <c r="F17" s="1964">
        <f>'数据-取费表'!B36</f>
        <v>1.4999999999999999E-2</v>
      </c>
      <c r="G17" s="779" t="s">
        <v>1031</v>
      </c>
      <c r="H17" s="1965"/>
      <c r="I17" s="1965"/>
      <c r="J17" s="1965"/>
      <c r="K17" s="2009"/>
    </row>
    <row r="18" spans="1:14" s="1825" customFormat="1" ht="13.5" customHeight="1">
      <c r="A18" s="1966" t="s">
        <v>1032</v>
      </c>
      <c r="B18" s="1967" t="s">
        <v>1033</v>
      </c>
      <c r="C18" s="1968">
        <f ca="1">SUM(C13:C17)</f>
        <v>16268</v>
      </c>
      <c r="D18" s="1969"/>
      <c r="E18" s="1970"/>
      <c r="F18" s="1970"/>
      <c r="G18" s="1971" t="s">
        <v>1034</v>
      </c>
      <c r="H18" s="1972"/>
      <c r="I18" s="1972"/>
      <c r="J18" s="1972"/>
      <c r="K18" s="2010"/>
    </row>
    <row r="19" spans="1:14" s="1825" customFormat="1" ht="13.5" customHeight="1">
      <c r="A19" s="1966" t="s">
        <v>1035</v>
      </c>
      <c r="B19" s="1967" t="s">
        <v>1036</v>
      </c>
      <c r="C19" s="1954">
        <f ca="1">ROUND(D19*E19/10000,0)</f>
        <v>0</v>
      </c>
      <c r="D19" s="1973">
        <f ca="1">D16</f>
        <v>73411.47</v>
      </c>
      <c r="E19" s="1954">
        <f>'数据-取费表'!B32</f>
        <v>0</v>
      </c>
      <c r="F19" s="1970"/>
      <c r="G19" s="1952" t="s">
        <v>1037</v>
      </c>
      <c r="H19" s="1955"/>
      <c r="I19" s="1972"/>
      <c r="J19" s="1972"/>
      <c r="K19" s="2010"/>
    </row>
    <row r="20" spans="1:14" s="1825" customFormat="1" ht="13.5" customHeight="1">
      <c r="A20" s="1966" t="s">
        <v>1038</v>
      </c>
      <c r="B20" s="1967" t="s">
        <v>1039</v>
      </c>
      <c r="C20" s="1954">
        <f ca="1">C21+C22-IF(B1="",'数据-取费表'!B29,IF(G20="已全部缴纳",C21+C22,H20))</f>
        <v>0</v>
      </c>
      <c r="D20" s="1973"/>
      <c r="E20" s="1954"/>
      <c r="F20" s="1974"/>
      <c r="G20" s="1975"/>
      <c r="H20" s="1976"/>
      <c r="I20" s="2011" t="s">
        <v>1040</v>
      </c>
      <c r="J20" s="1972"/>
      <c r="K20" s="2010"/>
    </row>
    <row r="21" spans="1:14" s="1825" customFormat="1" ht="13.5" customHeight="1">
      <c r="A21" s="1956" t="s">
        <v>877</v>
      </c>
      <c r="B21" s="1957" t="s">
        <v>1041</v>
      </c>
      <c r="C21" s="121">
        <f ca="1">ROUND(D21*E21/10000,0)</f>
        <v>0</v>
      </c>
      <c r="D21" s="1958">
        <f ca="1">IF(B1="",'数据-汇总表'!E5,IF(INDIRECT("'数据-取费表'!c"&amp;$K$1)="住宅",INDIRECT("'数据-取费表'!k"&amp;$K$1),0))</f>
        <v>46660.33</v>
      </c>
      <c r="E21" s="121">
        <f>'数据-取费表'!B27</f>
        <v>0</v>
      </c>
      <c r="F21" s="1961"/>
      <c r="G21" s="850"/>
      <c r="H21" s="1977"/>
      <c r="I21" s="1977"/>
      <c r="J21" s="1977"/>
      <c r="K21" s="2012"/>
    </row>
    <row r="22" spans="1:14" s="1825" customFormat="1" ht="13.5" customHeight="1">
      <c r="A22" s="1956" t="s">
        <v>882</v>
      </c>
      <c r="B22" s="1957" t="s">
        <v>1042</v>
      </c>
      <c r="C22" s="121">
        <f ca="1">ROUND(D22*E22/10000,0)</f>
        <v>0</v>
      </c>
      <c r="D22" s="1958">
        <f ca="1">IF(B1="",'数据-汇总表'!E6,IF(INDIRECT("'数据-取费表'!c"&amp;$K$1)="住宅",INDIRECT("'数据-取费表'!s"&amp;$K$1),INDIRECT("'数据-取费表'!k"&amp;$K$1)+INDIRECT("'数据-取费表'!s"&amp;$K$1)))</f>
        <v>26751.14</v>
      </c>
      <c r="E22" s="121">
        <f>'数据-取费表'!B28</f>
        <v>0</v>
      </c>
      <c r="F22" s="1961"/>
      <c r="G22" s="850"/>
      <c r="H22" s="1977"/>
      <c r="I22" s="1977"/>
      <c r="J22" s="1977"/>
      <c r="K22" s="2012"/>
    </row>
    <row r="23" spans="1:14" s="1825" customFormat="1" ht="13.5" customHeight="1">
      <c r="A23" s="1966" t="s">
        <v>1043</v>
      </c>
      <c r="B23" s="1978" t="s">
        <v>1044</v>
      </c>
      <c r="C23" s="1968">
        <f ca="1">ROUND((C18+C19+C20)*F23,0)</f>
        <v>325</v>
      </c>
      <c r="D23" s="1970"/>
      <c r="E23" s="1970"/>
      <c r="F23" s="1979">
        <f>'数据-取费表'!B37</f>
        <v>0.02</v>
      </c>
      <c r="G23" s="1952" t="s">
        <v>1045</v>
      </c>
      <c r="H23" s="1955"/>
      <c r="I23" s="1955"/>
      <c r="J23" s="1955"/>
      <c r="K23" s="2008"/>
      <c r="L23" s="1929"/>
      <c r="M23" s="1929"/>
      <c r="N23" s="1929"/>
    </row>
    <row r="24" spans="1:14" s="1825" customFormat="1" ht="13.5" customHeight="1">
      <c r="A24" s="1966" t="s">
        <v>1046</v>
      </c>
      <c r="B24" s="1978" t="s">
        <v>1047</v>
      </c>
      <c r="C24" s="1968">
        <f ca="1">ROUND(C6*F24,0)</f>
        <v>270</v>
      </c>
      <c r="D24" s="1963"/>
      <c r="E24" s="1884"/>
      <c r="F24" s="1979">
        <f>'数据-取费表'!B38</f>
        <v>0.01</v>
      </c>
      <c r="G24" s="1980" t="s">
        <v>1048</v>
      </c>
      <c r="H24" s="1965"/>
      <c r="I24" s="1965"/>
      <c r="J24" s="1965"/>
      <c r="K24" s="2009"/>
      <c r="L24" s="1929"/>
      <c r="M24" s="1929"/>
      <c r="N24" s="1929"/>
    </row>
    <row r="25" spans="1:14" s="1827" customFormat="1" ht="13.5" customHeight="1">
      <c r="A25" s="1966" t="s">
        <v>1049</v>
      </c>
      <c r="B25" s="1978" t="s">
        <v>1050</v>
      </c>
      <c r="C25" s="1879">
        <f>ROUND(F25/(1+'数据-取费表'!C42),4)</f>
        <v>2.9000000000000001E-2</v>
      </c>
      <c r="D25" s="1872" t="s">
        <v>1051</v>
      </c>
      <c r="E25" s="1876"/>
      <c r="F25" s="1979">
        <f>'数据-取费表'!B48+'数据-取费表'!B49</f>
        <v>3.0499999999999999E-2</v>
      </c>
      <c r="G25" s="1981" t="s">
        <v>1052</v>
      </c>
      <c r="H25" s="1955"/>
      <c r="I25" s="1955"/>
      <c r="J25" s="1955"/>
      <c r="K25" s="2008"/>
    </row>
    <row r="26" spans="1:14" s="1929" customFormat="1" ht="13.5" customHeight="1">
      <c r="A26" s="1966" t="s">
        <v>1053</v>
      </c>
      <c r="B26" s="1982" t="s">
        <v>1054</v>
      </c>
      <c r="C26" s="1983">
        <f ca="1">C28</f>
        <v>801</v>
      </c>
      <c r="D26" s="1879">
        <f ca="1">C27</f>
        <v>0.10009999999999999</v>
      </c>
      <c r="E26" s="1876" t="s">
        <v>1051</v>
      </c>
      <c r="F26" s="1880">
        <f ca="1">'数据-取费表'!B40</f>
        <v>4.7500000000000001E-2</v>
      </c>
      <c r="G26" s="783" t="str">
        <f>IF('数据-取费表'!B22&lt;=1,"单利计息。","复利计息。")&amp;"后续开发成本、管理费用及销售费用产生的利息。"</f>
        <v>复利计息。后续开发成本、管理费用及销售费用产生的利息。</v>
      </c>
      <c r="H26" s="1972"/>
      <c r="I26" s="1972"/>
      <c r="J26" s="1972"/>
      <c r="K26" s="2010"/>
    </row>
    <row r="27" spans="1:14" s="1829" customFormat="1" ht="13.5" customHeight="1">
      <c r="A27" s="1210" t="s">
        <v>877</v>
      </c>
      <c r="B27" s="1984" t="s">
        <v>1055</v>
      </c>
      <c r="C27" s="1985">
        <f ca="1">ROUND(IF('数据-取费表'!B22&lt;=1,(1+C25)*F26*'数据-取费表'!B24,(1+C25)*(POWER((1+F26),'数据-取费表'!B24)-1)),4)</f>
        <v>0.10009999999999999</v>
      </c>
      <c r="D27" s="1883"/>
      <c r="E27" s="1884"/>
      <c r="F27" s="1885"/>
      <c r="G27" s="783" t="str">
        <f>IF('数据-取费表'!B22&lt;=1,"（1+取得税费率/(1+5%)）×年利率×建设期","（1+取得税费率）/(1+5%)×((1+年利率)^建设期-1)")</f>
        <v>（1+取得税费率）/(1+5%)×((1+年利率)^建设期-1)</v>
      </c>
      <c r="H27" s="1965"/>
      <c r="I27" s="1965"/>
      <c r="J27" s="1965"/>
      <c r="K27" s="2009"/>
    </row>
    <row r="28" spans="1:14" s="1829" customFormat="1" ht="13.5" customHeight="1">
      <c r="A28" s="1210" t="s">
        <v>882</v>
      </c>
      <c r="B28" s="1984" t="s">
        <v>1056</v>
      </c>
      <c r="C28" s="1986">
        <f ca="1">ROUND(IF('数据-取费表'!B22&lt;=1,(C18+C19+C20+C23+C24)*F26*'数据-取费表'!B24/2,(C18+C19+C20+C23+C24)*(POWER((1+F26),'数据-取费表'!B24/2)-1)),0)</f>
        <v>801</v>
      </c>
      <c r="D28" s="1883"/>
      <c r="E28" s="1884"/>
      <c r="F28" s="1885"/>
      <c r="G28" s="783" t="str">
        <f>IF('数据-取费表'!B22&lt;=1,"（1）-（4）项×年利率×建设期÷2","（1）-（4）项×((1+年利率)^(建设期÷2)-1)")</f>
        <v>（1）-（4）项×((1+年利率)^(建设期÷2)-1)</v>
      </c>
      <c r="H28" s="1965"/>
      <c r="I28" s="1965"/>
      <c r="J28" s="1965"/>
      <c r="K28" s="2009"/>
    </row>
    <row r="29" spans="1:14" s="1829" customFormat="1" ht="13.5" customHeight="1">
      <c r="A29" s="1987" t="s">
        <v>1057</v>
      </c>
      <c r="B29" s="1967" t="s">
        <v>1058</v>
      </c>
      <c r="C29" s="1968">
        <f ca="1">ROUND(C6*F29/(1+'数据-取费表'!C42),0)</f>
        <v>1447</v>
      </c>
      <c r="D29" s="1970"/>
      <c r="E29" s="1970"/>
      <c r="F29" s="1988">
        <f>'数据-取费表'!B41</f>
        <v>5.6300000000000003E-2</v>
      </c>
      <c r="G29" s="1980" t="s">
        <v>1059</v>
      </c>
      <c r="H29" s="1955"/>
      <c r="I29" s="1955"/>
      <c r="J29" s="1955"/>
      <c r="K29" s="2008"/>
    </row>
    <row r="30" spans="1:14" s="1828" customFormat="1" ht="13.5" customHeight="1">
      <c r="A30" s="1989" t="s">
        <v>1060</v>
      </c>
      <c r="B30" s="1990" t="s">
        <v>1061</v>
      </c>
      <c r="C30" s="1983">
        <f ca="1">C31</f>
        <v>19111</v>
      </c>
      <c r="D30" s="1898">
        <f ca="1">C32</f>
        <v>0.12909999999999999</v>
      </c>
      <c r="E30" s="1876" t="s">
        <v>1051</v>
      </c>
      <c r="F30" s="1880"/>
      <c r="G30" s="1981" t="s">
        <v>1062</v>
      </c>
      <c r="H30" s="1955"/>
      <c r="I30" s="1955"/>
      <c r="J30" s="1955"/>
      <c r="K30" s="2008"/>
    </row>
    <row r="31" spans="1:14" s="1829" customFormat="1" ht="13.5" customHeight="1">
      <c r="A31" s="1210" t="s">
        <v>877</v>
      </c>
      <c r="B31" s="1984"/>
      <c r="C31" s="1860">
        <f ca="1">C18+C19+C20+C23+C24+C26+C29</f>
        <v>19111</v>
      </c>
      <c r="D31" s="1883"/>
      <c r="E31" s="1884"/>
      <c r="F31" s="1885"/>
      <c r="G31" s="779"/>
      <c r="H31" s="1965"/>
      <c r="I31" s="1965"/>
      <c r="J31" s="1965"/>
      <c r="K31" s="2009"/>
    </row>
    <row r="32" spans="1:14" s="1829" customFormat="1" ht="13.5" customHeight="1">
      <c r="A32" s="1210" t="s">
        <v>882</v>
      </c>
      <c r="B32" s="1984"/>
      <c r="C32" s="121">
        <f ca="1">ROUND(C25+D26,4)</f>
        <v>0.12909999999999999</v>
      </c>
      <c r="D32" s="1883"/>
      <c r="E32" s="1884"/>
      <c r="F32" s="1885"/>
      <c r="G32" s="779"/>
      <c r="H32" s="1965"/>
      <c r="I32" s="1965"/>
      <c r="J32" s="1965"/>
      <c r="K32" s="2009"/>
    </row>
    <row r="33" spans="1:11" s="1933" customFormat="1" ht="13.5" customHeight="1">
      <c r="A33" s="1991" t="s">
        <v>1063</v>
      </c>
      <c r="B33" s="1888" t="s">
        <v>1064</v>
      </c>
      <c r="C33" s="1889">
        <f ca="1">C35</f>
        <v>1349</v>
      </c>
      <c r="D33" s="1879">
        <f ca="1">C34</f>
        <v>8.2299999999999998E-2</v>
      </c>
      <c r="E33" s="1876" t="s">
        <v>1051</v>
      </c>
      <c r="F33" s="1807">
        <f ca="1">IF(B1="",'数据-取费表'!Q16,INDIRECT("'数据-取费表'!q"&amp;$K$1))</f>
        <v>0.08</v>
      </c>
      <c r="G33" s="1971"/>
      <c r="H33" s="1972"/>
      <c r="I33" s="1972"/>
      <c r="J33" s="1972"/>
      <c r="K33" s="2010"/>
    </row>
    <row r="34" spans="1:11" s="1934" customFormat="1" ht="13.5" customHeight="1">
      <c r="A34" s="1992" t="s">
        <v>877</v>
      </c>
      <c r="B34" s="1993" t="s">
        <v>1065</v>
      </c>
      <c r="C34" s="1883">
        <f ca="1">ROUND((1+C25)*F33,4)</f>
        <v>8.2299999999999998E-2</v>
      </c>
      <c r="D34" s="1883"/>
      <c r="E34" s="1884"/>
      <c r="F34" s="1891"/>
      <c r="G34" s="779" t="s">
        <v>1066</v>
      </c>
      <c r="H34" s="1965"/>
      <c r="I34" s="1965"/>
      <c r="J34" s="1965"/>
      <c r="K34" s="2009"/>
    </row>
    <row r="35" spans="1:11" s="1934" customFormat="1" ht="13.5" customHeight="1">
      <c r="A35" s="1994" t="s">
        <v>882</v>
      </c>
      <c r="B35" s="1995" t="s">
        <v>1067</v>
      </c>
      <c r="C35" s="1996">
        <f ca="1">ROUND((C18+C19+C20+C23+C24)*F33,0)</f>
        <v>1349</v>
      </c>
      <c r="D35" s="1997"/>
      <c r="E35" s="1998"/>
      <c r="F35" s="1999"/>
      <c r="G35" s="1947"/>
      <c r="H35" s="2000"/>
      <c r="I35" s="2000"/>
      <c r="J35" s="2000"/>
      <c r="K35" s="2013"/>
    </row>
    <row r="36" spans="1:11" s="830" customFormat="1" ht="13.5" customHeight="1">
      <c r="A36" s="2001" t="s">
        <v>1068</v>
      </c>
      <c r="B36" s="2002"/>
      <c r="C36" s="2003">
        <f ca="1">ROUND((C6-C30-C33)/(1+D30+D33),0)</f>
        <v>5394</v>
      </c>
      <c r="D36" s="2002"/>
      <c r="E36" s="2002"/>
      <c r="F36" s="2002"/>
      <c r="G36" s="2004" t="s">
        <v>1069</v>
      </c>
      <c r="H36" s="2002"/>
      <c r="I36" s="2002"/>
      <c r="J36" s="2002"/>
      <c r="K36" s="2014"/>
    </row>
    <row r="38" spans="1:11" ht="12.75" customHeight="1"/>
  </sheetData>
  <sheetProtection password="C66D" sheet="1" objects="1" scenarios="1" formatCells="0" formatColumns="0" formatRows="0"/>
  <phoneticPr fontId="22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31" customWidth="1"/>
    <col min="2" max="2" width="25.75" style="1832" customWidth="1"/>
    <col min="3" max="3" width="10.375" style="1833" customWidth="1"/>
    <col min="4" max="4" width="12"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41" s="153" customFormat="1" ht="20.25">
      <c r="A1" s="616" t="s">
        <v>1007</v>
      </c>
      <c r="B1" s="1834"/>
      <c r="C1" s="1835"/>
      <c r="D1" s="1835"/>
      <c r="E1" s="1835"/>
      <c r="F1" s="1835"/>
      <c r="G1" s="1835"/>
      <c r="H1" s="1835"/>
      <c r="I1" s="1835"/>
      <c r="J1" s="1835"/>
      <c r="K1" s="1919">
        <f>MATCH(B1,'数据-取费表'!A6:A16,0)+5</f>
        <v>9</v>
      </c>
    </row>
    <row r="2" spans="1:41" s="153" customFormat="1" ht="18" customHeight="1">
      <c r="A2" s="205" t="s">
        <v>917</v>
      </c>
      <c r="B2" s="1836">
        <f ca="1">C32</f>
        <v>0</v>
      </c>
      <c r="C2" s="1835"/>
      <c r="D2" s="1835"/>
      <c r="E2" s="1835"/>
      <c r="F2" s="1835"/>
      <c r="G2" s="1835"/>
      <c r="H2" s="1835"/>
      <c r="I2" s="1835"/>
      <c r="J2" s="1835"/>
      <c r="K2" s="1835"/>
    </row>
    <row r="3" spans="1:41" s="153" customFormat="1" ht="18" customHeight="1">
      <c r="A3" s="621" t="s">
        <v>918</v>
      </c>
      <c r="B3" s="620">
        <f ca="1">ROUND(B2*10000/IF(B1="",'数据-汇总表'!E3,INDIRECT("'数据-取费表'!K"&amp;$K$1)),0)</f>
        <v>0</v>
      </c>
      <c r="C3" s="1835"/>
      <c r="D3" s="1835"/>
      <c r="E3" s="1835"/>
      <c r="F3" s="1835"/>
      <c r="G3" s="1835"/>
      <c r="H3" s="1835"/>
      <c r="I3" s="1835"/>
      <c r="J3" s="1835"/>
      <c r="K3" s="1835"/>
    </row>
    <row r="4" spans="1:41" s="153" customFormat="1" ht="18" customHeight="1">
      <c r="A4" s="622" t="s">
        <v>1008</v>
      </c>
      <c r="B4" s="623">
        <f ca="1">ROUND(B2*10000/IF(B1="",'数据-汇总表'!D3,INDIRECT("'数据-取费表'!R"&amp;$K$1)),0)</f>
        <v>0</v>
      </c>
      <c r="C4" s="565"/>
      <c r="D4" s="1835"/>
      <c r="E4" s="1835"/>
      <c r="F4" s="1835"/>
      <c r="G4" s="1835"/>
      <c r="H4" s="1835"/>
      <c r="I4" s="1835"/>
      <c r="J4" s="1835"/>
      <c r="K4" s="1835"/>
    </row>
    <row r="5" spans="1:41" s="153" customFormat="1" ht="18" customHeight="1">
      <c r="A5" s="624"/>
      <c r="B5" s="625">
        <f ca="1">ROUND(B2/(IF(B1="",'数据-汇总表'!D3,INDIRECT("'数据-取费表'!R"&amp;$K$1))/666.67),0)</f>
        <v>0</v>
      </c>
      <c r="C5" s="626" t="s">
        <v>920</v>
      </c>
      <c r="D5" s="1835"/>
      <c r="E5" s="1835"/>
      <c r="F5" s="1835"/>
      <c r="G5" s="1835"/>
      <c r="H5" s="1835"/>
      <c r="I5" s="1835"/>
      <c r="J5" s="1835"/>
      <c r="K5" s="1835"/>
    </row>
    <row r="6" spans="1:41" s="1822" customFormat="1" ht="16.5" customHeight="1">
      <c r="A6" s="1837" t="s">
        <v>1070</v>
      </c>
      <c r="B6" s="1838"/>
      <c r="C6" s="1839">
        <f>SUM(C10:K10)</f>
        <v>0</v>
      </c>
      <c r="D6" s="1840"/>
      <c r="E6" s="1840"/>
      <c r="F6" s="1840"/>
      <c r="G6" s="1840"/>
      <c r="H6" s="1840"/>
      <c r="I6" s="1840"/>
      <c r="J6" s="1840"/>
      <c r="K6" s="1920"/>
    </row>
    <row r="7" spans="1:41" s="1823" customFormat="1" ht="15">
      <c r="A7" s="1841" t="s">
        <v>1010</v>
      </c>
      <c r="B7" s="1842" t="s">
        <v>1011</v>
      </c>
      <c r="C7" s="1843"/>
      <c r="D7" s="1843"/>
      <c r="E7" s="1843"/>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row>
    <row r="8" spans="1:41" s="1824" customFormat="1" ht="13.5" customHeight="1">
      <c r="A8" s="1844" t="s">
        <v>853</v>
      </c>
      <c r="B8" s="1845" t="s">
        <v>1012</v>
      </c>
      <c r="C8" s="1846"/>
      <c r="D8" s="1846"/>
      <c r="E8" s="1846"/>
      <c r="F8" s="1846"/>
      <c r="G8" s="1846"/>
      <c r="H8" s="1846"/>
      <c r="I8" s="1846"/>
      <c r="J8" s="1846"/>
      <c r="K8" s="1923"/>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row>
    <row r="9" spans="1:41" s="1824" customFormat="1" ht="13.5" customHeight="1">
      <c r="A9" s="1844" t="s">
        <v>855</v>
      </c>
      <c r="B9" s="1845" t="s">
        <v>451</v>
      </c>
      <c r="C9" s="1847">
        <f>SUMIF('数据-汇总表'!$C19:$C33,'剩余法-现房'!C7,'数据-汇总表'!$E19:$E33)</f>
        <v>0</v>
      </c>
      <c r="D9" s="1847">
        <f>SUMIF('数据-汇总表'!$C19:$C33,'剩余法-现房'!D7,'数据-汇总表'!$E19:$E33)</f>
        <v>0</v>
      </c>
      <c r="E9" s="1847">
        <f>SUMIF('数据-汇总表'!$C19:$C33,'剩余法-现房'!E7,'数据-汇总表'!$E19:$E33)</f>
        <v>0</v>
      </c>
      <c r="F9" s="1847">
        <f>SUMIF('数据-汇总表'!$C19:$C33,'剩余法-现房'!F7,'数据-汇总表'!$E19:$E33)</f>
        <v>0</v>
      </c>
      <c r="G9" s="1847">
        <f>SUMIF('数据-汇总表'!$C19:$C33,'剩余法-现房'!G7,'数据-汇总表'!$E19:$E33)</f>
        <v>0</v>
      </c>
      <c r="H9" s="1847">
        <f>SUMIF('数据-汇总表'!$C19:$C33,'剩余法-现房'!H7,'数据-汇总表'!$E19:$E33)</f>
        <v>0</v>
      </c>
      <c r="I9" s="1847">
        <f>SUMIF('数据-汇总表'!$C19:$C33,'剩余法-现房'!I7,'数据-汇总表'!$E19:$E33)</f>
        <v>0</v>
      </c>
      <c r="J9" s="1847">
        <f>SUMIF('数据-汇总表'!$C19:$C33,'剩余法-现房'!J7,'数据-汇总表'!$E19:$E33)</f>
        <v>0</v>
      </c>
      <c r="K9" s="1924">
        <f>SUMIF('数据-汇总表'!$C19:$C33,'剩余法-现房'!K7,'数据-汇总表'!$E19:$E33)</f>
        <v>0</v>
      </c>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row>
    <row r="10" spans="1:41" s="1824" customFormat="1" ht="13.5" customHeight="1">
      <c r="A10" s="1848" t="s">
        <v>1013</v>
      </c>
      <c r="B10" s="1849" t="s">
        <v>1014</v>
      </c>
      <c r="C10" s="1850"/>
      <c r="D10" s="1850"/>
      <c r="E10" s="1850"/>
      <c r="F10" s="1851"/>
      <c r="G10" s="1851"/>
      <c r="H10" s="1851"/>
      <c r="I10" s="1851"/>
      <c r="J10" s="1851"/>
      <c r="K10" s="1925"/>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row>
    <row r="11" spans="1:41" s="1822" customFormat="1" ht="16.5" customHeight="1">
      <c r="A11" s="1852" t="s">
        <v>1071</v>
      </c>
      <c r="B11" s="1853"/>
      <c r="C11" s="1853"/>
      <c r="D11" s="1853"/>
      <c r="E11" s="1853"/>
      <c r="F11" s="1853"/>
      <c r="G11" s="1853"/>
      <c r="H11" s="1853"/>
      <c r="I11" s="1853"/>
      <c r="J11" s="1853"/>
      <c r="K11" s="1926"/>
    </row>
    <row r="12" spans="1:41" s="830" customFormat="1" ht="13.5" customHeight="1">
      <c r="A12" s="1841" t="s">
        <v>1010</v>
      </c>
      <c r="B12" s="1854" t="s">
        <v>1011</v>
      </c>
      <c r="C12" s="1855" t="s">
        <v>1016</v>
      </c>
      <c r="D12" s="1856" t="s">
        <v>1017</v>
      </c>
      <c r="E12" s="1856" t="s">
        <v>1018</v>
      </c>
      <c r="F12" s="1856" t="s">
        <v>1019</v>
      </c>
      <c r="G12" s="1854"/>
      <c r="H12" s="1857"/>
      <c r="I12" s="1857"/>
      <c r="J12" s="1857"/>
      <c r="K12" s="1927"/>
    </row>
    <row r="13" spans="1:41" s="1825" customFormat="1" ht="13.5" customHeight="1">
      <c r="A13" s="1858" t="s">
        <v>877</v>
      </c>
      <c r="B13" s="1859" t="s">
        <v>1020</v>
      </c>
      <c r="C13" s="1860">
        <f ca="1">IF(B1="",'数据-取费表'!M16,INDIRECT("'数据-取费表'!M"&amp;$K$1)+INDIRECT("'数据-取费表'!t"&amp;$K$1))</f>
        <v>13716</v>
      </c>
      <c r="D13" s="1861"/>
      <c r="E13" s="78"/>
      <c r="F13" s="1862"/>
      <c r="G13" s="1854"/>
      <c r="H13" s="1857"/>
      <c r="I13" s="1857"/>
      <c r="J13" s="1857"/>
      <c r="K13" s="1927"/>
    </row>
    <row r="14" spans="1:41" s="1825" customFormat="1" ht="13.5" customHeight="1">
      <c r="A14" s="1858" t="s">
        <v>1021</v>
      </c>
      <c r="B14" s="1859" t="s">
        <v>1022</v>
      </c>
      <c r="C14" s="121">
        <f ca="1">ROUND(C13*F14,0)</f>
        <v>411</v>
      </c>
      <c r="D14" s="1861"/>
      <c r="E14" s="78"/>
      <c r="F14" s="1863">
        <f>'数据-取费表'!B33</f>
        <v>0.03</v>
      </c>
      <c r="G14" s="1854" t="s">
        <v>1023</v>
      </c>
      <c r="H14" s="1857"/>
      <c r="I14" s="1857"/>
      <c r="J14" s="1857"/>
      <c r="K14" s="1927"/>
    </row>
    <row r="15" spans="1:41" s="1825" customFormat="1" ht="13.5" customHeight="1">
      <c r="A15" s="1858" t="s">
        <v>1024</v>
      </c>
      <c r="B15" s="1859" t="s">
        <v>1025</v>
      </c>
      <c r="C15" s="121">
        <f ca="1">ROUND(IF(B1="",SUMIF('数据-取费表'!C:C,"住宅",'数据-取费表'!M:M)*F15,IF(INDIRECT("'数据-取费表'!c"&amp;$K$1)="住宅",INDIRECT("'数据-取费表'!M"&amp;$K$1)*F15,0)),0)</f>
        <v>467</v>
      </c>
      <c r="D15" s="1861"/>
      <c r="E15" s="78"/>
      <c r="F15" s="1863">
        <f>'数据-取费表'!B34</f>
        <v>0.05</v>
      </c>
      <c r="G15" s="1854" t="s">
        <v>1023</v>
      </c>
      <c r="H15" s="1857"/>
      <c r="I15" s="1857"/>
      <c r="J15" s="1857"/>
      <c r="K15" s="1927"/>
    </row>
    <row r="16" spans="1:41" s="1826" customFormat="1" ht="13.5" customHeight="1">
      <c r="A16" s="1858" t="s">
        <v>1027</v>
      </c>
      <c r="B16" s="1859" t="s">
        <v>1028</v>
      </c>
      <c r="C16" s="121">
        <f ca="1">ROUND(D16*E16/10000,0)</f>
        <v>1468</v>
      </c>
      <c r="D16" s="1861">
        <f ca="1">IF(B1="",'数据-汇总表'!E3,INDIRECT("'数据-取费表'!K"&amp;$K$1)+INDIRECT("'数据-取费表'!S"&amp;$K$1))</f>
        <v>73411.47</v>
      </c>
      <c r="E16" s="121">
        <f>'数据-取费表'!B35</f>
        <v>200</v>
      </c>
      <c r="F16" s="1863"/>
      <c r="G16" s="1854"/>
      <c r="H16" s="1857"/>
      <c r="I16" s="1857"/>
      <c r="J16" s="1857"/>
      <c r="K16" s="1927"/>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14" s="1825" customFormat="1" ht="13.5" customHeight="1">
      <c r="A17" s="1858" t="s">
        <v>1029</v>
      </c>
      <c r="B17" s="1859" t="s">
        <v>1030</v>
      </c>
      <c r="C17" s="1864">
        <f ca="1">ROUND(C13*F17,0)</f>
        <v>206</v>
      </c>
      <c r="D17" s="1865"/>
      <c r="E17" s="1864"/>
      <c r="F17" s="1866">
        <f>'数据-取费表'!B36</f>
        <v>1.4999999999999999E-2</v>
      </c>
      <c r="G17" s="1854" t="s">
        <v>1023</v>
      </c>
      <c r="H17" s="1867"/>
      <c r="I17" s="1867"/>
      <c r="J17" s="1867"/>
      <c r="K17" s="1928"/>
    </row>
    <row r="18" spans="1:14" s="1827" customFormat="1" ht="13.5" customHeight="1">
      <c r="A18" s="1868" t="s">
        <v>1032</v>
      </c>
      <c r="B18" s="1869" t="s">
        <v>1033</v>
      </c>
      <c r="C18" s="1870">
        <f ca="1">SUM(C13:C17)</f>
        <v>16268</v>
      </c>
      <c r="D18" s="1871"/>
      <c r="E18" s="1872"/>
      <c r="F18" s="1872"/>
      <c r="G18" s="1873" t="s">
        <v>1072</v>
      </c>
      <c r="H18" s="1857"/>
      <c r="I18" s="1857"/>
      <c r="J18" s="1857"/>
      <c r="K18" s="1927"/>
    </row>
    <row r="19" spans="1:14" s="1827" customFormat="1" ht="13.5" customHeight="1">
      <c r="A19" s="1868" t="s">
        <v>1035</v>
      </c>
      <c r="B19" s="1869" t="s">
        <v>1073</v>
      </c>
      <c r="C19" s="1870">
        <f ca="1">ROUND(C18*F19,0)</f>
        <v>325</v>
      </c>
      <c r="D19" s="1872"/>
      <c r="E19" s="1872"/>
      <c r="F19" s="1874">
        <f>'数据-取费表'!B37</f>
        <v>0.02</v>
      </c>
      <c r="G19" s="1854" t="s">
        <v>1074</v>
      </c>
      <c r="H19" s="1857"/>
      <c r="I19" s="1857"/>
      <c r="J19" s="1857"/>
      <c r="K19" s="1927"/>
      <c r="L19" s="1828"/>
      <c r="M19" s="1828"/>
      <c r="N19" s="1828"/>
    </row>
    <row r="20" spans="1:14" s="1827" customFormat="1" ht="13.5" customHeight="1">
      <c r="A20" s="1868" t="s">
        <v>1038</v>
      </c>
      <c r="B20" s="1869" t="s">
        <v>1075</v>
      </c>
      <c r="C20" s="1875">
        <f>F20</f>
        <v>0.01</v>
      </c>
      <c r="D20" s="1876" t="s">
        <v>1076</v>
      </c>
      <c r="E20" s="1876"/>
      <c r="F20" s="1877">
        <f>'数据-取费表'!B38</f>
        <v>0.01</v>
      </c>
      <c r="G20" s="1873" t="s">
        <v>1077</v>
      </c>
      <c r="H20" s="1857"/>
      <c r="I20" s="1857"/>
      <c r="J20" s="1857"/>
      <c r="K20" s="1927"/>
      <c r="L20" s="1828"/>
      <c r="M20" s="1828"/>
      <c r="N20" s="1828"/>
    </row>
    <row r="21" spans="1:14" s="1828" customFormat="1" ht="13.5" customHeight="1">
      <c r="A21" s="1868" t="s">
        <v>1043</v>
      </c>
      <c r="B21" s="1871" t="s">
        <v>1078</v>
      </c>
      <c r="C21" s="1878">
        <f ca="1">C22</f>
        <v>788</v>
      </c>
      <c r="D21" s="1879">
        <f ca="1">C23</f>
        <v>5.0000000000000001E-4</v>
      </c>
      <c r="E21" s="1876" t="s">
        <v>1079</v>
      </c>
      <c r="F21" s="1880">
        <f ca="1">'数据-取费表'!B40</f>
        <v>4.7500000000000001E-2</v>
      </c>
      <c r="G21" s="1873" t="str">
        <f>IF('数据-取费表'!B22&lt;=1,"单利计息。","复利计息。")&amp;"建造成本、管理费用及销售费用产生的利息。"</f>
        <v>复利计息。建造成本、管理费用及销售费用产生的利息。</v>
      </c>
      <c r="H21" s="1857"/>
      <c r="I21" s="1857"/>
      <c r="J21" s="1857"/>
      <c r="K21" s="1927"/>
      <c r="L21" s="1929" t="s">
        <v>1080</v>
      </c>
    </row>
    <row r="22" spans="1:14" s="1829" customFormat="1" ht="13.5" customHeight="1">
      <c r="A22" s="1858" t="s">
        <v>877</v>
      </c>
      <c r="B22" s="1881" t="s">
        <v>1081</v>
      </c>
      <c r="C22" s="1882">
        <f ca="1">ROUND(IF('数据-取费表'!B22&lt;=1,(C18+C19)*F21*'数据-取费表'!B20/2,(C18+C19)*(POWER((1+F21),'数据-取费表'!B20/2)-1)),0)</f>
        <v>788</v>
      </c>
      <c r="D22" s="1883"/>
      <c r="E22" s="1884"/>
      <c r="F22" s="1885"/>
      <c r="G22" s="1886" t="str">
        <f>IF('数据-取费表'!B22&lt;=1,"((1)+(2))×年利率×建设期÷2","((1)+(2))×((1+年利率)^(建设期÷2)-1)")</f>
        <v>((1)+(2))×((1+年利率)^(建设期÷2)-1)</v>
      </c>
      <c r="H22" s="1867"/>
      <c r="I22" s="1867"/>
      <c r="J22" s="1867"/>
      <c r="K22" s="1928"/>
    </row>
    <row r="23" spans="1:14" s="1829" customFormat="1" ht="13.5" customHeight="1">
      <c r="A23" s="1858" t="s">
        <v>1021</v>
      </c>
      <c r="B23" s="1881" t="s">
        <v>1082</v>
      </c>
      <c r="C23" s="1887">
        <f ca="1">ROUND(IF('数据-取费表'!B22&lt;=1,F20*F21*'数据-取费表'!B20/2,F20*(POWER((1+F21),'数据-取费表'!B20/2)-1)),4)</f>
        <v>5.0000000000000001E-4</v>
      </c>
      <c r="D23" s="1883"/>
      <c r="E23" s="1884"/>
      <c r="F23" s="1885"/>
      <c r="G23" s="1886" t="str">
        <f>IF('数据-取费表'!B22&lt;=1,"销售费用率×年利率×建设期÷2","销售费用率×((1+年利率)^(建设期÷2)-1)")</f>
        <v>销售费用率×((1+年利率)^(建设期÷2)-1)</v>
      </c>
      <c r="H23" s="1867"/>
      <c r="I23" s="1867"/>
      <c r="J23" s="1867"/>
      <c r="K23" s="1928"/>
    </row>
    <row r="24" spans="1:14" s="1829" customFormat="1" ht="13.5" customHeight="1">
      <c r="A24" s="1868" t="s">
        <v>1046</v>
      </c>
      <c r="B24" s="1888" t="s">
        <v>1064</v>
      </c>
      <c r="C24" s="1889">
        <f ca="1">C25</f>
        <v>1327</v>
      </c>
      <c r="D24" s="1890">
        <f ca="1">C26</f>
        <v>8.0000000000000004E-4</v>
      </c>
      <c r="E24" s="1876" t="s">
        <v>1079</v>
      </c>
      <c r="F24" s="1807">
        <f ca="1">IF(B1="",'数据-取费表'!Q16,INDIRECT("'数据-取费表'!q"&amp;$K$1))</f>
        <v>0.08</v>
      </c>
      <c r="G24" s="1854"/>
      <c r="H24" s="1857"/>
      <c r="I24" s="1857"/>
      <c r="J24" s="1857"/>
      <c r="K24" s="1927"/>
    </row>
    <row r="25" spans="1:14" s="1829" customFormat="1" ht="13.5" customHeight="1">
      <c r="A25" s="1858" t="s">
        <v>877</v>
      </c>
      <c r="B25" s="1881" t="s">
        <v>1083</v>
      </c>
      <c r="C25" s="182">
        <f ca="1">ROUND((C18+C19)*F24,0)</f>
        <v>1327</v>
      </c>
      <c r="D25" s="1883"/>
      <c r="E25" s="1884"/>
      <c r="F25" s="1891"/>
      <c r="G25" s="1892" t="s">
        <v>1084</v>
      </c>
      <c r="H25" s="1867"/>
      <c r="I25" s="1867"/>
      <c r="J25" s="1867"/>
      <c r="K25" s="1928"/>
    </row>
    <row r="26" spans="1:14" s="1829" customFormat="1" ht="13.5" customHeight="1">
      <c r="A26" s="1858" t="s">
        <v>1021</v>
      </c>
      <c r="B26" s="1881" t="s">
        <v>1085</v>
      </c>
      <c r="C26" s="183">
        <f ca="1">ROUND(F20*F24,4)</f>
        <v>8.0000000000000004E-4</v>
      </c>
      <c r="D26" s="1883"/>
      <c r="E26" s="1893"/>
      <c r="F26" s="1891"/>
      <c r="G26" s="1892" t="s">
        <v>1086</v>
      </c>
      <c r="H26" s="1867"/>
      <c r="I26" s="1867"/>
      <c r="J26" s="1867"/>
      <c r="K26" s="1928"/>
    </row>
    <row r="27" spans="1:14" s="1829" customFormat="1" ht="13.5" customHeight="1">
      <c r="A27" s="1894" t="s">
        <v>911</v>
      </c>
      <c r="B27" s="1869" t="s">
        <v>1058</v>
      </c>
      <c r="C27" s="1895">
        <f>ROUND(F27/(1+'数据-取费表'!C42),4)</f>
        <v>5.3600000000000002E-2</v>
      </c>
      <c r="D27" s="1872" t="s">
        <v>1079</v>
      </c>
      <c r="E27" s="1872"/>
      <c r="F27" s="1874">
        <f>'数据-取费表'!B41</f>
        <v>5.6300000000000003E-2</v>
      </c>
      <c r="G27" s="1896" t="s">
        <v>1087</v>
      </c>
      <c r="H27" s="1857"/>
      <c r="I27" s="1857"/>
      <c r="J27" s="1857"/>
      <c r="K27" s="1927"/>
    </row>
    <row r="28" spans="1:14" s="1828" customFormat="1" ht="13.5" customHeight="1">
      <c r="A28" s="1894" t="s">
        <v>1088</v>
      </c>
      <c r="B28" s="1897" t="s">
        <v>1089</v>
      </c>
      <c r="C28" s="1878">
        <f ca="1">ROUND((C18+C19+C21+C24)/(1-C20-D21-D24-C27),0)</f>
        <v>20006</v>
      </c>
      <c r="D28" s="1898"/>
      <c r="E28" s="1876"/>
      <c r="F28" s="1880"/>
      <c r="G28" s="1873" t="s">
        <v>1090</v>
      </c>
      <c r="H28" s="1857"/>
      <c r="I28" s="1857"/>
      <c r="J28" s="1857"/>
      <c r="K28" s="1927"/>
    </row>
    <row r="29" spans="1:14" s="1828" customFormat="1" ht="13.5" customHeight="1">
      <c r="A29" s="1894" t="s">
        <v>1091</v>
      </c>
      <c r="B29" s="1897" t="s">
        <v>1092</v>
      </c>
      <c r="C29" s="1899">
        <f ca="1">IF(B1="",'数据-取费表'!N16,INDIRECT("'数据-取费表'!N"&amp;$K$1))</f>
        <v>0</v>
      </c>
      <c r="D29" s="1900"/>
      <c r="E29" s="1901"/>
      <c r="F29" s="1902"/>
      <c r="G29" s="1854"/>
      <c r="H29" s="1857"/>
      <c r="I29" s="1857"/>
      <c r="J29" s="1857"/>
      <c r="K29" s="1927"/>
    </row>
    <row r="30" spans="1:14" s="1828" customFormat="1" ht="13.5" customHeight="1">
      <c r="A30" s="1903">
        <v>2</v>
      </c>
      <c r="B30" s="1897" t="s">
        <v>1093</v>
      </c>
      <c r="C30" s="1904">
        <f ca="1">ROUND(C28*C29,0)</f>
        <v>0</v>
      </c>
      <c r="D30" s="1900"/>
      <c r="E30" s="1905"/>
      <c r="F30" s="1906"/>
      <c r="G30" s="1907" t="s">
        <v>1094</v>
      </c>
      <c r="H30" s="1908"/>
      <c r="I30" s="1908"/>
      <c r="J30" s="1857"/>
      <c r="K30" s="1927"/>
    </row>
    <row r="31" spans="1:14" s="1830" customFormat="1" ht="13.5" customHeight="1">
      <c r="A31" s="1909" t="s">
        <v>1095</v>
      </c>
      <c r="B31" s="1910"/>
      <c r="C31" s="1911">
        <f>ROUND(C6*F31/(1+'数据-取费表'!C42),0)</f>
        <v>0</v>
      </c>
      <c r="D31" s="1912"/>
      <c r="E31" s="1912"/>
      <c r="F31" s="1913">
        <f>'数据-取费表'!B41</f>
        <v>5.6300000000000003E-2</v>
      </c>
      <c r="G31" s="1914"/>
      <c r="H31" s="1914"/>
      <c r="I31" s="1914"/>
      <c r="J31" s="1930"/>
      <c r="K31" s="1931"/>
    </row>
    <row r="32" spans="1:14" s="830" customFormat="1" ht="13.5" customHeight="1">
      <c r="A32" s="1915" t="s">
        <v>1096</v>
      </c>
      <c r="B32" s="1916"/>
      <c r="C32" s="1917">
        <f ca="1">IF('数据-取费表'!B20&lt;=1,(C6-C30-C31)/(1+F21*'数据-取费表'!B20+F24)/(1+'数据-取费表'!B48+'数据-取费表'!B49),(C6-C30-C31)/(1+(POWER((1+F21),'数据-取费表'!B20)-1)+F24)/(1+'数据-取费表'!B48+'数据-取费表'!B49))</f>
        <v>0</v>
      </c>
      <c r="D32" s="1916"/>
      <c r="E32" s="1916"/>
      <c r="F32" s="1916"/>
      <c r="G32" s="1918" t="s">
        <v>1097</v>
      </c>
      <c r="H32" s="1916"/>
      <c r="I32" s="1916"/>
      <c r="J32" s="1916"/>
      <c r="K32" s="1932"/>
    </row>
    <row r="34" ht="12.75" customHeight="1"/>
  </sheetData>
  <sheetProtection password="C66D" sheet="1" objects="1" scenarios="1" formatCells="0" formatColumns="0" formatRows="0"/>
  <phoneticPr fontId="224"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914</v>
      </c>
      <c r="B1" s="529"/>
      <c r="C1" s="200" t="s">
        <v>1098</v>
      </c>
      <c r="D1" s="1725" t="s">
        <v>916</v>
      </c>
      <c r="E1" s="1726"/>
      <c r="F1" s="707"/>
      <c r="G1" s="1726"/>
      <c r="H1" s="1726"/>
      <c r="I1" s="1726"/>
      <c r="J1" s="1726"/>
      <c r="K1" s="1786"/>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172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8" t="s">
        <v>918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9" t="s">
        <v>919</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921</v>
      </c>
      <c r="B6" s="215"/>
      <c r="C6" s="3315" t="s">
        <v>922</v>
      </c>
      <c r="D6" s="3316"/>
      <c r="E6" s="3356" t="s">
        <v>923</v>
      </c>
      <c r="F6" s="3357"/>
      <c r="G6" s="3315" t="s">
        <v>924</v>
      </c>
      <c r="H6" s="3316"/>
      <c r="I6" s="3315" t="s">
        <v>925</v>
      </c>
      <c r="J6" s="3316"/>
      <c r="K6" s="376" t="s">
        <v>926</v>
      </c>
      <c r="L6" s="377"/>
      <c r="M6" s="378"/>
      <c r="N6" s="378"/>
      <c r="O6" s="378"/>
      <c r="P6" s="3343" t="s">
        <v>927</v>
      </c>
      <c r="Q6" s="3344"/>
      <c r="R6" s="3349" t="s">
        <v>923</v>
      </c>
      <c r="S6" s="3350"/>
      <c r="T6" s="3349" t="s">
        <v>924</v>
      </c>
      <c r="U6" s="3350"/>
      <c r="V6" s="3335" t="s">
        <v>925</v>
      </c>
      <c r="W6" s="3335"/>
      <c r="X6" s="443"/>
      <c r="Y6" s="3349" t="s">
        <v>927</v>
      </c>
      <c r="Z6" s="3350"/>
      <c r="AA6" s="3336" t="s">
        <v>923</v>
      </c>
      <c r="AB6" s="3337" t="s">
        <v>924</v>
      </c>
      <c r="AC6" s="3336" t="s">
        <v>925</v>
      </c>
    </row>
    <row r="7" spans="1:29" ht="15">
      <c r="A7" s="216"/>
      <c r="B7" s="217"/>
      <c r="C7" s="3358" t="s">
        <v>1099</v>
      </c>
      <c r="D7" s="3318"/>
      <c r="E7" s="3359" t="s">
        <v>1100</v>
      </c>
      <c r="F7" s="3360"/>
      <c r="G7" s="3358" t="s">
        <v>1101</v>
      </c>
      <c r="H7" s="3318"/>
      <c r="I7" s="3358" t="s">
        <v>1102</v>
      </c>
      <c r="J7" s="3318"/>
      <c r="K7" s="376"/>
      <c r="L7" s="377"/>
      <c r="M7" s="378"/>
      <c r="N7" s="378"/>
      <c r="O7" s="378"/>
      <c r="P7" s="3345"/>
      <c r="Q7" s="3346"/>
      <c r="R7" s="3351"/>
      <c r="S7" s="3352"/>
      <c r="T7" s="3351"/>
      <c r="U7" s="3352"/>
      <c r="V7" s="3335"/>
      <c r="W7" s="3335"/>
      <c r="X7" s="443"/>
      <c r="Y7" s="3351"/>
      <c r="Z7" s="3352"/>
      <c r="AA7" s="3337"/>
      <c r="AB7" s="3337"/>
      <c r="AC7" s="3337"/>
    </row>
    <row r="8" spans="1:29" ht="15">
      <c r="A8" s="218"/>
      <c r="B8" s="219"/>
      <c r="C8" s="3321" t="s">
        <v>1103</v>
      </c>
      <c r="D8" s="3322"/>
      <c r="E8" s="3361" t="s">
        <v>1103</v>
      </c>
      <c r="F8" s="3362"/>
      <c r="G8" s="3321" t="s">
        <v>1103</v>
      </c>
      <c r="H8" s="3322"/>
      <c r="I8" s="3321" t="s">
        <v>1103</v>
      </c>
      <c r="J8" s="3322"/>
      <c r="K8" s="376" t="s">
        <v>932</v>
      </c>
      <c r="L8" s="377"/>
      <c r="M8" s="378"/>
      <c r="N8" s="378"/>
      <c r="O8" s="378"/>
      <c r="P8" s="3347"/>
      <c r="Q8" s="3348"/>
      <c r="R8" s="3351"/>
      <c r="S8" s="3352"/>
      <c r="T8" s="3353"/>
      <c r="U8" s="3354"/>
      <c r="V8" s="3335"/>
      <c r="W8" s="3335"/>
      <c r="X8" s="443"/>
      <c r="Y8" s="3353"/>
      <c r="Z8" s="3354"/>
      <c r="AA8" s="3338"/>
      <c r="AB8" s="3338"/>
      <c r="AC8" s="3338"/>
    </row>
    <row r="9" spans="1:29" s="190" customFormat="1" ht="15">
      <c r="A9" s="220"/>
      <c r="B9" s="221" t="s">
        <v>933</v>
      </c>
      <c r="C9" s="222">
        <f>'数据-取费表'!B2</f>
        <v>43600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23" t="s">
        <v>934</v>
      </c>
      <c r="Q9" s="3324"/>
      <c r="R9" s="444" t="s">
        <v>935</v>
      </c>
      <c r="S9" s="445">
        <f t="shared" ref="S9:S17" si="0">F9</f>
        <v>0</v>
      </c>
      <c r="T9" s="444" t="s">
        <v>935</v>
      </c>
      <c r="U9" s="445">
        <f t="shared" ref="U9:U17" si="1">H9</f>
        <v>0</v>
      </c>
      <c r="V9" s="444" t="s">
        <v>935</v>
      </c>
      <c r="W9" s="445">
        <f t="shared" ref="W9:W17" si="2">J9</f>
        <v>0</v>
      </c>
      <c r="X9" s="446"/>
      <c r="Y9" s="3323" t="s">
        <v>934</v>
      </c>
      <c r="Z9" s="3355"/>
      <c r="AA9" s="463" t="e">
        <f>D9/F9</f>
        <v>#DIV/0!</v>
      </c>
      <c r="AB9" s="463" t="e">
        <f>D9/H9</f>
        <v>#DIV/0!</v>
      </c>
      <c r="AC9" s="463" t="e">
        <f>D9/J9</f>
        <v>#DIV/0!</v>
      </c>
    </row>
    <row r="10" spans="1:29" s="190" customFormat="1" ht="15">
      <c r="A10" s="227"/>
      <c r="B10" s="228" t="s">
        <v>936</v>
      </c>
      <c r="C10" s="229" t="s">
        <v>937</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23" t="s">
        <v>939</v>
      </c>
      <c r="Q10" s="3355"/>
      <c r="R10" s="444" t="s">
        <v>935</v>
      </c>
      <c r="S10" s="445">
        <f t="shared" si="0"/>
        <v>0</v>
      </c>
      <c r="T10" s="444" t="s">
        <v>935</v>
      </c>
      <c r="U10" s="445">
        <f t="shared" si="1"/>
        <v>0</v>
      </c>
      <c r="V10" s="444" t="s">
        <v>935</v>
      </c>
      <c r="W10" s="445">
        <f t="shared" si="2"/>
        <v>0</v>
      </c>
      <c r="X10" s="446"/>
      <c r="Y10" s="3323" t="s">
        <v>939</v>
      </c>
      <c r="Z10" s="3355"/>
      <c r="AA10" s="463" t="e">
        <f t="shared" ref="AA10:AA42" si="3">D10/F10</f>
        <v>#DIV/0!</v>
      </c>
      <c r="AB10" s="463" t="e">
        <f t="shared" ref="AB10:AB42" si="4">D10/H10</f>
        <v>#DIV/0!</v>
      </c>
      <c r="AC10" s="463" t="e">
        <f t="shared" ref="AC10:AC42" si="5">D10/J10</f>
        <v>#DIV/0!</v>
      </c>
    </row>
    <row r="11" spans="1:29" s="190" customFormat="1" ht="15">
      <c r="A11" s="230"/>
      <c r="B11" s="231" t="s">
        <v>940</v>
      </c>
      <c r="C11" s="1730"/>
      <c r="D11" s="233">
        <v>100</v>
      </c>
      <c r="E11" s="1730"/>
      <c r="F11" s="233">
        <f>SUMIF(72:72,E11,73:73)-SUMIF(72:72,C11,73:73)+100</f>
        <v>100</v>
      </c>
      <c r="G11" s="1730"/>
      <c r="H11" s="233">
        <f>SUMIF(72:72,G11,73:73)-SUMIF(72:72,C11,73:73)+100</f>
        <v>100</v>
      </c>
      <c r="I11" s="1730"/>
      <c r="J11" s="233">
        <f>SUMIF(72:72,I11,73:73)-SUMIF(72:72,C11,73:73)+100</f>
        <v>100</v>
      </c>
      <c r="K11" s="379"/>
      <c r="L11" s="380"/>
      <c r="M11" s="381"/>
      <c r="N11" s="381"/>
      <c r="O11" s="382"/>
      <c r="P11" s="3326" t="s">
        <v>942</v>
      </c>
      <c r="Q11" s="447" t="str">
        <f t="shared" ref="Q11:Q17" si="6">B11</f>
        <v>用途</v>
      </c>
      <c r="R11" s="444" t="s">
        <v>935</v>
      </c>
      <c r="S11" s="445">
        <f t="shared" si="0"/>
        <v>100</v>
      </c>
      <c r="T11" s="444" t="s">
        <v>935</v>
      </c>
      <c r="U11" s="445">
        <f t="shared" si="1"/>
        <v>100</v>
      </c>
      <c r="V11" s="444" t="s">
        <v>935</v>
      </c>
      <c r="W11" s="445">
        <f t="shared" si="2"/>
        <v>100</v>
      </c>
      <c r="X11" s="446"/>
      <c r="Y11" s="3314" t="s">
        <v>943</v>
      </c>
      <c r="Z11" s="464" t="str">
        <f t="shared" ref="Z11:Z17" si="7">Q11</f>
        <v>用途</v>
      </c>
      <c r="AA11" s="463">
        <f t="shared" si="3"/>
        <v>1</v>
      </c>
      <c r="AB11" s="463">
        <f t="shared" si="4"/>
        <v>1</v>
      </c>
      <c r="AC11" s="463">
        <f t="shared" si="5"/>
        <v>1</v>
      </c>
    </row>
    <row r="12" spans="1:29" s="191" customFormat="1" ht="27">
      <c r="A12" s="235"/>
      <c r="B12" s="228" t="s">
        <v>944</v>
      </c>
      <c r="C12" s="241"/>
      <c r="D12" s="237">
        <v>100</v>
      </c>
      <c r="E12" s="241"/>
      <c r="F12" s="237">
        <f>ROUND(100/'数据-取费表'!G16,0)</f>
        <v>100</v>
      </c>
      <c r="G12" s="241"/>
      <c r="H12" s="237">
        <f>ROUND(100/'数据-取费表'!G16,0)</f>
        <v>100</v>
      </c>
      <c r="I12" s="241"/>
      <c r="J12" s="237">
        <f>ROUND(100/'数据-取费表'!G16,0)</f>
        <v>100</v>
      </c>
      <c r="K12" s="1787"/>
      <c r="L12" s="385"/>
      <c r="M12" s="386"/>
      <c r="N12" s="386"/>
      <c r="O12" s="387"/>
      <c r="P12" s="3326"/>
      <c r="Q12" s="447" t="str">
        <f t="shared" si="6"/>
        <v>土地使用年限（年）</v>
      </c>
      <c r="R12" s="444" t="s">
        <v>935</v>
      </c>
      <c r="S12" s="445">
        <f t="shared" si="0"/>
        <v>100</v>
      </c>
      <c r="T12" s="444" t="s">
        <v>935</v>
      </c>
      <c r="U12" s="445">
        <f t="shared" si="1"/>
        <v>100</v>
      </c>
      <c r="V12" s="444" t="s">
        <v>935</v>
      </c>
      <c r="W12" s="445">
        <f t="shared" si="2"/>
        <v>100</v>
      </c>
      <c r="X12" s="446"/>
      <c r="Y12" s="3314"/>
      <c r="Z12" s="464" t="str">
        <f t="shared" si="7"/>
        <v>土地使用年限（年）</v>
      </c>
      <c r="AA12" s="463">
        <f t="shared" si="3"/>
        <v>1</v>
      </c>
      <c r="AB12" s="463">
        <f t="shared" si="4"/>
        <v>1</v>
      </c>
      <c r="AC12" s="463">
        <f t="shared" si="5"/>
        <v>1</v>
      </c>
    </row>
    <row r="13" spans="1:29" ht="15">
      <c r="A13" s="530"/>
      <c r="B13" s="228" t="s">
        <v>946</v>
      </c>
      <c r="C13" s="531"/>
      <c r="D13" s="237">
        <v>100</v>
      </c>
      <c r="E13" s="531"/>
      <c r="F13" s="237" t="e">
        <f>LOOKUP(E13,77:77,78:78)-LOOKUP(C13,77:77,78:78)+100</f>
        <v>#N/A</v>
      </c>
      <c r="G13" s="532"/>
      <c r="H13" s="237" t="e">
        <f>LOOKUP(G13,77:77,78:78)-LOOKUP(C13,77:77,78:78)+100</f>
        <v>#N/A</v>
      </c>
      <c r="I13" s="531"/>
      <c r="J13" s="237" t="e">
        <f>LOOKUP(I13,77:77,78:78)-LOOKUP(C13,77:77,78:78)+100</f>
        <v>#N/A</v>
      </c>
      <c r="K13" s="1788"/>
      <c r="L13" s="389"/>
      <c r="M13" s="378"/>
      <c r="N13" s="378"/>
      <c r="O13" s="390"/>
      <c r="P13" s="3326"/>
      <c r="Q13" s="447" t="str">
        <f t="shared" si="6"/>
        <v>容积率</v>
      </c>
      <c r="R13" s="444" t="s">
        <v>935</v>
      </c>
      <c r="S13" s="445" t="e">
        <f t="shared" si="0"/>
        <v>#N/A</v>
      </c>
      <c r="T13" s="444" t="s">
        <v>935</v>
      </c>
      <c r="U13" s="445" t="e">
        <f t="shared" si="1"/>
        <v>#N/A</v>
      </c>
      <c r="V13" s="444" t="s">
        <v>935</v>
      </c>
      <c r="W13" s="445" t="e">
        <f t="shared" si="2"/>
        <v>#N/A</v>
      </c>
      <c r="X13" s="446"/>
      <c r="Y13" s="331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1"/>
      <c r="H14" s="237">
        <f>SUMIF(79:79,G14,80:80)-SUMIF(79:79,C14,80:80)+100</f>
        <v>100</v>
      </c>
      <c r="I14" s="360"/>
      <c r="J14" s="237">
        <f>SUMIF(79:79,I14,80:80)-SUMIF(79:79,C14,80:80)+100</f>
        <v>100</v>
      </c>
      <c r="K14" s="1787"/>
      <c r="L14" s="380"/>
      <c r="M14" s="381"/>
      <c r="N14" s="381"/>
      <c r="O14" s="382"/>
      <c r="P14" s="3326"/>
      <c r="Q14" s="447">
        <f t="shared" si="6"/>
        <v>111</v>
      </c>
      <c r="R14" s="444" t="s">
        <v>935</v>
      </c>
      <c r="S14" s="445">
        <f t="shared" si="0"/>
        <v>100</v>
      </c>
      <c r="T14" s="444" t="s">
        <v>935</v>
      </c>
      <c r="U14" s="445">
        <f t="shared" si="1"/>
        <v>100</v>
      </c>
      <c r="V14" s="444" t="s">
        <v>935</v>
      </c>
      <c r="W14" s="445">
        <f t="shared" si="2"/>
        <v>100</v>
      </c>
      <c r="X14" s="446"/>
      <c r="Y14" s="331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1"/>
      <c r="H15" s="247">
        <f>SUMIF(81:81,G15,82:82)-SUMIF(81:81,C15,82:82)+100</f>
        <v>100</v>
      </c>
      <c r="I15" s="360"/>
      <c r="J15" s="247">
        <f>SUMIF(81:81,I15,82:82)-SUMIF(81:81,C15,82:82)+100</f>
        <v>100</v>
      </c>
      <c r="K15" s="1787"/>
      <c r="L15" s="391"/>
      <c r="M15" s="378"/>
      <c r="N15" s="378"/>
      <c r="O15" s="390"/>
      <c r="P15" s="3326"/>
      <c r="Q15" s="447">
        <f t="shared" si="6"/>
        <v>111</v>
      </c>
      <c r="R15" s="444" t="s">
        <v>935</v>
      </c>
      <c r="S15" s="445">
        <f t="shared" si="0"/>
        <v>100</v>
      </c>
      <c r="T15" s="444" t="s">
        <v>935</v>
      </c>
      <c r="U15" s="445">
        <f t="shared" si="1"/>
        <v>100</v>
      </c>
      <c r="V15" s="444" t="s">
        <v>935</v>
      </c>
      <c r="W15" s="445">
        <f t="shared" si="2"/>
        <v>100</v>
      </c>
      <c r="X15" s="446"/>
      <c r="Y15" s="331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1"/>
      <c r="H16" s="300">
        <f>SUMIF(83:83,G16,84:84)-SUMIF(83:83,C16,84:84)+100</f>
        <v>100</v>
      </c>
      <c r="I16" s="360"/>
      <c r="J16" s="300">
        <f>SUMIF(83:83,I16,84:84)-SUMIF(83:83,C16,84:84)+100</f>
        <v>100</v>
      </c>
      <c r="K16" s="1787"/>
      <c r="L16" s="391"/>
      <c r="M16" s="378"/>
      <c r="N16" s="378"/>
      <c r="O16" s="390"/>
      <c r="P16" s="3326"/>
      <c r="Q16" s="447">
        <f t="shared" si="6"/>
        <v>111</v>
      </c>
      <c r="R16" s="444" t="s">
        <v>935</v>
      </c>
      <c r="S16" s="445">
        <f t="shared" si="0"/>
        <v>100</v>
      </c>
      <c r="T16" s="444" t="s">
        <v>935</v>
      </c>
      <c r="U16" s="445">
        <f t="shared" si="1"/>
        <v>100</v>
      </c>
      <c r="V16" s="444" t="s">
        <v>935</v>
      </c>
      <c r="W16" s="445">
        <f t="shared" si="2"/>
        <v>100</v>
      </c>
      <c r="X16" s="446"/>
      <c r="Y16" s="3314"/>
      <c r="Z16" s="464">
        <f t="shared" si="7"/>
        <v>111</v>
      </c>
      <c r="AA16" s="463">
        <f t="shared" si="3"/>
        <v>1</v>
      </c>
      <c r="AB16" s="463">
        <f t="shared" si="4"/>
        <v>1</v>
      </c>
      <c r="AC16" s="463">
        <f t="shared" si="5"/>
        <v>1</v>
      </c>
    </row>
    <row r="17" spans="1:29" ht="57">
      <c r="A17" s="248" t="s">
        <v>948</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8"/>
      <c r="L17" s="391"/>
      <c r="M17" s="378"/>
      <c r="N17" s="378"/>
      <c r="O17" s="390"/>
      <c r="P17" s="3327" t="s">
        <v>949</v>
      </c>
      <c r="Q17" s="383" t="str">
        <f t="shared" si="6"/>
        <v>产业集聚程度</v>
      </c>
      <c r="R17" s="448" t="s">
        <v>935</v>
      </c>
      <c r="S17" s="449">
        <f t="shared" si="0"/>
        <v>100</v>
      </c>
      <c r="T17" s="448" t="s">
        <v>935</v>
      </c>
      <c r="U17" s="449">
        <f t="shared" si="1"/>
        <v>100</v>
      </c>
      <c r="V17" s="448" t="s">
        <v>935</v>
      </c>
      <c r="W17" s="449">
        <f t="shared" si="2"/>
        <v>100</v>
      </c>
      <c r="X17" s="443"/>
      <c r="Y17" s="3327" t="s">
        <v>949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7"/>
      <c r="L18" s="391"/>
      <c r="M18" s="378"/>
      <c r="N18" s="378"/>
      <c r="O18" s="390"/>
      <c r="P18" s="3328"/>
      <c r="Q18" s="383"/>
      <c r="R18" s="448"/>
      <c r="S18" s="449"/>
      <c r="T18" s="448"/>
      <c r="U18" s="449"/>
      <c r="V18" s="448"/>
      <c r="W18" s="449"/>
      <c r="X18" s="443"/>
      <c r="Y18" s="3328"/>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8"/>
      <c r="L19" s="391"/>
      <c r="M19" s="378"/>
      <c r="N19" s="378"/>
      <c r="O19" s="390"/>
      <c r="P19" s="3328"/>
      <c r="Q19" s="383" t="str">
        <f>B19</f>
        <v>交通便捷度</v>
      </c>
      <c r="R19" s="448" t="s">
        <v>935</v>
      </c>
      <c r="S19" s="449">
        <f>F19</f>
        <v>100</v>
      </c>
      <c r="T19" s="448" t="s">
        <v>935</v>
      </c>
      <c r="U19" s="449">
        <f>H19</f>
        <v>100</v>
      </c>
      <c r="V19" s="448" t="s">
        <v>935</v>
      </c>
      <c r="W19" s="449">
        <f>J19</f>
        <v>100</v>
      </c>
      <c r="X19" s="443"/>
      <c r="Y19" s="3328"/>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7"/>
      <c r="L20" s="391"/>
      <c r="M20" s="378"/>
      <c r="N20" s="378"/>
      <c r="O20" s="390"/>
      <c r="P20" s="3328"/>
      <c r="Q20" s="383"/>
      <c r="R20" s="448"/>
      <c r="S20" s="449"/>
      <c r="T20" s="448"/>
      <c r="U20" s="449"/>
      <c r="V20" s="448"/>
      <c r="W20" s="449"/>
      <c r="X20" s="443"/>
      <c r="Y20" s="3328"/>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9"/>
      <c r="L21" s="391"/>
      <c r="M21" s="378"/>
      <c r="N21" s="378"/>
      <c r="O21" s="390"/>
      <c r="P21" s="3328"/>
      <c r="Q21" s="383" t="str">
        <f t="shared" ref="Q21:Q36" si="8">B21</f>
        <v>区域土地利用方向</v>
      </c>
      <c r="R21" s="448" t="s">
        <v>935</v>
      </c>
      <c r="S21" s="449">
        <f>F21</f>
        <v>100</v>
      </c>
      <c r="T21" s="448" t="s">
        <v>935</v>
      </c>
      <c r="U21" s="449">
        <f>H21</f>
        <v>100</v>
      </c>
      <c r="V21" s="448" t="s">
        <v>935</v>
      </c>
      <c r="W21" s="449">
        <f>J21</f>
        <v>100</v>
      </c>
      <c r="X21" s="443"/>
      <c r="Y21" s="3328"/>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0"/>
      <c r="L22" s="391"/>
      <c r="M22" s="378"/>
      <c r="N22" s="378"/>
      <c r="O22" s="390"/>
      <c r="P22" s="3328"/>
      <c r="Q22" s="383"/>
      <c r="R22" s="448"/>
      <c r="S22" s="449"/>
      <c r="T22" s="448"/>
      <c r="U22" s="449"/>
      <c r="V22" s="448"/>
      <c r="W22" s="449"/>
      <c r="X22" s="443"/>
      <c r="Y22" s="3328"/>
      <c r="Z22" s="442"/>
      <c r="AA22" s="454"/>
      <c r="AB22" s="454"/>
      <c r="AC22" s="454"/>
    </row>
    <row r="23" spans="1:29" ht="71.25">
      <c r="A23" s="216"/>
      <c r="B23" s="538" t="s">
        <v>1104</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8"/>
      <c r="L23" s="391"/>
      <c r="M23" s="378"/>
      <c r="N23" s="378"/>
      <c r="O23" s="390"/>
      <c r="P23" s="3328"/>
      <c r="Q23" s="383" t="str">
        <f t="shared" si="8"/>
        <v>环境状况</v>
      </c>
      <c r="R23" s="448" t="s">
        <v>935</v>
      </c>
      <c r="S23" s="449">
        <f>F23</f>
        <v>100</v>
      </c>
      <c r="T23" s="448" t="s">
        <v>935</v>
      </c>
      <c r="U23" s="449">
        <f>H23</f>
        <v>100</v>
      </c>
      <c r="V23" s="448" t="s">
        <v>935</v>
      </c>
      <c r="W23" s="449">
        <f>J23</f>
        <v>100</v>
      </c>
      <c r="X23" s="443"/>
      <c r="Y23" s="3328"/>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7"/>
      <c r="L24" s="391"/>
      <c r="M24" s="378"/>
      <c r="N24" s="378"/>
      <c r="O24" s="390"/>
      <c r="P24" s="3328"/>
      <c r="Q24" s="383"/>
      <c r="R24" s="448"/>
      <c r="S24" s="449"/>
      <c r="T24" s="448"/>
      <c r="U24" s="449"/>
      <c r="V24" s="448"/>
      <c r="W24" s="449"/>
      <c r="X24" s="443"/>
      <c r="Y24" s="3328"/>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8"/>
      <c r="L25" s="380"/>
      <c r="M25" s="381"/>
      <c r="N25" s="381"/>
      <c r="O25" s="382"/>
      <c r="P25" s="3328"/>
      <c r="Q25" s="447" t="str">
        <f t="shared" si="8"/>
        <v>公共配套设施</v>
      </c>
      <c r="R25" s="444" t="s">
        <v>935</v>
      </c>
      <c r="S25" s="445">
        <f>F25</f>
        <v>100</v>
      </c>
      <c r="T25" s="444" t="s">
        <v>935</v>
      </c>
      <c r="U25" s="445">
        <f>H25</f>
        <v>100</v>
      </c>
      <c r="V25" s="444" t="s">
        <v>935</v>
      </c>
      <c r="W25" s="445">
        <f>J25</f>
        <v>100</v>
      </c>
      <c r="X25" s="446"/>
      <c r="Y25" s="3328"/>
      <c r="Z25" s="464" t="str">
        <f>Q25</f>
        <v>公共配套设施</v>
      </c>
      <c r="AA25" s="454">
        <f>D25/F25</f>
        <v>1</v>
      </c>
      <c r="AB25" s="454">
        <f>D25/H25</f>
        <v>1</v>
      </c>
      <c r="AC25" s="454">
        <f>D25/J25</f>
        <v>1</v>
      </c>
    </row>
    <row r="26" spans="1:29" s="190" customFormat="1" ht="15">
      <c r="A26" s="502"/>
      <c r="B26" s="275"/>
      <c r="C26" s="1732"/>
      <c r="D26" s="258"/>
      <c r="E26" s="569"/>
      <c r="F26" s="258"/>
      <c r="G26" s="569"/>
      <c r="H26" s="258"/>
      <c r="I26" s="257"/>
      <c r="J26" s="258"/>
      <c r="K26" s="1787"/>
      <c r="L26" s="380"/>
      <c r="M26" s="381"/>
      <c r="N26" s="381"/>
      <c r="O26" s="382"/>
      <c r="P26" s="3328"/>
      <c r="Q26" s="447"/>
      <c r="R26" s="444"/>
      <c r="S26" s="445"/>
      <c r="T26" s="444"/>
      <c r="U26" s="445"/>
      <c r="V26" s="444"/>
      <c r="W26" s="445"/>
      <c r="X26" s="446"/>
      <c r="Y26" s="3328"/>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8"/>
      <c r="L27" s="380"/>
      <c r="M27" s="381"/>
      <c r="N27" s="381"/>
      <c r="O27" s="382"/>
      <c r="P27" s="3328"/>
      <c r="Q27" s="447" t="str">
        <f t="shared" ref="Q27" si="9">B27</f>
        <v>基础设施水平</v>
      </c>
      <c r="R27" s="444" t="s">
        <v>935</v>
      </c>
      <c r="S27" s="445">
        <f>F27</f>
        <v>100</v>
      </c>
      <c r="T27" s="444" t="s">
        <v>935</v>
      </c>
      <c r="U27" s="445">
        <f>H27</f>
        <v>100</v>
      </c>
      <c r="V27" s="444" t="s">
        <v>935</v>
      </c>
      <c r="W27" s="445">
        <f>J27</f>
        <v>100</v>
      </c>
      <c r="X27" s="446"/>
      <c r="Y27" s="3328"/>
      <c r="Z27" s="464" t="str">
        <f>Q27</f>
        <v>基础设施水平</v>
      </c>
      <c r="AA27" s="454">
        <f>D27/F27</f>
        <v>1</v>
      </c>
      <c r="AB27" s="454">
        <f>D27/H27</f>
        <v>1</v>
      </c>
      <c r="AC27" s="454">
        <f>D27/J27</f>
        <v>1</v>
      </c>
    </row>
    <row r="28" spans="1:29" s="190" customFormat="1" ht="15">
      <c r="A28" s="502"/>
      <c r="B28" s="275"/>
      <c r="C28" s="1732"/>
      <c r="D28" s="258"/>
      <c r="E28" s="1733"/>
      <c r="F28" s="258"/>
      <c r="G28" s="1733"/>
      <c r="H28" s="258"/>
      <c r="I28" s="1733"/>
      <c r="J28" s="258"/>
      <c r="K28" s="1787"/>
      <c r="L28" s="380"/>
      <c r="M28" s="381"/>
      <c r="N28" s="381"/>
      <c r="O28" s="382"/>
      <c r="P28" s="3328"/>
      <c r="Q28" s="447"/>
      <c r="R28" s="444"/>
      <c r="S28" s="445"/>
      <c r="T28" s="444"/>
      <c r="U28" s="445"/>
      <c r="V28" s="444"/>
      <c r="W28" s="445"/>
      <c r="X28" s="446"/>
      <c r="Y28" s="3328"/>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8"/>
      <c r="L29" s="391"/>
      <c r="M29" s="378"/>
      <c r="N29" s="378"/>
      <c r="O29" s="390"/>
      <c r="P29" s="3328"/>
      <c r="Q29" s="383" t="str">
        <f t="shared" si="8"/>
        <v>临街状况</v>
      </c>
      <c r="R29" s="448" t="s">
        <v>935</v>
      </c>
      <c r="S29" s="449">
        <f t="shared" ref="S29:S42" si="10">F29</f>
        <v>100</v>
      </c>
      <c r="T29" s="448" t="s">
        <v>935</v>
      </c>
      <c r="U29" s="449">
        <f t="shared" ref="U29:U42" si="11">H29</f>
        <v>100</v>
      </c>
      <c r="V29" s="448" t="s">
        <v>935</v>
      </c>
      <c r="W29" s="449">
        <f t="shared" ref="W29:W42" si="12">J29</f>
        <v>100</v>
      </c>
      <c r="X29" s="443"/>
      <c r="Y29" s="3328"/>
      <c r="Z29" s="442" t="str">
        <f t="shared" ref="Z29:Z42" si="13">Q29</f>
        <v>临街状况</v>
      </c>
      <c r="AA29" s="454">
        <f t="shared" si="3"/>
        <v>1</v>
      </c>
      <c r="AB29" s="454">
        <f t="shared" si="4"/>
        <v>1</v>
      </c>
      <c r="AC29" s="454">
        <f t="shared" si="5"/>
        <v>1</v>
      </c>
    </row>
    <row r="30" spans="1:29" ht="27">
      <c r="A30" s="255"/>
      <c r="B30" s="538" t="s">
        <v>955</v>
      </c>
      <c r="C30" s="173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8"/>
      <c r="L30" s="391"/>
      <c r="M30" s="378"/>
      <c r="N30" s="378"/>
      <c r="O30" s="390"/>
      <c r="P30" s="3328"/>
      <c r="Q30" s="383" t="str">
        <f t="shared" si="8"/>
        <v>毗邻道路的类型与等级</v>
      </c>
      <c r="R30" s="448" t="s">
        <v>935</v>
      </c>
      <c r="S30" s="449">
        <f t="shared" si="10"/>
        <v>100</v>
      </c>
      <c r="T30" s="448" t="s">
        <v>935</v>
      </c>
      <c r="U30" s="449">
        <f t="shared" si="11"/>
        <v>100</v>
      </c>
      <c r="V30" s="448" t="s">
        <v>935</v>
      </c>
      <c r="W30" s="449">
        <f t="shared" si="12"/>
        <v>100</v>
      </c>
      <c r="X30" s="443"/>
      <c r="Y30" s="3328"/>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28"/>
      <c r="Q31" s="383"/>
      <c r="R31" s="448"/>
      <c r="S31" s="449"/>
      <c r="T31" s="448"/>
      <c r="U31" s="449"/>
      <c r="V31" s="448"/>
      <c r="W31" s="449"/>
      <c r="X31" s="443"/>
      <c r="Y31" s="3328"/>
      <c r="Z31" s="442"/>
      <c r="AA31" s="454">
        <v>1</v>
      </c>
      <c r="AB31" s="454">
        <v>1</v>
      </c>
      <c r="AC31" s="454">
        <v>1</v>
      </c>
    </row>
    <row r="32" spans="1:29" ht="15">
      <c r="A32" s="255"/>
      <c r="B32" s="289" t="s">
        <v>956</v>
      </c>
      <c r="C32" s="173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28"/>
      <c r="Q32" s="383" t="str">
        <f t="shared" si="8"/>
        <v>土地级别</v>
      </c>
      <c r="R32" s="448" t="s">
        <v>935</v>
      </c>
      <c r="S32" s="449">
        <f t="shared" si="10"/>
        <v>100</v>
      </c>
      <c r="T32" s="448" t="s">
        <v>935</v>
      </c>
      <c r="U32" s="449">
        <f t="shared" si="11"/>
        <v>100</v>
      </c>
      <c r="V32" s="448" t="s">
        <v>935</v>
      </c>
      <c r="W32" s="449">
        <f t="shared" si="12"/>
        <v>100</v>
      </c>
      <c r="X32" s="443"/>
      <c r="Y32" s="3328"/>
      <c r="Z32" s="442" t="str">
        <f t="shared" si="13"/>
        <v>土地级别</v>
      </c>
      <c r="AA32" s="454">
        <f t="shared" si="3"/>
        <v>1</v>
      </c>
      <c r="AB32" s="454">
        <f t="shared" si="4"/>
        <v>1</v>
      </c>
      <c r="AC32" s="454">
        <f t="shared" si="5"/>
        <v>1</v>
      </c>
    </row>
    <row r="33" spans="1:29" ht="15">
      <c r="A33" s="216"/>
      <c r="B33" s="539">
        <v>111</v>
      </c>
      <c r="C33" s="1731"/>
      <c r="D33" s="247">
        <v>100</v>
      </c>
      <c r="E33" s="988"/>
      <c r="F33" s="247">
        <f>SUMIF(103:103,E33,104:104)-SUMIF(103:103,C33,104:104)+100</f>
        <v>100</v>
      </c>
      <c r="G33" s="988"/>
      <c r="H33" s="247">
        <f>SUMIF(103:103,G33,104:104)-SUMIF(103:103,C33,104:104)+100</f>
        <v>100</v>
      </c>
      <c r="I33" s="360"/>
      <c r="J33" s="247">
        <f>SUMIF(103:103,I33,104:104)-SUMIF(103:103,C33,104:104)+100</f>
        <v>100</v>
      </c>
      <c r="K33" s="388"/>
      <c r="L33" s="391"/>
      <c r="M33" s="378"/>
      <c r="N33" s="378"/>
      <c r="O33" s="390"/>
      <c r="P33" s="3328"/>
      <c r="Q33" s="383">
        <f t="shared" si="8"/>
        <v>111</v>
      </c>
      <c r="R33" s="448" t="s">
        <v>935</v>
      </c>
      <c r="S33" s="449">
        <f t="shared" si="10"/>
        <v>100</v>
      </c>
      <c r="T33" s="448" t="s">
        <v>935</v>
      </c>
      <c r="U33" s="449">
        <f t="shared" si="11"/>
        <v>100</v>
      </c>
      <c r="V33" s="448" t="s">
        <v>935</v>
      </c>
      <c r="W33" s="449">
        <f t="shared" si="12"/>
        <v>100</v>
      </c>
      <c r="X33" s="443"/>
      <c r="Y33" s="3328"/>
      <c r="Z33" s="442">
        <f t="shared" si="13"/>
        <v>111</v>
      </c>
      <c r="AA33" s="454">
        <f t="shared" si="3"/>
        <v>1</v>
      </c>
      <c r="AB33" s="454">
        <f t="shared" si="4"/>
        <v>1</v>
      </c>
      <c r="AC33" s="454">
        <f t="shared" si="5"/>
        <v>1</v>
      </c>
    </row>
    <row r="34" spans="1:29" ht="15">
      <c r="A34" s="1736"/>
      <c r="B34" s="1737">
        <v>111</v>
      </c>
      <c r="C34" s="1731"/>
      <c r="D34" s="247">
        <v>100</v>
      </c>
      <c r="E34" s="988"/>
      <c r="F34" s="247">
        <f>SUMIF(105:105,E35,106:106)-SUMIF(105:105,C35,106:106)+100</f>
        <v>100</v>
      </c>
      <c r="G34" s="988"/>
      <c r="H34" s="247">
        <f>SUMIF(105:105,G34,106:106)-SUMIF(105:105,C34,106:106)+100</f>
        <v>100</v>
      </c>
      <c r="I34" s="1731"/>
      <c r="J34" s="247">
        <f>SUMIF(105:105,I34,106:106)-SUMIF(105:105,C34,106:106)+100</f>
        <v>100</v>
      </c>
      <c r="K34" s="388"/>
      <c r="L34" s="391"/>
      <c r="M34" s="378"/>
      <c r="N34" s="378"/>
      <c r="O34" s="390"/>
      <c r="P34" s="3329" t="s">
        <v>957</v>
      </c>
      <c r="Q34" s="383">
        <f t="shared" si="8"/>
        <v>111</v>
      </c>
      <c r="R34" s="448" t="s">
        <v>935</v>
      </c>
      <c r="S34" s="449">
        <f t="shared" si="10"/>
        <v>100</v>
      </c>
      <c r="T34" s="448" t="s">
        <v>935</v>
      </c>
      <c r="U34" s="449">
        <f t="shared" si="11"/>
        <v>100</v>
      </c>
      <c r="V34" s="448" t="s">
        <v>935</v>
      </c>
      <c r="W34" s="449">
        <f t="shared" si="12"/>
        <v>100</v>
      </c>
      <c r="X34" s="443"/>
      <c r="Y34" s="3330" t="s">
        <v>957</v>
      </c>
      <c r="Z34" s="442">
        <f t="shared" si="13"/>
        <v>111</v>
      </c>
      <c r="AA34" s="454">
        <f t="shared" si="3"/>
        <v>1</v>
      </c>
      <c r="AB34" s="454">
        <f t="shared" si="4"/>
        <v>1</v>
      </c>
      <c r="AC34" s="454">
        <f t="shared" si="5"/>
        <v>1</v>
      </c>
    </row>
    <row r="35" spans="1:29" s="192" customFormat="1" ht="15">
      <c r="A35" s="1738"/>
      <c r="B35" s="1739">
        <v>111</v>
      </c>
      <c r="C35" s="1740"/>
      <c r="D35" s="1741">
        <v>100</v>
      </c>
      <c r="E35" s="1742"/>
      <c r="F35" s="300">
        <f>SUMIF(107:107,E35,108:108)-SUMIF(107:107,C35,108:108)+100</f>
        <v>100</v>
      </c>
      <c r="G35" s="1742"/>
      <c r="H35" s="300">
        <f>SUMIF(107:107,G35,108:108)-SUMIF(107:107,C35,108:108)+100</f>
        <v>100</v>
      </c>
      <c r="I35" s="1740"/>
      <c r="J35" s="300">
        <f>SUMIF(107:107,I35,108:108)-SUMIF(107:107,C35,108:108)+100</f>
        <v>100</v>
      </c>
      <c r="K35" s="388"/>
      <c r="L35" s="389"/>
      <c r="M35" s="395"/>
      <c r="N35" s="395"/>
      <c r="O35" s="396"/>
      <c r="P35" s="3330"/>
      <c r="Q35" s="383">
        <f t="shared" si="8"/>
        <v>111</v>
      </c>
      <c r="R35" s="451" t="s">
        <v>935</v>
      </c>
      <c r="S35" s="452">
        <f t="shared" si="10"/>
        <v>100</v>
      </c>
      <c r="T35" s="451" t="s">
        <v>935</v>
      </c>
      <c r="U35" s="452">
        <f t="shared" si="11"/>
        <v>100</v>
      </c>
      <c r="V35" s="451" t="s">
        <v>935</v>
      </c>
      <c r="W35" s="452">
        <f t="shared" si="12"/>
        <v>100</v>
      </c>
      <c r="X35" s="453"/>
      <c r="Y35" s="3330"/>
      <c r="Z35" s="465">
        <f t="shared" si="13"/>
        <v>111</v>
      </c>
      <c r="AA35" s="454">
        <f t="shared" si="3"/>
        <v>1</v>
      </c>
      <c r="AB35" s="454">
        <f t="shared" si="4"/>
        <v>1</v>
      </c>
      <c r="AC35" s="454">
        <f t="shared" si="5"/>
        <v>1</v>
      </c>
    </row>
    <row r="36" spans="1:29" ht="15">
      <c r="A36" s="283" t="s">
        <v>958</v>
      </c>
      <c r="B36" s="275" t="s">
        <v>959</v>
      </c>
      <c r="C36" s="1743"/>
      <c r="D36" s="286">
        <v>100</v>
      </c>
      <c r="E36" s="1743"/>
      <c r="F36" s="286" t="e">
        <f>LOOKUP(E36,110:110,111:111)-LOOKUP(C36,110:110,111:111)+100</f>
        <v>#N/A</v>
      </c>
      <c r="G36" s="1743"/>
      <c r="H36" s="286" t="e">
        <f>LOOKUP(G36,110:110,111:111)-LOOKUP(C36,110:110,111:111)+100</f>
        <v>#N/A</v>
      </c>
      <c r="I36" s="351"/>
      <c r="J36" s="286" t="e">
        <f>LOOKUP(I36,110:110,111:111)-LOOKUP(C36,110:110,111:111)+100</f>
        <v>#N/A</v>
      </c>
      <c r="K36" s="388"/>
      <c r="L36" s="391"/>
      <c r="M36" s="378"/>
      <c r="N36" s="378"/>
      <c r="O36" s="390"/>
      <c r="P36" s="3330"/>
      <c r="Q36" s="383" t="str">
        <f t="shared" si="8"/>
        <v>宗地面积</v>
      </c>
      <c r="R36" s="448" t="s">
        <v>935</v>
      </c>
      <c r="S36" s="449" t="e">
        <f t="shared" si="10"/>
        <v>#N/A</v>
      </c>
      <c r="T36" s="448" t="s">
        <v>935</v>
      </c>
      <c r="U36" s="449" t="e">
        <f t="shared" si="11"/>
        <v>#N/A</v>
      </c>
      <c r="V36" s="448" t="s">
        <v>935</v>
      </c>
      <c r="W36" s="449" t="e">
        <f t="shared" si="12"/>
        <v>#N/A</v>
      </c>
      <c r="X36" s="443"/>
      <c r="Y36" s="3330"/>
      <c r="Z36" s="442" t="str">
        <f t="shared" si="13"/>
        <v>宗地面积</v>
      </c>
      <c r="AA36" s="454" t="e">
        <f t="shared" si="3"/>
        <v>#N/A</v>
      </c>
      <c r="AB36" s="454" t="e">
        <f t="shared" si="4"/>
        <v>#N/A</v>
      </c>
      <c r="AC36" s="454" t="e">
        <f t="shared" si="5"/>
        <v>#N/A</v>
      </c>
    </row>
    <row r="37" spans="1:29" ht="15">
      <c r="A37" s="293"/>
      <c r="B37" s="289" t="s">
        <v>960</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30"/>
      <c r="Q37" s="383" t="str">
        <f t="shared" ref="Q37:Q42" si="14">B37</f>
        <v>宗地形状</v>
      </c>
      <c r="R37" s="448" t="s">
        <v>935</v>
      </c>
      <c r="S37" s="449">
        <f t="shared" si="10"/>
        <v>100</v>
      </c>
      <c r="T37" s="448" t="s">
        <v>935</v>
      </c>
      <c r="U37" s="449">
        <f t="shared" si="11"/>
        <v>100</v>
      </c>
      <c r="V37" s="448" t="s">
        <v>935</v>
      </c>
      <c r="W37" s="449">
        <f t="shared" si="12"/>
        <v>100</v>
      </c>
      <c r="X37" s="443"/>
      <c r="Y37" s="3330"/>
      <c r="Z37" s="442" t="str">
        <f t="shared" si="13"/>
        <v>宗地形状</v>
      </c>
      <c r="AA37" s="454">
        <f t="shared" si="3"/>
        <v>1</v>
      </c>
      <c r="AB37" s="454">
        <f t="shared" si="4"/>
        <v>1</v>
      </c>
      <c r="AC37" s="454">
        <f t="shared" si="5"/>
        <v>1</v>
      </c>
    </row>
    <row r="38" spans="1:29" s="190" customFormat="1" ht="15">
      <c r="A38" s="296"/>
      <c r="B38" s="544" t="s">
        <v>963</v>
      </c>
      <c r="C38" s="1744"/>
      <c r="D38" s="237">
        <v>100</v>
      </c>
      <c r="E38" s="1744"/>
      <c r="F38" s="247">
        <f>SUMIF(114:114,E38,115:115)-SUMIF(114:114,C38,115:115)+100</f>
        <v>100</v>
      </c>
      <c r="G38" s="1744"/>
      <c r="H38" s="247">
        <f>SUMIF(114:114,G38,115:115)-SUMIF(114:114,C38,115:115)+100</f>
        <v>100</v>
      </c>
      <c r="I38" s="1744"/>
      <c r="J38" s="247">
        <f>SUMIF(114:114,I38,115:115)-SUMIF(114:114,C38,115:115)+100</f>
        <v>100</v>
      </c>
      <c r="K38" s="384"/>
      <c r="L38" s="380"/>
      <c r="M38" s="381"/>
      <c r="N38" s="381"/>
      <c r="O38" s="382"/>
      <c r="P38" s="3330"/>
      <c r="Q38" s="383" t="str">
        <f t="shared" si="14"/>
        <v>宗地开发程度</v>
      </c>
      <c r="R38" s="444" t="s">
        <v>935</v>
      </c>
      <c r="S38" s="445">
        <f t="shared" si="10"/>
        <v>100</v>
      </c>
      <c r="T38" s="444" t="s">
        <v>935</v>
      </c>
      <c r="U38" s="445">
        <f t="shared" si="11"/>
        <v>100</v>
      </c>
      <c r="V38" s="444" t="s">
        <v>935</v>
      </c>
      <c r="W38" s="445">
        <f t="shared" si="12"/>
        <v>100</v>
      </c>
      <c r="X38" s="446"/>
      <c r="Y38" s="3330"/>
      <c r="Z38" s="464" t="str">
        <f t="shared" si="13"/>
        <v>宗地开发程度</v>
      </c>
      <c r="AA38" s="463">
        <f t="shared" si="3"/>
        <v>1</v>
      </c>
      <c r="AB38" s="463">
        <f t="shared" si="4"/>
        <v>1</v>
      </c>
      <c r="AC38" s="463">
        <f t="shared" si="5"/>
        <v>1</v>
      </c>
    </row>
    <row r="39" spans="1:29" ht="15">
      <c r="A39" s="293"/>
      <c r="B39" s="289" t="s">
        <v>964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0" t="s">
        <v>957</v>
      </c>
      <c r="Q39" s="383" t="str">
        <f t="shared" si="14"/>
        <v>工程地质条件</v>
      </c>
      <c r="R39" s="448" t="s">
        <v>935</v>
      </c>
      <c r="S39" s="449">
        <f t="shared" si="10"/>
        <v>100</v>
      </c>
      <c r="T39" s="448" t="s">
        <v>935</v>
      </c>
      <c r="U39" s="449">
        <f t="shared" si="11"/>
        <v>100</v>
      </c>
      <c r="V39" s="448" t="s">
        <v>935</v>
      </c>
      <c r="W39" s="449">
        <f t="shared" si="12"/>
        <v>100</v>
      </c>
      <c r="X39" s="443"/>
      <c r="Y39" s="3330" t="s">
        <v>957</v>
      </c>
      <c r="Z39" s="442" t="str">
        <f t="shared" si="13"/>
        <v>工程地质条件</v>
      </c>
      <c r="AA39" s="454">
        <f t="shared" si="3"/>
        <v>1</v>
      </c>
      <c r="AB39" s="454">
        <f t="shared" si="4"/>
        <v>1</v>
      </c>
      <c r="AC39" s="454">
        <f t="shared" si="5"/>
        <v>1</v>
      </c>
    </row>
    <row r="40" spans="1:29" ht="15">
      <c r="A40" s="293"/>
      <c r="B40" s="1737">
        <v>111</v>
      </c>
      <c r="C40" s="1731"/>
      <c r="D40" s="247">
        <v>100</v>
      </c>
      <c r="E40" s="1731"/>
      <c r="F40" s="247">
        <f>SUMIF(118:118,E40,119:119)-SUMIF(118:118,C40,119:119)+100</f>
        <v>100</v>
      </c>
      <c r="G40" s="1731"/>
      <c r="H40" s="247">
        <f>SUMIF(118:118,G40,119:119)-SUMIF(118:118,C40,119:119)+100</f>
        <v>100</v>
      </c>
      <c r="I40" s="360"/>
      <c r="J40" s="247">
        <f>SUMIF(118:118,I40,119:119)-SUMIF(118:118,C40,119:119)+100</f>
        <v>100</v>
      </c>
      <c r="K40" s="388"/>
      <c r="L40" s="391"/>
      <c r="M40" s="378"/>
      <c r="N40" s="378"/>
      <c r="O40" s="390"/>
      <c r="P40" s="3330"/>
      <c r="Q40" s="383">
        <f t="shared" si="14"/>
        <v>111</v>
      </c>
      <c r="R40" s="448" t="s">
        <v>935</v>
      </c>
      <c r="S40" s="449">
        <f t="shared" si="10"/>
        <v>100</v>
      </c>
      <c r="T40" s="448" t="s">
        <v>935</v>
      </c>
      <c r="U40" s="449">
        <f t="shared" si="11"/>
        <v>100</v>
      </c>
      <c r="V40" s="448" t="s">
        <v>935</v>
      </c>
      <c r="W40" s="449">
        <f t="shared" si="12"/>
        <v>100</v>
      </c>
      <c r="X40" s="443"/>
      <c r="Y40" s="3330"/>
      <c r="Z40" s="442">
        <f t="shared" si="13"/>
        <v>111</v>
      </c>
      <c r="AA40" s="454">
        <f t="shared" si="3"/>
        <v>1</v>
      </c>
      <c r="AB40" s="454">
        <f t="shared" si="4"/>
        <v>1</v>
      </c>
      <c r="AC40" s="454">
        <f t="shared" si="5"/>
        <v>1</v>
      </c>
    </row>
    <row r="41" spans="1:29" ht="15">
      <c r="A41" s="293"/>
      <c r="B41" s="1737">
        <v>111</v>
      </c>
      <c r="C41" s="1731"/>
      <c r="D41" s="247">
        <v>100</v>
      </c>
      <c r="E41" s="1731"/>
      <c r="F41" s="247">
        <f>SUMIF(120:120,E41,121:121)-SUMIF(120:120,C41,121:121)+100</f>
        <v>100</v>
      </c>
      <c r="G41" s="1731"/>
      <c r="H41" s="247">
        <f>SUMIF(120:120,G41,121:121)-SUMIF(120:120,C41,121:121)+100</f>
        <v>100</v>
      </c>
      <c r="I41" s="360"/>
      <c r="J41" s="247">
        <f>SUMIF(120:120,I41,121:121)-SUMIF(120:120,C41,121:121)+100</f>
        <v>100</v>
      </c>
      <c r="K41" s="388"/>
      <c r="L41" s="391"/>
      <c r="M41" s="378"/>
      <c r="N41" s="378"/>
      <c r="O41" s="390"/>
      <c r="P41" s="3330"/>
      <c r="Q41" s="383">
        <f t="shared" si="14"/>
        <v>111</v>
      </c>
      <c r="R41" s="448" t="s">
        <v>935</v>
      </c>
      <c r="S41" s="449">
        <f t="shared" si="10"/>
        <v>100</v>
      </c>
      <c r="T41" s="448" t="s">
        <v>935</v>
      </c>
      <c r="U41" s="449">
        <f t="shared" si="11"/>
        <v>100</v>
      </c>
      <c r="V41" s="448" t="s">
        <v>935</v>
      </c>
      <c r="W41" s="449">
        <f t="shared" si="12"/>
        <v>100</v>
      </c>
      <c r="X41" s="443"/>
      <c r="Y41" s="3330"/>
      <c r="Z41" s="442">
        <f t="shared" si="13"/>
        <v>111</v>
      </c>
      <c r="AA41" s="454">
        <f t="shared" si="3"/>
        <v>1</v>
      </c>
      <c r="AB41" s="454">
        <f t="shared" si="4"/>
        <v>1</v>
      </c>
      <c r="AC41" s="454">
        <f t="shared" si="5"/>
        <v>1</v>
      </c>
    </row>
    <row r="42" spans="1:29" s="192" customFormat="1" ht="15">
      <c r="A42" s="288"/>
      <c r="B42" s="1737">
        <v>111</v>
      </c>
      <c r="C42" s="1745"/>
      <c r="D42" s="1741">
        <v>100</v>
      </c>
      <c r="E42" s="1731"/>
      <c r="F42" s="300">
        <f>SUMIF(122:122,E42,123:123)-SUMIF(122:122,C42,123:123)+100</f>
        <v>100</v>
      </c>
      <c r="G42" s="1731"/>
      <c r="H42" s="300">
        <f>SUMIF(122:122,G42,123:123)-SUMIF(122:122,C42,123:123)+100</f>
        <v>100</v>
      </c>
      <c r="I42" s="360"/>
      <c r="J42" s="300">
        <f>SUMIF(122:122,I42,123:123)-SUMIF(122:122,C42,123:123)+100</f>
        <v>100</v>
      </c>
      <c r="K42" s="1791"/>
      <c r="L42" s="389"/>
      <c r="M42" s="395"/>
      <c r="N42" s="395"/>
      <c r="O42" s="396"/>
      <c r="P42" s="3330"/>
      <c r="Q42" s="383">
        <f t="shared" si="14"/>
        <v>111</v>
      </c>
      <c r="R42" s="451" t="s">
        <v>935</v>
      </c>
      <c r="S42" s="452">
        <f t="shared" si="10"/>
        <v>100</v>
      </c>
      <c r="T42" s="451" t="s">
        <v>935</v>
      </c>
      <c r="U42" s="452">
        <f t="shared" si="11"/>
        <v>100</v>
      </c>
      <c r="V42" s="451" t="s">
        <v>935</v>
      </c>
      <c r="W42" s="452">
        <f t="shared" si="12"/>
        <v>100</v>
      </c>
      <c r="X42" s="453"/>
      <c r="Y42" s="3330"/>
      <c r="Z42" s="465">
        <f t="shared" si="13"/>
        <v>111</v>
      </c>
      <c r="AA42" s="454">
        <f t="shared" si="3"/>
        <v>1</v>
      </c>
      <c r="AB42" s="454">
        <f t="shared" si="4"/>
        <v>1</v>
      </c>
      <c r="AC42" s="454">
        <f t="shared" si="5"/>
        <v>1</v>
      </c>
    </row>
    <row r="43" spans="1:29" ht="15">
      <c r="A43" s="303" t="s">
        <v>965</v>
      </c>
      <c r="B43" s="1746" t="s">
        <v>1105</v>
      </c>
      <c r="C43" s="1747" t="s">
        <v>138</v>
      </c>
      <c r="D43" s="1748"/>
      <c r="E43" s="1749"/>
      <c r="F43" s="1750"/>
      <c r="G43" s="1751"/>
      <c r="H43" s="1752"/>
      <c r="I43" s="1749"/>
      <c r="J43" s="1752"/>
      <c r="K43" s="1792"/>
      <c r="L43" s="398"/>
      <c r="M43" s="378"/>
      <c r="N43" s="378"/>
      <c r="O43" s="319"/>
      <c r="P43" s="3326" t="str">
        <f>A43</f>
        <v>成交单价</v>
      </c>
      <c r="Q43" s="3326"/>
      <c r="R43" s="3335">
        <f>E43</f>
        <v>0</v>
      </c>
      <c r="S43" s="3335"/>
      <c r="T43" s="3335">
        <f>G43</f>
        <v>0</v>
      </c>
      <c r="U43" s="3335"/>
      <c r="V43" s="3335">
        <f>I43</f>
        <v>0</v>
      </c>
      <c r="W43" s="3335"/>
      <c r="X43" s="330"/>
      <c r="Y43" s="466"/>
      <c r="Z43" s="330"/>
      <c r="AA43" s="330"/>
      <c r="AB43" s="330"/>
      <c r="AC43" s="330"/>
    </row>
    <row r="44" spans="1:29" ht="15">
      <c r="A44" s="311" t="s">
        <v>967</v>
      </c>
      <c r="B44" s="1753"/>
      <c r="C44" s="1754" t="e">
        <f>R45</f>
        <v>#DIV/0!</v>
      </c>
      <c r="D44" s="1755"/>
      <c r="E44" s="1754" t="e">
        <f>R44</f>
        <v>#DIV/0!</v>
      </c>
      <c r="F44" s="1756"/>
      <c r="G44" s="1757" t="e">
        <f>T44</f>
        <v>#DIV/0!</v>
      </c>
      <c r="H44" s="1755"/>
      <c r="I44" s="1754" t="e">
        <f>V44</f>
        <v>#DIV/0!</v>
      </c>
      <c r="J44" s="1755"/>
      <c r="K44" s="1793"/>
      <c r="L44" s="398"/>
      <c r="M44" s="378"/>
      <c r="N44" s="378"/>
      <c r="O44" s="319"/>
      <c r="P44" s="3326" t="str">
        <f>A44</f>
        <v>比较价格（元/平方米）</v>
      </c>
      <c r="Q44" s="3326"/>
      <c r="R44" s="3331" t="e">
        <f>ROUND(PRODUCT(R43,AA9:AA42),0)</f>
        <v>#DIV/0!</v>
      </c>
      <c r="S44" s="3331"/>
      <c r="T44" s="3331" t="e">
        <f>ROUND(PRODUCT(T43,AB9:AB42),0)</f>
        <v>#DIV/0!</v>
      </c>
      <c r="U44" s="3331"/>
      <c r="V44" s="3331" t="e">
        <f>ROUND(PRODUCT(V43,AC9:AC42),0)</f>
        <v>#DIV/0!</v>
      </c>
      <c r="W44" s="3331"/>
      <c r="X44" s="330"/>
      <c r="Y44" s="330"/>
      <c r="Z44" s="330"/>
      <c r="AA44" s="330"/>
      <c r="AB44" s="330"/>
      <c r="AC44" s="330"/>
    </row>
    <row r="45" spans="1:29" ht="15">
      <c r="A45" s="316" t="s">
        <v>968</v>
      </c>
      <c r="B45" s="317"/>
      <c r="C45" s="1758" t="e">
        <f>R45</f>
        <v>#DIV/0!</v>
      </c>
      <c r="D45" s="1758"/>
      <c r="E45" s="1758"/>
      <c r="F45" s="1758"/>
      <c r="G45" s="1758"/>
      <c r="H45" s="1758"/>
      <c r="I45" s="1758"/>
      <c r="J45" s="1758"/>
      <c r="K45" s="1794"/>
      <c r="L45" s="398"/>
      <c r="M45" s="378"/>
      <c r="N45" s="378"/>
      <c r="O45" s="319"/>
      <c r="P45" s="3332" t="str">
        <f>A45</f>
        <v>估价对象XX用房的比较价格（楼面单价，元/平方米）</v>
      </c>
      <c r="Q45" s="3333"/>
      <c r="R45" s="3334" t="e">
        <f>ROUND(AVERAGE(R44:V44),0)</f>
        <v>#DIV/0!</v>
      </c>
      <c r="S45" s="3334"/>
      <c r="T45" s="3334"/>
      <c r="U45" s="3334"/>
      <c r="V45" s="3334"/>
      <c r="W45" s="3334"/>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9" t="s">
        <v>972</v>
      </c>
      <c r="B52" s="1760" t="s">
        <v>973</v>
      </c>
      <c r="C52" s="1761" t="s">
        <v>974</v>
      </c>
      <c r="D52" s="1762" t="s">
        <v>975</v>
      </c>
      <c r="E52" s="1763" t="s">
        <v>976</v>
      </c>
      <c r="F52" s="1764" t="s">
        <v>977</v>
      </c>
      <c r="G52" s="3364" t="s">
        <v>978</v>
      </c>
      <c r="H52" s="3365"/>
      <c r="I52" s="1795" t="s">
        <v>426</v>
      </c>
      <c r="J52" s="1796" t="str">
        <f>项目基本情况!F41</f>
        <v>山东省</v>
      </c>
      <c r="K52" s="1797" t="s">
        <v>979</v>
      </c>
      <c r="L52" s="403"/>
      <c r="M52" s="319"/>
      <c r="N52" s="319"/>
      <c r="O52" s="319"/>
      <c r="P52" s="319"/>
      <c r="Q52" s="319"/>
      <c r="R52" s="319"/>
      <c r="S52" s="319"/>
      <c r="T52" s="319"/>
      <c r="U52" s="319"/>
      <c r="V52" s="319"/>
      <c r="W52" s="319"/>
      <c r="X52" s="319"/>
      <c r="Y52" s="319"/>
      <c r="Z52" s="319"/>
      <c r="AA52" s="319"/>
      <c r="AB52" s="319"/>
      <c r="AC52" s="319"/>
    </row>
    <row r="53" spans="1:29" s="1724" customFormat="1" ht="12.75">
      <c r="A53" s="1765" t="s">
        <v>980</v>
      </c>
      <c r="B53" s="1766" t="e">
        <f>C45</f>
        <v>#DIV/0!</v>
      </c>
      <c r="C53" s="1767">
        <v>1</v>
      </c>
      <c r="D53" s="1768">
        <v>1</v>
      </c>
      <c r="E53" s="1767">
        <f>'数据-汇总表'!E8+'数据-汇总表'!E9</f>
        <v>48393.36</v>
      </c>
      <c r="F53" s="1769" t="e">
        <f t="shared" ref="F53:F62" si="15">ROUND(B53*E53/10000,0)</f>
        <v>#DIV/0!</v>
      </c>
      <c r="G53" s="3366"/>
      <c r="H53" s="3367"/>
      <c r="I53" s="1798">
        <v>1</v>
      </c>
      <c r="J53" s="1799">
        <v>1</v>
      </c>
      <c r="K53" s="1800"/>
      <c r="L53" s="1800"/>
      <c r="M53" s="1800"/>
      <c r="N53" s="1800"/>
      <c r="O53" s="1800"/>
      <c r="P53" s="1800"/>
      <c r="Q53" s="1800"/>
      <c r="R53" s="1800"/>
      <c r="S53" s="1800"/>
      <c r="T53" s="1800"/>
      <c r="U53" s="1800"/>
      <c r="V53" s="1800"/>
      <c r="W53" s="1800"/>
      <c r="X53" s="1800"/>
      <c r="Y53" s="1800"/>
      <c r="Z53" s="1800"/>
      <c r="AA53" s="1800"/>
      <c r="AB53" s="1800"/>
      <c r="AC53" s="1800"/>
    </row>
    <row r="54" spans="1:29" s="1724" customFormat="1" ht="12.75">
      <c r="A54" s="1770" t="s">
        <v>981</v>
      </c>
      <c r="B54" s="1771" t="e">
        <f>ROUND($C$45*C54*D54,0)</f>
        <v>#DIV/0!</v>
      </c>
      <c r="C54" s="1543">
        <f t="shared" ref="C54:C62" si="16">IF($C$52="北京市系数",I54,J54)</f>
        <v>0</v>
      </c>
      <c r="D54" s="1772">
        <v>0.25</v>
      </c>
      <c r="E54" s="1773"/>
      <c r="F54" s="1769" t="e">
        <f t="shared" si="15"/>
        <v>#DIV/0!</v>
      </c>
      <c r="G54" s="3363" t="s">
        <v>982</v>
      </c>
      <c r="H54" s="1775">
        <f>项目基本情况!B43</f>
        <v>0</v>
      </c>
      <c r="I54" s="1798">
        <f>SUMIF(修正!$A$45:$A$56,H54,修正!B45:B56)</f>
        <v>0</v>
      </c>
      <c r="J54" s="1801"/>
      <c r="K54" s="1800"/>
      <c r="L54" s="1800"/>
      <c r="M54" s="1800"/>
      <c r="N54" s="1800"/>
      <c r="O54" s="1800"/>
      <c r="P54" s="1800"/>
      <c r="Q54" s="1800"/>
      <c r="R54" s="1800"/>
      <c r="S54" s="1800"/>
      <c r="T54" s="1800"/>
      <c r="U54" s="1800"/>
      <c r="V54" s="1800"/>
      <c r="W54" s="1800"/>
      <c r="X54" s="1800"/>
      <c r="Y54" s="1800"/>
      <c r="Z54" s="1800"/>
      <c r="AA54" s="1800"/>
      <c r="AB54" s="1800"/>
      <c r="AC54" s="1800"/>
    </row>
    <row r="55" spans="1:29" s="1724" customFormat="1" ht="12.75">
      <c r="A55" s="1770" t="s">
        <v>983</v>
      </c>
      <c r="B55" s="1771" t="e">
        <f t="shared" ref="B55:B62" si="17">ROUND($C$45*C55*D55,0)</f>
        <v>#DIV/0!</v>
      </c>
      <c r="C55" s="1543">
        <f t="shared" si="16"/>
        <v>0</v>
      </c>
      <c r="D55" s="1772">
        <v>0.25</v>
      </c>
      <c r="E55" s="1773"/>
      <c r="F55" s="1769" t="e">
        <f t="shared" si="15"/>
        <v>#DIV/0!</v>
      </c>
      <c r="G55" s="3363"/>
      <c r="H55" s="1776">
        <f>项目基本情况!B43</f>
        <v>0</v>
      </c>
      <c r="I55" s="1798">
        <f>SUMIF(修正!$A$45:$A$56,H55,修正!C45:C56)</f>
        <v>0</v>
      </c>
      <c r="J55" s="1801"/>
      <c r="K55" s="1800"/>
      <c r="L55" s="1800"/>
      <c r="M55" s="1800"/>
      <c r="N55" s="1800"/>
      <c r="O55" s="1800"/>
      <c r="P55" s="1800"/>
      <c r="Q55" s="1800"/>
      <c r="R55" s="1800"/>
      <c r="S55" s="1800"/>
      <c r="T55" s="1800"/>
      <c r="U55" s="1800"/>
      <c r="V55" s="1800"/>
      <c r="W55" s="1800"/>
      <c r="X55" s="1800"/>
      <c r="Y55" s="1800"/>
      <c r="Z55" s="1800"/>
      <c r="AA55" s="1800"/>
      <c r="AB55" s="1800"/>
      <c r="AC55" s="1800"/>
    </row>
    <row r="56" spans="1:29" s="1724" customFormat="1" ht="12.75">
      <c r="A56" s="1770" t="s">
        <v>984</v>
      </c>
      <c r="B56" s="1771" t="e">
        <f t="shared" si="17"/>
        <v>#DIV/0!</v>
      </c>
      <c r="C56" s="1543">
        <f t="shared" si="16"/>
        <v>0</v>
      </c>
      <c r="D56" s="1772">
        <v>0.25</v>
      </c>
      <c r="E56" s="1773"/>
      <c r="F56" s="1769" t="e">
        <f t="shared" si="15"/>
        <v>#DIV/0!</v>
      </c>
      <c r="G56" s="3363"/>
      <c r="H56" s="1776">
        <f>项目基本情况!B43</f>
        <v>0</v>
      </c>
      <c r="I56" s="1798">
        <f>SUMIF(修正!$A$45:$A$56,H56,修正!D45:D56)</f>
        <v>0</v>
      </c>
      <c r="J56" s="1801"/>
      <c r="K56" s="1800"/>
      <c r="L56" s="1800"/>
      <c r="M56" s="1800"/>
      <c r="N56" s="1800"/>
      <c r="O56" s="1800"/>
      <c r="P56" s="1800"/>
      <c r="Q56" s="1800"/>
      <c r="R56" s="1800"/>
      <c r="S56" s="1800"/>
      <c r="T56" s="1800"/>
      <c r="U56" s="1800"/>
      <c r="V56" s="1800"/>
      <c r="W56" s="1800"/>
      <c r="X56" s="1800"/>
      <c r="Y56" s="1800"/>
      <c r="Z56" s="1800"/>
      <c r="AA56" s="1800"/>
      <c r="AB56" s="1800"/>
      <c r="AC56" s="1800"/>
    </row>
    <row r="57" spans="1:29" s="1724" customFormat="1" ht="12.75">
      <c r="A57" s="1770" t="s">
        <v>985</v>
      </c>
      <c r="B57" s="1771" t="e">
        <f t="shared" si="17"/>
        <v>#DIV/0!</v>
      </c>
      <c r="C57" s="1543">
        <f t="shared" si="16"/>
        <v>0</v>
      </c>
      <c r="D57" s="1772">
        <v>0.25</v>
      </c>
      <c r="E57" s="1773"/>
      <c r="F57" s="1769" t="e">
        <f t="shared" si="15"/>
        <v>#DIV/0!</v>
      </c>
      <c r="G57" s="3363"/>
      <c r="H57" s="1776">
        <f>项目基本情况!B43</f>
        <v>0</v>
      </c>
      <c r="I57" s="1798">
        <f>SUMIF(修正!$A$45:$A$56,H57,修正!E45:E56)</f>
        <v>0</v>
      </c>
      <c r="J57" s="1801"/>
      <c r="K57" s="1800"/>
      <c r="L57" s="1800"/>
      <c r="M57" s="1800"/>
      <c r="N57" s="1800"/>
      <c r="O57" s="1800"/>
      <c r="P57" s="1800"/>
      <c r="Q57" s="1800"/>
      <c r="R57" s="1800"/>
      <c r="S57" s="1800"/>
      <c r="T57" s="1800"/>
      <c r="U57" s="1800"/>
      <c r="V57" s="1800"/>
      <c r="W57" s="1800"/>
      <c r="X57" s="1800"/>
      <c r="Y57" s="1800"/>
      <c r="Z57" s="1800"/>
      <c r="AA57" s="1800"/>
      <c r="AB57" s="1800"/>
      <c r="AC57" s="1800"/>
    </row>
    <row r="58" spans="1:29" s="1724" customFormat="1" ht="12.75">
      <c r="A58" s="1777" t="s">
        <v>533</v>
      </c>
      <c r="B58" s="1771" t="e">
        <f t="shared" si="17"/>
        <v>#DIV/0!</v>
      </c>
      <c r="C58" s="1543">
        <f t="shared" si="16"/>
        <v>0</v>
      </c>
      <c r="D58" s="1772">
        <v>0.25</v>
      </c>
      <c r="E58" s="1778">
        <f>'数据-汇总表'!E11</f>
        <v>0</v>
      </c>
      <c r="F58" s="1769" t="e">
        <f t="shared" si="15"/>
        <v>#DIV/0!</v>
      </c>
      <c r="G58" s="1774" t="s">
        <v>986</v>
      </c>
      <c r="H58" s="1776">
        <f>项目基本情况!C43</f>
        <v>0</v>
      </c>
      <c r="I58" s="1798">
        <f>SUMIF(修正!$A$45:$A$56,H58,修正!F45:F56)</f>
        <v>0</v>
      </c>
      <c r="J58" s="1801"/>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987</v>
      </c>
      <c r="B59" s="1771" t="e">
        <f t="shared" si="17"/>
        <v>#DIV/0!</v>
      </c>
      <c r="C59" s="1543">
        <f t="shared" si="16"/>
        <v>0</v>
      </c>
      <c r="D59" s="1772">
        <v>0.25</v>
      </c>
      <c r="E59" s="1778">
        <f>'数据-汇总表'!E12</f>
        <v>0</v>
      </c>
      <c r="F59" s="1769" t="e">
        <f t="shared" si="15"/>
        <v>#DIV/0!</v>
      </c>
      <c r="G59" s="1779" t="s">
        <v>378</v>
      </c>
      <c r="H59" s="1775">
        <f>IF(G59="商业",项目基本情况!B43,IF(G59="办公",项目基本情况!C43,IF(G59="住宅",项目基本情况!D43,项目基本情况!E43)))</f>
        <v>0</v>
      </c>
      <c r="I59" s="1798">
        <f>SUMIF(修正!$A$45:$A$56,H59,修正!G45:G56)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988</v>
      </c>
      <c r="B60" s="1771" t="e">
        <f t="shared" si="17"/>
        <v>#DIV/0!</v>
      </c>
      <c r="C60" s="1543">
        <f t="shared" si="16"/>
        <v>0</v>
      </c>
      <c r="D60" s="1772">
        <v>0.25</v>
      </c>
      <c r="E60" s="1778">
        <f>'数据-汇总表'!E13</f>
        <v>25018.11</v>
      </c>
      <c r="F60" s="1769" t="e">
        <f t="shared" si="15"/>
        <v>#DIV/0!</v>
      </c>
      <c r="G60" s="1779" t="s">
        <v>376</v>
      </c>
      <c r="H60" s="1775">
        <f>IF(G60="商业",项目基本情况!B43,IF(G60="办公",项目基本情况!C43,IF(G60="住宅",项目基本情况!D43,项目基本情况!E43)))</f>
        <v>0</v>
      </c>
      <c r="I60" s="1798">
        <f>SUMIF(修正!$A$45:$A$56,H60,修正!H45:H56)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989</v>
      </c>
      <c r="B61" s="1771" t="e">
        <f t="shared" si="17"/>
        <v>#DIV/0!</v>
      </c>
      <c r="C61" s="1543">
        <f t="shared" si="16"/>
        <v>0</v>
      </c>
      <c r="D61" s="1772">
        <v>0.25</v>
      </c>
      <c r="E61" s="1778">
        <f>'数据-汇总表'!E14</f>
        <v>0</v>
      </c>
      <c r="F61" s="1769" t="e">
        <f t="shared" si="15"/>
        <v>#DIV/0!</v>
      </c>
      <c r="G61" s="1774" t="s">
        <v>982</v>
      </c>
      <c r="H61" s="1776">
        <f>项目基本情况!B43</f>
        <v>0</v>
      </c>
      <c r="I61" s="1798">
        <f>SUMIF(修正!$A$45:$A$56,H61,修正!H45:H56)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990</v>
      </c>
      <c r="B62" s="1771" t="e">
        <f t="shared" si="17"/>
        <v>#DIV/0!</v>
      </c>
      <c r="C62" s="1543">
        <f t="shared" si="16"/>
        <v>0</v>
      </c>
      <c r="D62" s="1772">
        <v>0.25</v>
      </c>
      <c r="E62" s="1778">
        <f>'数据-汇总表'!E15</f>
        <v>0</v>
      </c>
      <c r="F62" s="1769" t="e">
        <f t="shared" si="15"/>
        <v>#DIV/0!</v>
      </c>
      <c r="G62" s="1780" t="s">
        <v>986</v>
      </c>
      <c r="H62" s="1781">
        <f>项目基本情况!C43</f>
        <v>0</v>
      </c>
      <c r="I62" s="1798">
        <f>SUMIF(修正!$A$45:$A$56,H62,修正!H45:H56)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82" t="s">
        <v>991</v>
      </c>
      <c r="B63" s="1783" t="s">
        <v>992</v>
      </c>
      <c r="C63" s="1783" t="s">
        <v>992</v>
      </c>
      <c r="D63" s="1783" t="s">
        <v>992</v>
      </c>
      <c r="E63" s="1783">
        <f>IF(B43="楼面地价",SUM(E53:E62),'数据-汇总表'!D3)</f>
        <v>42969</v>
      </c>
      <c r="F63" s="1784" t="e">
        <f>IF(B43="楼面地价",SUM(F53:F62),ROUND(C45*E63/10000,0))</f>
        <v>#DIV/0!</v>
      </c>
      <c r="G63" s="1785"/>
      <c r="H63" s="1785"/>
      <c r="I63" s="1785"/>
      <c r="J63" s="1785"/>
      <c r="K63" s="1785"/>
      <c r="L63" s="1800"/>
      <c r="M63" s="1800"/>
      <c r="N63" s="1800"/>
      <c r="O63" s="1800"/>
      <c r="P63" s="1800"/>
      <c r="Q63" s="1800"/>
      <c r="R63" s="1800"/>
      <c r="S63" s="1800"/>
      <c r="T63" s="1800"/>
      <c r="U63" s="1800"/>
      <c r="V63" s="1800"/>
      <c r="W63" s="1800"/>
      <c r="X63" s="1800"/>
      <c r="Y63" s="1800"/>
      <c r="Z63" s="1800"/>
      <c r="AA63" s="1800"/>
      <c r="AB63" s="1800"/>
      <c r="AC63" s="180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2" t="str">
        <f>YEAR(C9)&amp;"-"&amp;MONTH(C9)&amp;"-1"</f>
        <v>2019-5-1</v>
      </c>
      <c r="D65" s="1803">
        <f>EDATE(C65,-3)</f>
        <v>43497</v>
      </c>
      <c r="E65" s="1803">
        <f t="shared" ref="E65:N65" si="18">EDATE(D65,-3)</f>
        <v>43405</v>
      </c>
      <c r="F65" s="1803">
        <f t="shared" si="18"/>
        <v>43313</v>
      </c>
      <c r="G65" s="1803">
        <f t="shared" si="18"/>
        <v>43221</v>
      </c>
      <c r="H65" s="1803">
        <f t="shared" si="18"/>
        <v>43132</v>
      </c>
      <c r="I65" s="1803">
        <f t="shared" si="18"/>
        <v>43040</v>
      </c>
      <c r="J65" s="1803">
        <f t="shared" si="18"/>
        <v>42948</v>
      </c>
      <c r="K65" s="1803">
        <f t="shared" si="18"/>
        <v>42856</v>
      </c>
      <c r="L65" s="1803">
        <f t="shared" si="18"/>
        <v>42767</v>
      </c>
      <c r="M65" s="1803">
        <f t="shared" si="18"/>
        <v>42675</v>
      </c>
      <c r="N65" s="1803">
        <f t="shared" si="18"/>
        <v>42583</v>
      </c>
      <c r="O65" s="319"/>
      <c r="P65" s="319"/>
      <c r="Q65" s="319"/>
      <c r="R65" s="319"/>
      <c r="S65" s="319"/>
      <c r="T65" s="319"/>
      <c r="U65" s="319"/>
      <c r="V65" s="319"/>
      <c r="W65" s="319"/>
      <c r="X65" s="319"/>
      <c r="Y65" s="319"/>
      <c r="Z65" s="319"/>
      <c r="AA65" s="319"/>
      <c r="AB65" s="319"/>
      <c r="AC65" s="319"/>
    </row>
    <row r="66" spans="1:29" ht="21">
      <c r="A66" s="329" t="s">
        <v>993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4" t="s">
        <v>1106</v>
      </c>
      <c r="B67" s="334"/>
      <c r="C67" s="1805" t="str">
        <f>YEAR(C65)&amp;"-"&amp;ROUNDUP(MONTH(C65)/3,0)</f>
        <v>2019-2</v>
      </c>
      <c r="D67" s="1805" t="str">
        <f t="shared" ref="D67:N67" si="19">YEAR(D65)&amp;"-"&amp;ROUNDUP(MONTH(D65)/3,0)</f>
        <v>2019-1</v>
      </c>
      <c r="E67" s="1805" t="str">
        <f t="shared" si="19"/>
        <v>2018-4</v>
      </c>
      <c r="F67" s="1805" t="str">
        <f t="shared" si="19"/>
        <v>2018-3</v>
      </c>
      <c r="G67" s="1805" t="str">
        <f t="shared" si="19"/>
        <v>2018-2</v>
      </c>
      <c r="H67" s="1805" t="str">
        <f t="shared" si="19"/>
        <v>2018-1</v>
      </c>
      <c r="I67" s="1805" t="str">
        <f t="shared" si="19"/>
        <v>2017-4</v>
      </c>
      <c r="J67" s="1805" t="str">
        <f t="shared" si="19"/>
        <v>2017-3</v>
      </c>
      <c r="K67" s="1805" t="str">
        <f t="shared" si="19"/>
        <v>2017-2</v>
      </c>
      <c r="L67" s="1805" t="str">
        <f t="shared" si="19"/>
        <v>2017-1</v>
      </c>
      <c r="M67" s="1805" t="str">
        <f t="shared" si="19"/>
        <v>2016-4</v>
      </c>
      <c r="N67" s="1805" t="str">
        <f t="shared" si="19"/>
        <v>2016-3</v>
      </c>
      <c r="O67" s="1813"/>
      <c r="P67" s="409"/>
      <c r="Q67" s="455"/>
      <c r="R67" s="455"/>
      <c r="S67" s="455"/>
      <c r="T67" s="455"/>
      <c r="U67" s="455"/>
      <c r="V67" s="455"/>
      <c r="W67" s="455"/>
      <c r="X67" s="455"/>
      <c r="Y67" s="455"/>
      <c r="Z67" s="455"/>
      <c r="AA67" s="455"/>
      <c r="AB67" s="455"/>
      <c r="AC67" s="455"/>
    </row>
    <row r="68" spans="1:29" s="190" customFormat="1" ht="27.75" customHeight="1">
      <c r="A68" s="1806" t="s">
        <v>164</v>
      </c>
      <c r="B68" s="1807" t="str">
        <f>"北京市平均增长率"&amp;TEXT(基准地价!P24,"0.00%")</f>
        <v>北京市平均增长率0.00%</v>
      </c>
      <c r="C68" s="472">
        <v>100</v>
      </c>
      <c r="D68" s="475"/>
      <c r="E68" s="475"/>
      <c r="F68" s="475"/>
      <c r="G68" s="475"/>
      <c r="H68" s="475"/>
      <c r="I68" s="475"/>
      <c r="J68" s="475"/>
      <c r="K68" s="475"/>
      <c r="L68" s="475"/>
      <c r="M68" s="1814"/>
      <c r="N68" s="1815"/>
      <c r="O68" s="417"/>
      <c r="P68" s="412"/>
      <c r="Q68" s="456"/>
      <c r="R68" s="456"/>
      <c r="S68" s="456"/>
      <c r="T68" s="456"/>
      <c r="U68" s="456"/>
      <c r="V68" s="456"/>
      <c r="W68" s="456"/>
      <c r="X68" s="456"/>
      <c r="Y68" s="456"/>
      <c r="Z68" s="456"/>
      <c r="AA68" s="456"/>
      <c r="AB68" s="456"/>
      <c r="AC68" s="456"/>
    </row>
    <row r="69" spans="1:29" s="190" customFormat="1" ht="15">
      <c r="A69" s="341" t="s">
        <v>1107</v>
      </c>
      <c r="B69" s="342"/>
      <c r="C69" s="1808"/>
      <c r="D69" s="1809"/>
      <c r="E69" s="1809"/>
      <c r="F69" s="1809"/>
      <c r="G69" s="1809"/>
      <c r="H69" s="1809"/>
      <c r="I69" s="1809"/>
      <c r="J69" s="1809"/>
      <c r="K69" s="1809"/>
      <c r="L69" s="1809"/>
      <c r="M69" s="1809"/>
      <c r="N69" s="1809"/>
      <c r="O69" s="417"/>
      <c r="P69" s="412"/>
      <c r="Q69" s="412"/>
      <c r="R69" s="456"/>
      <c r="S69" s="456"/>
      <c r="T69" s="456"/>
      <c r="U69" s="456"/>
      <c r="V69" s="456"/>
      <c r="W69" s="456"/>
      <c r="X69" s="456"/>
      <c r="Y69" s="456"/>
      <c r="Z69" s="456"/>
      <c r="AA69" s="456"/>
      <c r="AB69" s="456"/>
      <c r="AC69" s="456"/>
    </row>
    <row r="70" spans="1:29" s="190" customFormat="1" ht="15">
      <c r="A70" s="345" t="s">
        <v>936</v>
      </c>
      <c r="B70" s="338"/>
      <c r="C70" s="346" t="s">
        <v>937</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997</v>
      </c>
      <c r="B72" s="349" t="s">
        <v>998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953</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8"/>
      <c r="I93" s="998"/>
      <c r="J93" s="998"/>
      <c r="K93" s="998"/>
      <c r="L93" s="999"/>
      <c r="M93" s="100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4"/>
      <c r="I94" s="1004"/>
      <c r="J94" s="1004"/>
      <c r="K94" s="1004"/>
      <c r="L94" s="1004"/>
      <c r="M94" s="100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8"/>
      <c r="I95" s="998"/>
      <c r="J95" s="998"/>
      <c r="K95" s="998"/>
      <c r="L95" s="998"/>
      <c r="M95" s="100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1002</v>
      </c>
      <c r="D97" s="356" t="s">
        <v>1003</v>
      </c>
      <c r="E97" s="356" t="s">
        <v>1004</v>
      </c>
      <c r="F97" s="356" t="s">
        <v>1005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955</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956</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0"/>
      <c r="H108" s="1810"/>
      <c r="I108" s="1810"/>
      <c r="J108" s="1810"/>
      <c r="K108" s="1810"/>
      <c r="L108" s="1810"/>
      <c r="M108" s="1818"/>
      <c r="N108" s="425"/>
      <c r="O108" s="425"/>
      <c r="P108" s="436"/>
      <c r="Q108" s="457"/>
      <c r="R108" s="458"/>
      <c r="S108" s="458"/>
      <c r="T108" s="458"/>
      <c r="U108" s="458"/>
      <c r="V108" s="458"/>
      <c r="W108" s="458"/>
      <c r="X108" s="458"/>
      <c r="Y108" s="458"/>
      <c r="Z108" s="458"/>
      <c r="AA108" s="458"/>
      <c r="AB108" s="458"/>
      <c r="AC108" s="458"/>
    </row>
    <row r="109" spans="1:29">
      <c r="A109" s="348" t="s">
        <v>1006</v>
      </c>
      <c r="B109" s="349" t="s">
        <v>959</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9" t="str">
        <f t="shared" si="25"/>
        <v>(含)-</v>
      </c>
      <c r="L109" s="1820" t="str">
        <f t="shared" si="25"/>
        <v>(含)-</v>
      </c>
      <c r="M109" s="182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960</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963</v>
      </c>
      <c r="C114" s="1811"/>
      <c r="D114" s="1811"/>
      <c r="E114" s="1811"/>
      <c r="F114" s="1811"/>
      <c r="G114" s="181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1108</v>
      </c>
      <c r="B1" s="1389"/>
      <c r="C1" s="1390" t="s">
        <v>389</v>
      </c>
      <c r="D1" s="1391">
        <f>SUM(D29:D30,D33:D39)</f>
        <v>0</v>
      </c>
      <c r="E1" s="1390" t="s">
        <v>392</v>
      </c>
      <c r="F1" s="1392"/>
      <c r="G1" s="1393"/>
      <c r="H1" s="1393"/>
      <c r="I1" s="1393"/>
      <c r="J1" s="1393"/>
      <c r="K1" s="1393"/>
      <c r="L1" s="1581" t="s">
        <v>1109</v>
      </c>
      <c r="M1" s="1582">
        <f>SUMPRODUCT((区片价!B5:B9=I2)*(区片价!C3:F3=E2)*(区片价!C5:F9))</f>
        <v>0</v>
      </c>
      <c r="N1" s="1583">
        <f>SUMPRODUCT((因素修正幅度!B5:B9=I2)*(因素修正幅度!C3:F3=E2)*(因素修正幅度!C5:F9))</f>
        <v>0</v>
      </c>
      <c r="O1" s="1584"/>
      <c r="P1" s="1584"/>
      <c r="Q1" s="1584"/>
      <c r="R1" s="1659" t="s">
        <v>1110</v>
      </c>
      <c r="S1" s="1659" t="s">
        <v>1111</v>
      </c>
      <c r="T1" s="1659" t="s">
        <v>1112</v>
      </c>
      <c r="U1" s="1659" t="s">
        <v>1113</v>
      </c>
      <c r="V1" s="1659" t="s">
        <v>619</v>
      </c>
      <c r="W1" s="1584"/>
      <c r="X1" s="1584"/>
      <c r="Y1" s="1584"/>
      <c r="Z1" s="1584"/>
      <c r="AA1" s="1584"/>
      <c r="AB1" s="1584"/>
      <c r="AC1" s="1670"/>
    </row>
    <row r="2" spans="1:39" ht="15.75">
      <c r="A2" s="1390" t="s">
        <v>1114</v>
      </c>
      <c r="B2" s="1394" t="e">
        <f>C26</f>
        <v>#DIV/0!</v>
      </c>
      <c r="C2" s="1395" t="s">
        <v>1040</v>
      </c>
      <c r="D2" s="1396" t="s">
        <v>348</v>
      </c>
      <c r="E2" s="1397"/>
      <c r="F2" s="1396" t="s">
        <v>219</v>
      </c>
      <c r="G2" s="1398">
        <f>IF(E2="商业",项目基本情况!B43,IF(E2="办公",项目基本情况!C43,IF(E2="住宅",项目基本情况!D43,项目基本情况!E43)))</f>
        <v>0</v>
      </c>
      <c r="H2" s="1396" t="s">
        <v>427</v>
      </c>
      <c r="I2" s="1585">
        <f>IF(E2="商业",项目基本情况!B44,IF(E2="办公",项目基本情况!C44,IF(E2="住宅",项目基本情况!D44,项目基本情况!E44)))</f>
        <v>0</v>
      </c>
      <c r="J2" s="1586"/>
      <c r="K2" s="1393"/>
      <c r="L2" s="1587" t="s">
        <v>1115</v>
      </c>
      <c r="M2" s="1588">
        <f>SUMPRODUCT((区片价!B10:B28=I2)*(区片价!C3:F3=E2)*(区片价!C10:F28))</f>
        <v>0</v>
      </c>
      <c r="N2" s="1589">
        <f>SUMPRODUCT((因素修正幅度!B10:B28=I2)*(因素修正幅度!C3:F3=E2)*(因素修正幅度!C10:F28))</f>
        <v>0</v>
      </c>
      <c r="O2" s="1584"/>
      <c r="P2" s="1584"/>
      <c r="Q2" s="1584"/>
      <c r="R2" s="1660">
        <v>1</v>
      </c>
      <c r="S2" s="1660">
        <f>ROUND(IF(G3&gt;1,IF(R2&lt;7,SUMPRODUCT((B93:B98=R2)*(C92:N92=G2)*(C93:N98)),SUMIF(C92:N92,G2,C100:N100)),IF(R2&lt;7,SUMPRODUCT((B102:B107=R2)*(C92:N92=G2)*(C102:N107)),SUMIF(C92:N92,G2,C109:N109))),4)</f>
        <v>0</v>
      </c>
      <c r="T2" s="1660" t="e">
        <f>ROUND($C$5*$C$18*$C$19*$C$20*S2*$C$24,0)</f>
        <v>#DIV/0!</v>
      </c>
      <c r="U2" s="1661"/>
      <c r="V2" s="1660" t="e">
        <f>ROUND(T2*U2/10000,0)</f>
        <v>#DIV/0!</v>
      </c>
      <c r="W2" s="1584"/>
      <c r="X2" s="1584"/>
      <c r="Y2" s="1584"/>
      <c r="Z2" s="1584"/>
      <c r="AA2" s="1584"/>
      <c r="AB2" s="1584"/>
      <c r="AC2" s="1670"/>
    </row>
    <row r="3" spans="1:39" ht="15.75">
      <c r="A3" s="1399" t="s">
        <v>918</v>
      </c>
      <c r="B3" s="1394" t="e">
        <f>ROUND(B2*10000/D1,0)</f>
        <v>#DIV/0!</v>
      </c>
      <c r="C3" s="1395" t="s">
        <v>1116</v>
      </c>
      <c r="D3" s="1396" t="s">
        <v>1117</v>
      </c>
      <c r="E3" s="1400"/>
      <c r="F3" s="1401" t="s">
        <v>1118</v>
      </c>
      <c r="G3" s="1402">
        <f>IF(F3="宗地容积率",'数据-汇总表'!I4,IF(F3="估价对象容积率",'数据-汇总表'!I6,'数据-汇总表'!I7))</f>
        <v>1.1299999999999999</v>
      </c>
      <c r="H3" s="1403" t="s">
        <v>1119</v>
      </c>
      <c r="I3" s="1590">
        <v>8</v>
      </c>
      <c r="J3" s="1586" t="s">
        <v>1120</v>
      </c>
      <c r="K3" s="1393"/>
      <c r="L3" s="1587" t="s">
        <v>1121</v>
      </c>
      <c r="M3" s="1588">
        <f>SUMPRODUCT((区片价!B29:B48=I2)*(区片价!C3:F3=E2)*(区片价!C29:F48))</f>
        <v>0</v>
      </c>
      <c r="N3" s="1589">
        <f>SUMPRODUCT((因素修正幅度!B29:B48=I2)*(因素修正幅度!C3:F3=E2)*(因素修正幅度!C29:F48))</f>
        <v>0</v>
      </c>
      <c r="O3" s="1584"/>
      <c r="P3" s="1584"/>
      <c r="Q3" s="1584"/>
      <c r="R3" s="1660">
        <v>2</v>
      </c>
      <c r="S3" s="1660">
        <f>ROUND(IF(G3&gt;1,IF(R3&lt;7,SUMPRODUCT((B93:B98=R3)*(C92:N92=G2)*(C93:N98)),SUMIF(C92:N92,G2,C100:N100)),IF(R3&lt;7,SUMPRODUCT((B102:B107=R3)*(C92:N92=G2)*(C102:N107)),SUMIF(C92:N92,G2,C109:N109))),4)</f>
        <v>0</v>
      </c>
      <c r="T3" s="1660" t="e">
        <f t="shared" ref="T3:T16" si="0">ROUND($C$5*$C$18*$C$19*$C$20*S3*$C$24,0)</f>
        <v>#DIV/0!</v>
      </c>
      <c r="U3" s="1661"/>
      <c r="V3" s="1660" t="e">
        <f t="shared" ref="V3:V16" si="1">ROUND(T3*U3/10000,0)</f>
        <v>#DIV/0!</v>
      </c>
      <c r="W3" s="1584"/>
      <c r="X3" s="1584"/>
      <c r="Y3" s="1584"/>
      <c r="Z3" s="1584"/>
      <c r="AA3" s="1584"/>
      <c r="AB3" s="1584"/>
      <c r="AC3" s="1670"/>
    </row>
    <row r="4" spans="1:39" ht="28.5">
      <c r="A4" s="1404" t="s">
        <v>966</v>
      </c>
      <c r="B4" s="1405" t="e">
        <f>ROUND(B2*10000/F1,0)</f>
        <v>#DIV/0!</v>
      </c>
      <c r="C4" s="1406" t="s">
        <v>1116</v>
      </c>
      <c r="D4" s="1406" t="e">
        <f>ROUND(B2/(F1/666.67),0)</f>
        <v>#DIV/0!</v>
      </c>
      <c r="E4" s="1406" t="s">
        <v>1122</v>
      </c>
      <c r="F4" s="1407"/>
      <c r="G4" s="1407"/>
      <c r="H4" s="1407"/>
      <c r="I4" s="1407"/>
      <c r="J4" s="1591"/>
      <c r="K4" s="1393"/>
      <c r="L4" s="1587" t="s">
        <v>1123</v>
      </c>
      <c r="M4" s="1588">
        <f>SUMPRODUCT((区片价!B49:B75=I2)*(区片价!C3:F3=E2)*(区片价!C49:F75))</f>
        <v>0</v>
      </c>
      <c r="N4" s="1589">
        <f>SUMPRODUCT((因素修正幅度!B49:B75=I2)*(因素修正幅度!C3:F3=E2)*(因素修正幅度!C49:F75))</f>
        <v>0</v>
      </c>
      <c r="O4" s="1584"/>
      <c r="P4" s="1584"/>
      <c r="Q4" s="1584"/>
      <c r="R4" s="1660">
        <v>3</v>
      </c>
      <c r="S4" s="1660">
        <f>ROUND(IF(G3&gt;1,IF(R4&lt;7,SUMPRODUCT((B93:B98=R4)*(C92:N92=G2)*(C93:N98)),SUMIF(C92:N92,G2,C100:N100)),IF(R4&lt;7,SUMPRODUCT((B102:B107=R4)*(C92:N92=G2)*(C102:N107)),SUMIF(C92:N92,G2,C109:N109))),4)</f>
        <v>0</v>
      </c>
      <c r="T4" s="1660" t="e">
        <f t="shared" si="0"/>
        <v>#DIV/0!</v>
      </c>
      <c r="U4" s="1661"/>
      <c r="V4" s="1660" t="e">
        <f t="shared" si="1"/>
        <v>#DIV/0!</v>
      </c>
      <c r="W4" s="1584"/>
      <c r="X4" s="1584"/>
      <c r="Y4" s="1584"/>
      <c r="Z4" s="1584"/>
      <c r="AA4" s="1584"/>
      <c r="AB4" s="1584"/>
      <c r="AC4" s="1670"/>
    </row>
    <row r="5" spans="1:39" s="1382" customFormat="1" ht="15">
      <c r="A5" s="1408" t="s">
        <v>850</v>
      </c>
      <c r="B5" s="1409" t="s">
        <v>1124</v>
      </c>
      <c r="C5" s="1410" t="e">
        <f>ROUND(IF(E2="商业",IF(F16="增加",C6*C7+C16,C6*C7-C16),IF(E2="住宅",IF(F16="增加",C6*C12+C16,C6*C12-C16),IF(F16="增加",C6+C16,C6-C16))),0)</f>
        <v>#DIV/0!</v>
      </c>
      <c r="D5" s="1411" t="e">
        <f>ROUND(IF(F16="增加",C6+C16,C6-C16),0)</f>
        <v>#DIV/0!</v>
      </c>
      <c r="E5" s="1411"/>
      <c r="F5" s="1412"/>
      <c r="G5" s="1413"/>
      <c r="H5" s="1413"/>
      <c r="I5" s="1413"/>
      <c r="J5" s="1592"/>
      <c r="K5" s="1593"/>
      <c r="L5" s="1587" t="s">
        <v>1125</v>
      </c>
      <c r="M5" s="1588">
        <f>SUMPRODUCT((区片价!B76:B109=I2)*(区片价!C3:F3=E2)*(区片价!C76:F109))</f>
        <v>0</v>
      </c>
      <c r="N5" s="1589">
        <f>SUMPRODUCT((因素修正幅度!B76:B109=I2)*(因素修正幅度!C3:F3=E2)*(因素修正幅度!C76:F109))</f>
        <v>0</v>
      </c>
      <c r="O5" s="1584"/>
      <c r="P5" s="1584"/>
      <c r="Q5" s="1584"/>
      <c r="R5" s="1660">
        <v>4</v>
      </c>
      <c r="S5" s="1660">
        <f>ROUND(IF(G3&gt;1,IF(R5&lt;7,SUMPRODUCT((B93:B98=R5)*(C92:N92=G2)*(C93:N98)),SUMIF(C92:N92,G2,C100:N100)),IF(R5&lt;7,SUMPRODUCT((B102:B107=R5)*(C92:N92=G2)*(C102:N107)),SUMIF(C92:N92,G2,C109:N109))),4)</f>
        <v>0</v>
      </c>
      <c r="T5" s="1660" t="e">
        <f t="shared" si="0"/>
        <v>#DIV/0!</v>
      </c>
      <c r="U5" s="1661"/>
      <c r="V5" s="1660" t="e">
        <f t="shared" si="1"/>
        <v>#DIV/0!</v>
      </c>
      <c r="W5" s="1584"/>
      <c r="X5" s="1584"/>
      <c r="Y5" s="1584"/>
      <c r="Z5" s="1584"/>
      <c r="AA5" s="1584"/>
      <c r="AB5" s="1584"/>
      <c r="AC5" s="1672"/>
      <c r="AD5" s="1673"/>
      <c r="AE5" s="1673"/>
      <c r="AF5" s="1673"/>
      <c r="AG5" s="1673"/>
      <c r="AH5" s="1673"/>
      <c r="AI5" s="1673"/>
      <c r="AJ5" s="1680"/>
      <c r="AK5" s="1680"/>
      <c r="AL5" s="1680"/>
      <c r="AM5" s="1680"/>
    </row>
    <row r="6" spans="1:39" ht="15">
      <c r="A6" s="1414" t="s">
        <v>1126</v>
      </c>
      <c r="B6" s="1415" t="s">
        <v>1124</v>
      </c>
      <c r="C6" s="1416">
        <f>SUMIF(L1:L12,基准地价!G2,M1:M12)</f>
        <v>0</v>
      </c>
      <c r="D6" s="1417" t="s">
        <v>1127</v>
      </c>
      <c r="E6" s="1418"/>
      <c r="F6" s="1418"/>
      <c r="G6" s="1419"/>
      <c r="H6" s="1419"/>
      <c r="I6" s="1419"/>
      <c r="J6" s="1594"/>
      <c r="K6" s="1595"/>
      <c r="L6" s="1587" t="s">
        <v>1128</v>
      </c>
      <c r="M6" s="1588">
        <f>SUMPRODUCT((区片价!B110:B157=I2)*(区片价!C3:F3=E2)*(区片价!C110:F157))</f>
        <v>0</v>
      </c>
      <c r="N6" s="1589">
        <f>SUMPRODUCT((因素修正幅度!B110:B157=I2)*(因素修正幅度!C3:F3=E2)*(因素修正幅度!C110:F157))</f>
        <v>0</v>
      </c>
      <c r="O6" s="1584"/>
      <c r="P6" s="1584"/>
      <c r="Q6" s="1584"/>
      <c r="R6" s="1660">
        <v>5</v>
      </c>
      <c r="S6" s="1660">
        <f>ROUND(IF(G3&gt;1,IF(R6&lt;7,SUMPRODUCT((B93:B98=R6)*(C92:N92=G2)*(C93:N98)),SUMIF(C92:N92,G2,C100:N100)),IF(R6&lt;7,SUMPRODUCT((B102:B107=R6)*(C92:N92=G2)*(C102:N107)),SUMIF(C92:N92,G2,C109:N109))),4)</f>
        <v>0</v>
      </c>
      <c r="T6" s="1660" t="e">
        <f t="shared" si="0"/>
        <v>#DIV/0!</v>
      </c>
      <c r="U6" s="1661"/>
      <c r="V6" s="1660" t="e">
        <f t="shared" si="1"/>
        <v>#DIV/0!</v>
      </c>
      <c r="W6" s="1584"/>
      <c r="X6" s="1584"/>
      <c r="Y6" s="1584"/>
      <c r="Z6" s="1584"/>
      <c r="AA6" s="1584"/>
      <c r="AB6" s="1584"/>
      <c r="AC6" s="1672"/>
      <c r="AD6" s="1673"/>
      <c r="AE6" s="1673"/>
      <c r="AF6" s="1673"/>
      <c r="AG6" s="1673"/>
      <c r="AH6" s="1673"/>
      <c r="AI6" s="1673"/>
      <c r="AJ6" s="1680"/>
    </row>
    <row r="7" spans="1:39" ht="24">
      <c r="A7" s="3372" t="str">
        <f>IF(E2="商业",IF(C8="不临58条商业街","",2),"")</f>
        <v/>
      </c>
      <c r="B7" s="1420" t="s">
        <v>1129</v>
      </c>
      <c r="C7" s="1421" t="e">
        <f>IF(C8="不临58条商业街",1,ROUND(1+(1.6*E8+1.2*E9+0.8*E10+0.4*E11)*C9,4))</f>
        <v>#DIV/0!</v>
      </c>
      <c r="D7" s="1422" t="s">
        <v>1130</v>
      </c>
      <c r="E7" s="1423"/>
      <c r="F7" s="1424"/>
      <c r="G7" s="1425"/>
      <c r="H7" s="1425"/>
      <c r="I7" s="1425"/>
      <c r="J7" s="1596"/>
      <c r="K7" s="1595"/>
      <c r="L7" s="1587" t="s">
        <v>1131</v>
      </c>
      <c r="M7" s="1588">
        <f>SUMPRODUCT((区片价!B158:B205=I2)*(区片价!C3:F3=E2)*(区片价!C158:F205))</f>
        <v>0</v>
      </c>
      <c r="N7" s="1589">
        <f>SUMPRODUCT((因素修正幅度!B158:B205=I2)*(因素修正幅度!C3:F3=E2)*(因素修正幅度!C158:F205))</f>
        <v>0</v>
      </c>
      <c r="O7" s="1584"/>
      <c r="P7" s="1584"/>
      <c r="Q7" s="1584"/>
      <c r="R7" s="1660">
        <v>6</v>
      </c>
      <c r="S7" s="1660">
        <f>ROUND(IF(G3&gt;1,IF(R7&lt;7,SUMPRODUCT((B93:B98=R7)*(C92:N92=G2)*(C93:N98)),SUMIF(C92:N92,G2,C100:N100)),IF(R7&lt;7,SUMPRODUCT((B102:B107=R7)*(C92:N92=G2)*(C102:N107)),SUMIF(C92:N92,G2,C109:N109))),4)</f>
        <v>0</v>
      </c>
      <c r="T7" s="1660" t="e">
        <f t="shared" si="0"/>
        <v>#DIV/0!</v>
      </c>
      <c r="U7" s="1661"/>
      <c r="V7" s="1660" t="e">
        <f t="shared" si="1"/>
        <v>#DIV/0!</v>
      </c>
      <c r="W7" s="1662" t="s">
        <v>1132</v>
      </c>
      <c r="X7" s="1663">
        <f>G2</f>
        <v>0</v>
      </c>
      <c r="Y7" s="1663" t="s">
        <v>1133</v>
      </c>
      <c r="Z7" s="1674">
        <f>G3</f>
        <v>1.1299999999999999</v>
      </c>
      <c r="AA7" s="1666"/>
      <c r="AB7" s="1666"/>
      <c r="AC7" s="1667"/>
      <c r="AD7" s="1675"/>
      <c r="AE7" s="1675"/>
      <c r="AF7" s="1675"/>
      <c r="AG7" s="1675"/>
      <c r="AH7" s="1675"/>
      <c r="AI7" s="1675"/>
      <c r="AJ7" s="1681"/>
    </row>
    <row r="8" spans="1:39" ht="15">
      <c r="A8" s="3373"/>
      <c r="B8" s="1403" t="s">
        <v>1134</v>
      </c>
      <c r="C8" s="1426"/>
      <c r="D8" s="1427" t="s">
        <v>1135</v>
      </c>
      <c r="E8" s="1428" t="e">
        <f>ROUND(C11/E7,4)</f>
        <v>#DIV/0!</v>
      </c>
      <c r="F8" s="1429" t="s">
        <v>1136</v>
      </c>
      <c r="G8" s="1430"/>
      <c r="H8" s="1430"/>
      <c r="I8" s="1430"/>
      <c r="J8" s="1597"/>
      <c r="K8" s="1393"/>
      <c r="L8" s="1587" t="s">
        <v>1137</v>
      </c>
      <c r="M8" s="1588">
        <f>SUMPRODUCT((区片价!B206:B244=I2)*(区片价!C3:F3=E2)*(区片价!C206:F244))</f>
        <v>0</v>
      </c>
      <c r="N8" s="1589">
        <f>SUMPRODUCT((因素修正幅度!B206:B244=I2)*(因素修正幅度!C3:F3=E2)*(因素修正幅度!C206:F244))</f>
        <v>0</v>
      </c>
      <c r="O8" s="1584"/>
      <c r="P8" s="1584"/>
      <c r="Q8" s="1584"/>
      <c r="R8" s="1660">
        <v>7</v>
      </c>
      <c r="S8" s="1661"/>
      <c r="T8" s="1660" t="e">
        <f t="shared" si="0"/>
        <v>#DIV/0!</v>
      </c>
      <c r="U8" s="1661"/>
      <c r="V8" s="1660" t="e">
        <f t="shared" si="1"/>
        <v>#DIV/0!</v>
      </c>
      <c r="W8" s="3368" t="s">
        <v>1138</v>
      </c>
      <c r="X8" s="3369"/>
      <c r="Y8" s="1520" t="s">
        <v>1139</v>
      </c>
      <c r="Z8" s="1520" t="s">
        <v>1140</v>
      </c>
      <c r="AA8" s="1520" t="s">
        <v>1141</v>
      </c>
      <c r="AB8" s="1520" t="s">
        <v>1142</v>
      </c>
      <c r="AC8" s="1520" t="s">
        <v>1143</v>
      </c>
      <c r="AD8" s="1520" t="s">
        <v>1144</v>
      </c>
      <c r="AE8" s="1520" t="s">
        <v>1145</v>
      </c>
      <c r="AF8" s="1520" t="s">
        <v>1146</v>
      </c>
      <c r="AG8" s="1520" t="s">
        <v>1147</v>
      </c>
      <c r="AH8" s="1520" t="s">
        <v>1148</v>
      </c>
      <c r="AI8" s="1520" t="s">
        <v>1149</v>
      </c>
      <c r="AJ8" s="1520" t="s">
        <v>1150</v>
      </c>
    </row>
    <row r="9" spans="1:39" ht="15">
      <c r="A9" s="3373"/>
      <c r="B9" s="1403" t="s">
        <v>1151</v>
      </c>
      <c r="C9" s="1431">
        <f>SUMIF(修正!C59:C119,C8,修正!E59:E119)</f>
        <v>0</v>
      </c>
      <c r="D9" s="1432" t="s">
        <v>1152</v>
      </c>
      <c r="E9" s="1432" t="e">
        <f>ROUND(C11/E7,4)</f>
        <v>#DIV/0!</v>
      </c>
      <c r="F9" s="1429" t="s">
        <v>1153</v>
      </c>
      <c r="G9" s="1430"/>
      <c r="H9" s="1430"/>
      <c r="I9" s="1430"/>
      <c r="J9" s="1597"/>
      <c r="K9" s="1393"/>
      <c r="L9" s="1587" t="s">
        <v>1154</v>
      </c>
      <c r="M9" s="1588">
        <f>SUMPRODUCT((区片价!B245:B289=I2)*(区片价!C3:F3=E2)*(区片价!C245:F289))</f>
        <v>0</v>
      </c>
      <c r="N9" s="1589">
        <f>SUMPRODUCT((因素修正幅度!B245:B289=I2)*(因素修正幅度!C3:F3=E2)*(因素修正幅度!C245:F289))</f>
        <v>0</v>
      </c>
      <c r="O9" s="1584"/>
      <c r="P9" s="1584"/>
      <c r="Q9" s="1584"/>
      <c r="R9" s="1660">
        <v>8</v>
      </c>
      <c r="S9" s="1661"/>
      <c r="T9" s="1660" t="e">
        <f t="shared" si="0"/>
        <v>#DIV/0!</v>
      </c>
      <c r="U9" s="1661"/>
      <c r="V9" s="1660" t="e">
        <f t="shared" si="1"/>
        <v>#DIV/0!</v>
      </c>
      <c r="W9" s="3385" t="s">
        <v>1155</v>
      </c>
      <c r="X9" s="1664" t="s">
        <v>1156</v>
      </c>
      <c r="Y9" s="1676"/>
      <c r="Z9" s="1677">
        <f>$Y$9</f>
        <v>0</v>
      </c>
      <c r="AA9" s="1677">
        <f t="shared" ref="AA9:AJ9" si="2">$Y$9</f>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373"/>
      <c r="B10" s="1403" t="s">
        <v>1157</v>
      </c>
      <c r="C10" s="1432">
        <f>SUMIF(修正!C59:C119,C8,修正!F59:F119)</f>
        <v>0</v>
      </c>
      <c r="D10" s="1432" t="s">
        <v>1158</v>
      </c>
      <c r="E10" s="1432" t="e">
        <f>ROUND(C11/E7,4)</f>
        <v>#DIV/0!</v>
      </c>
      <c r="F10" s="1429" t="s">
        <v>1159</v>
      </c>
      <c r="G10" s="1430"/>
      <c r="H10" s="1430"/>
      <c r="I10" s="1430"/>
      <c r="J10" s="1597"/>
      <c r="K10" s="1393"/>
      <c r="L10" s="1587" t="s">
        <v>1160</v>
      </c>
      <c r="M10" s="1588">
        <f>SUMPRODUCT((区片价!B290:B316=I2)*(区片价!C3:F3=E2)*(区片价!C290:F316))</f>
        <v>0</v>
      </c>
      <c r="N10" s="1589">
        <f>SUMPRODUCT((因素修正幅度!B290:B316=I2)*(因素修正幅度!C3:F3=E2)*(因素修正幅度!C290:F316))</f>
        <v>0</v>
      </c>
      <c r="O10" s="1584"/>
      <c r="P10" s="1584"/>
      <c r="Q10" s="1584"/>
      <c r="R10" s="1660">
        <v>9</v>
      </c>
      <c r="S10" s="1661"/>
      <c r="T10" s="1660" t="e">
        <f t="shared" si="0"/>
        <v>#DIV/0!</v>
      </c>
      <c r="U10" s="1661"/>
      <c r="V10" s="1660" t="e">
        <f t="shared" si="1"/>
        <v>#DIV/0!</v>
      </c>
      <c r="W10" s="3385"/>
      <c r="X10" s="1664">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c r="A11" s="3373"/>
      <c r="B11" s="1433" t="s">
        <v>1161</v>
      </c>
      <c r="C11" s="1434">
        <f>C10/4</f>
        <v>0</v>
      </c>
      <c r="D11" s="1434" t="s">
        <v>1162</v>
      </c>
      <c r="E11" s="1434" t="e">
        <f>ROUND(C11/E7,4)</f>
        <v>#DIV/0!</v>
      </c>
      <c r="F11" s="1435" t="s">
        <v>1163</v>
      </c>
      <c r="G11" s="1436"/>
      <c r="H11" s="1436"/>
      <c r="I11" s="1436"/>
      <c r="J11" s="1598"/>
      <c r="K11" s="1393"/>
      <c r="L11" s="1587" t="s">
        <v>1164</v>
      </c>
      <c r="M11" s="1588">
        <f>SUMPRODUCT((区片价!B317:B337=I2)*(区片价!C3:F3=E2)*(区片价!C317:F337))</f>
        <v>0</v>
      </c>
      <c r="N11" s="1589">
        <f>SUMPRODUCT((因素修正幅度!B317:B337=I2)*(因素修正幅度!C3:F3=E2)*(因素修正幅度!C317:F337))</f>
        <v>0</v>
      </c>
      <c r="O11" s="1584"/>
      <c r="P11" s="1584"/>
      <c r="Q11" s="1584"/>
      <c r="R11" s="1660">
        <v>10</v>
      </c>
      <c r="S11" s="1661"/>
      <c r="T11" s="1660" t="e">
        <f t="shared" si="0"/>
        <v>#DIV/0!</v>
      </c>
      <c r="U11" s="1661"/>
      <c r="V11" s="1660" t="e">
        <f t="shared" si="1"/>
        <v>#DIV/0!</v>
      </c>
      <c r="W11" s="3385" t="s">
        <v>1165</v>
      </c>
      <c r="X11" s="1432" t="s">
        <v>1133</v>
      </c>
      <c r="Y11" s="1585">
        <f>$G$3</f>
        <v>1.1299999999999999</v>
      </c>
      <c r="Z11" s="1585">
        <f t="shared" ref="Z11:AJ11" si="3">$G$3</f>
        <v>1.1299999999999999</v>
      </c>
      <c r="AA11" s="1585">
        <f t="shared" si="3"/>
        <v>1.1299999999999999</v>
      </c>
      <c r="AB11" s="1585">
        <f t="shared" si="3"/>
        <v>1.1299999999999999</v>
      </c>
      <c r="AC11" s="1585">
        <f t="shared" si="3"/>
        <v>1.1299999999999999</v>
      </c>
      <c r="AD11" s="1585">
        <f t="shared" si="3"/>
        <v>1.1299999999999999</v>
      </c>
      <c r="AE11" s="1585">
        <f t="shared" si="3"/>
        <v>1.1299999999999999</v>
      </c>
      <c r="AF11" s="1585">
        <f t="shared" si="3"/>
        <v>1.1299999999999999</v>
      </c>
      <c r="AG11" s="1585">
        <f t="shared" si="3"/>
        <v>1.1299999999999999</v>
      </c>
      <c r="AH11" s="1585">
        <f t="shared" si="3"/>
        <v>1.1299999999999999</v>
      </c>
      <c r="AI11" s="1585">
        <f t="shared" si="3"/>
        <v>1.1299999999999999</v>
      </c>
      <c r="AJ11" s="1585">
        <f t="shared" si="3"/>
        <v>1.1299999999999999</v>
      </c>
    </row>
    <row r="12" spans="1:39" ht="24.75">
      <c r="A12" s="3372" t="s">
        <v>1166</v>
      </c>
      <c r="B12" s="1437" t="s">
        <v>1167</v>
      </c>
      <c r="C12" s="1421">
        <f>ROUND(C15*D15*E15*F15*G15*H15*I15*J15,4)</f>
        <v>1</v>
      </c>
      <c r="D12" s="1438" t="s">
        <v>1168</v>
      </c>
      <c r="E12" s="1439"/>
      <c r="F12" s="1439"/>
      <c r="G12" s="1440"/>
      <c r="H12" s="1440"/>
      <c r="I12" s="1440"/>
      <c r="J12" s="1599"/>
      <c r="K12" s="1393"/>
      <c r="L12" s="1600" t="s">
        <v>1169</v>
      </c>
      <c r="M12" s="1601">
        <f>SUMPRODUCT((区片价!B338:B344=I2)*(区片价!C3:F3=E2)*(区片价!C338:F344))</f>
        <v>0</v>
      </c>
      <c r="N12" s="1602">
        <f>SUMPRODUCT((因素修正幅度!B338:B344=I2)*(因素修正幅度!C3:F3=E2)*(因素修正幅度!C338:F344))</f>
        <v>0</v>
      </c>
      <c r="O12" s="1584"/>
      <c r="P12" s="1584"/>
      <c r="Q12" s="1584"/>
      <c r="R12" s="1660">
        <v>11</v>
      </c>
      <c r="S12" s="1661"/>
      <c r="T12" s="1660" t="e">
        <f t="shared" si="0"/>
        <v>#DIV/0!</v>
      </c>
      <c r="U12" s="1661"/>
      <c r="V12" s="1660" t="e">
        <f t="shared" si="1"/>
        <v>#DIV/0!</v>
      </c>
      <c r="W12" s="3385"/>
      <c r="X12" s="1665" t="s">
        <v>1170</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374"/>
      <c r="B13" s="1441" t="s">
        <v>1171</v>
      </c>
      <c r="C13" s="1442" t="s">
        <v>1172</v>
      </c>
      <c r="D13" s="1320" t="s">
        <v>1173</v>
      </c>
      <c r="E13" s="1320" t="s">
        <v>1174</v>
      </c>
      <c r="F13" s="1443" t="s">
        <v>1175</v>
      </c>
      <c r="G13" s="1444" t="s">
        <v>1176</v>
      </c>
      <c r="H13" s="1445" t="s">
        <v>1176</v>
      </c>
      <c r="I13" s="1603" t="s">
        <v>1176</v>
      </c>
      <c r="J13" s="1604" t="s">
        <v>1176</v>
      </c>
      <c r="K13" s="1393"/>
      <c r="L13" s="1584"/>
      <c r="M13" s="1584"/>
      <c r="N13" s="1584"/>
      <c r="O13" s="1584"/>
      <c r="P13" s="1584"/>
      <c r="Q13" s="1584"/>
      <c r="R13" s="1660">
        <v>12</v>
      </c>
      <c r="S13" s="1661"/>
      <c r="T13" s="1660" t="e">
        <f t="shared" si="0"/>
        <v>#DIV/0!</v>
      </c>
      <c r="U13" s="1661"/>
      <c r="V13" s="1660" t="e">
        <f t="shared" si="1"/>
        <v>#DIV/0!</v>
      </c>
      <c r="W13" s="3385"/>
      <c r="X13" s="1665"/>
      <c r="Y13" s="1678">
        <f>(-0.163*(Y12^2)-0.59*Y12+7617)*(10^(-4))/Y11</f>
        <v>0.67407079646017709</v>
      </c>
      <c r="Z13" s="1678">
        <f t="shared" ref="Z13:AJ13" si="5">(-0.163*(Z12^2)-0.59*Z12+7617)*(10^(-4))/Z11</f>
        <v>0.67407079646017709</v>
      </c>
      <c r="AA13" s="1678">
        <f t="shared" si="5"/>
        <v>0.67407079646017709</v>
      </c>
      <c r="AB13" s="1678">
        <f t="shared" si="5"/>
        <v>0.67407079646017709</v>
      </c>
      <c r="AC13" s="1678">
        <f t="shared" si="5"/>
        <v>0.67407079646017709</v>
      </c>
      <c r="AD13" s="1678">
        <f t="shared" si="5"/>
        <v>0.67407079646017709</v>
      </c>
      <c r="AE13" s="1678">
        <f t="shared" si="5"/>
        <v>0.67407079646017709</v>
      </c>
      <c r="AF13" s="1678">
        <f t="shared" si="5"/>
        <v>0.67407079646017709</v>
      </c>
      <c r="AG13" s="1678">
        <f t="shared" si="5"/>
        <v>0.67407079646017709</v>
      </c>
      <c r="AH13" s="1678">
        <f t="shared" si="5"/>
        <v>0.67407079646017709</v>
      </c>
      <c r="AI13" s="1678">
        <f t="shared" si="5"/>
        <v>0.67407079646017709</v>
      </c>
      <c r="AJ13" s="1678">
        <f t="shared" si="5"/>
        <v>0.67407079646017709</v>
      </c>
    </row>
    <row r="14" spans="1:39" ht="12.75" customHeight="1">
      <c r="A14" s="3374"/>
      <c r="B14" s="1446"/>
      <c r="C14" s="1447"/>
      <c r="D14" s="1448"/>
      <c r="E14" s="1448"/>
      <c r="F14" s="1449"/>
      <c r="G14" s="1450" t="s">
        <v>1177</v>
      </c>
      <c r="H14" s="1451"/>
      <c r="I14" s="1605"/>
      <c r="J14" s="1606"/>
      <c r="K14" s="1393"/>
      <c r="L14" s="1584"/>
      <c r="M14" s="1584"/>
      <c r="N14" s="1584"/>
      <c r="O14" s="1584"/>
      <c r="P14" s="1584"/>
      <c r="Q14" s="1584"/>
      <c r="R14" s="1660">
        <v>13</v>
      </c>
      <c r="S14" s="1661"/>
      <c r="T14" s="1660" t="e">
        <f t="shared" si="0"/>
        <v>#DIV/0!</v>
      </c>
      <c r="U14" s="1661"/>
      <c r="V14" s="1660" t="e">
        <f t="shared" si="1"/>
        <v>#DIV/0!</v>
      </c>
      <c r="W14" s="1584"/>
      <c r="X14" s="1584"/>
      <c r="Y14" s="1584"/>
      <c r="Z14" s="1584"/>
      <c r="AA14" s="1584"/>
      <c r="AB14" s="1584"/>
      <c r="AC14" s="1670"/>
    </row>
    <row r="15" spans="1:39" ht="13.5" customHeight="1">
      <c r="A15" s="3375"/>
      <c r="B15" s="1452" t="s">
        <v>1178</v>
      </c>
      <c r="C15" s="1453">
        <f>IF(C14="有",1.1,1)</f>
        <v>1</v>
      </c>
      <c r="D15" s="1453">
        <f>IF(D14="有",1.1,1)</f>
        <v>1</v>
      </c>
      <c r="E15" s="1453">
        <f>IF(E14="有",1.1,1)</f>
        <v>1</v>
      </c>
      <c r="F15" s="1453">
        <f>IF(F14="500米范围内",1.2,IF(F14="500-1000米",1.1,1))</f>
        <v>1</v>
      </c>
      <c r="G15" s="1454">
        <v>1</v>
      </c>
      <c r="H15" s="1454">
        <v>1</v>
      </c>
      <c r="I15" s="1454">
        <v>1</v>
      </c>
      <c r="J15" s="1607">
        <v>1</v>
      </c>
      <c r="K15" s="1393"/>
      <c r="L15" s="1608" t="s">
        <v>348</v>
      </c>
      <c r="M15" s="1422" t="s">
        <v>377</v>
      </c>
      <c r="N15" s="1422" t="s">
        <v>378</v>
      </c>
      <c r="O15" s="1422" t="s">
        <v>376</v>
      </c>
      <c r="P15" s="1609" t="s">
        <v>164</v>
      </c>
      <c r="Q15" s="1584"/>
      <c r="R15" s="1660">
        <v>14</v>
      </c>
      <c r="S15" s="1661"/>
      <c r="T15" s="1660" t="e">
        <f t="shared" si="0"/>
        <v>#DIV/0!</v>
      </c>
      <c r="U15" s="1661"/>
      <c r="V15" s="1660" t="e">
        <f t="shared" si="1"/>
        <v>#DIV/0!</v>
      </c>
      <c r="W15" s="1584"/>
      <c r="X15" s="1584"/>
      <c r="Y15" s="1584"/>
      <c r="Z15" s="1584"/>
      <c r="AA15" s="1584"/>
      <c r="AB15" s="1584"/>
      <c r="AC15" s="1670"/>
    </row>
    <row r="16" spans="1:39" ht="24">
      <c r="A16" s="3372" t="s">
        <v>903</v>
      </c>
      <c r="B16" s="1420" t="s">
        <v>1179</v>
      </c>
      <c r="C16" s="1455" t="e">
        <f>ROUND(SUM(G17:J17)/C17,0)</f>
        <v>#DIV/0!</v>
      </c>
      <c r="D16" s="1456" t="s">
        <v>1180</v>
      </c>
      <c r="E16" s="1457"/>
      <c r="F16" s="1458"/>
      <c r="G16" s="1459"/>
      <c r="H16" s="1459"/>
      <c r="I16" s="1459"/>
      <c r="J16" s="1459"/>
      <c r="K16" s="1393"/>
      <c r="L16" s="1610" t="s">
        <v>1181</v>
      </c>
      <c r="M16" s="1431">
        <v>0.25</v>
      </c>
      <c r="N16" s="1431">
        <v>0.2</v>
      </c>
      <c r="O16" s="1431">
        <v>0.15</v>
      </c>
      <c r="P16" s="1611">
        <v>0.1</v>
      </c>
      <c r="Q16" s="1666"/>
      <c r="R16" s="1660">
        <v>15</v>
      </c>
      <c r="S16" s="1661"/>
      <c r="T16" s="1660" t="e">
        <f t="shared" si="0"/>
        <v>#DIV/0!</v>
      </c>
      <c r="U16" s="1661"/>
      <c r="V16" s="1660" t="e">
        <f t="shared" si="1"/>
        <v>#DIV/0!</v>
      </c>
      <c r="W16" s="1666"/>
      <c r="X16" s="1666"/>
      <c r="Y16" s="1666"/>
      <c r="Z16" s="1666"/>
      <c r="AA16" s="1666"/>
      <c r="AB16" s="1666"/>
      <c r="AC16" s="1667"/>
    </row>
    <row r="17" spans="1:40" ht="12.75">
      <c r="A17" s="3373"/>
      <c r="B17" s="1460" t="s">
        <v>1182</v>
      </c>
      <c r="C17" s="1461">
        <f>SUMPRODUCT((修正!A2:A5=E2)*(修正!B1:M1=G2)*(修正!B2:M5))</f>
        <v>0</v>
      </c>
      <c r="D17" s="1462" t="s">
        <v>1183</v>
      </c>
      <c r="E17" s="1463" t="str">
        <f>IF(OR(G2="八级",G2="九级",G2="十级",G2="十一级",G2="十二级"),"五通一平","七通一平")</f>
        <v>七通一平</v>
      </c>
      <c r="F17" s="1464" t="s">
        <v>1184</v>
      </c>
      <c r="G17" s="1461">
        <f>SUMPRODUCT((七通一平=G16)*(修正!B1:M1=G2)*(修正!B6:M14))</f>
        <v>0</v>
      </c>
      <c r="H17" s="1461">
        <f>SUMPRODUCT((七通一平=H16)*(修正!B1:M1=G2)*(修正!B6:M14))</f>
        <v>0</v>
      </c>
      <c r="I17" s="1461">
        <f>SUMPRODUCT((七通一平=I16)*(修正!B1:M1=G2)*(修正!B6:M14))</f>
        <v>0</v>
      </c>
      <c r="J17" s="1612">
        <f>SUMPRODUCT((七通一平=J16)*(修正!B1:M1=G2)*(修正!B6:M14))</f>
        <v>0</v>
      </c>
      <c r="K17" s="1393"/>
      <c r="L17" s="1613" t="s">
        <v>1185</v>
      </c>
      <c r="M17" s="1614">
        <f ca="1">ROUND($E$20*(1+M16),3)</f>
        <v>5.3999999999999999E-2</v>
      </c>
      <c r="N17" s="1614">
        <f ca="1">ROUND($E$20*(1+N16),3)</f>
        <v>5.1999999999999998E-2</v>
      </c>
      <c r="O17" s="1614">
        <f ca="1">ROUND($E$20*(1+O16),3)</f>
        <v>0.05</v>
      </c>
      <c r="P17" s="1615">
        <f ca="1">ROUND($E$20*(1+P16),3)</f>
        <v>4.8000000000000001E-2</v>
      </c>
      <c r="Q17" s="1666"/>
      <c r="R17" s="1667"/>
      <c r="S17" s="1667"/>
      <c r="T17" s="1667"/>
      <c r="U17" s="1667"/>
      <c r="V17" s="1667"/>
      <c r="W17" s="1666"/>
      <c r="X17" s="1666"/>
      <c r="Y17" s="1666"/>
      <c r="Z17" s="1666"/>
      <c r="AA17" s="1666"/>
      <c r="AB17" s="1666"/>
      <c r="AC17" s="1667"/>
      <c r="AH17" s="1383"/>
      <c r="AI17" s="1383"/>
      <c r="AJ17" s="1386"/>
      <c r="AK17" s="1386"/>
      <c r="AL17" s="1386"/>
      <c r="AM17" s="1386"/>
    </row>
    <row r="18" spans="1:40" s="1382" customFormat="1" ht="15">
      <c r="A18" s="1465" t="s">
        <v>859</v>
      </c>
      <c r="B18" s="1466" t="s">
        <v>1186</v>
      </c>
      <c r="C18" s="1467">
        <f>SUMIF(修正!C18:C39,E3,修正!E18:E39)</f>
        <v>0</v>
      </c>
      <c r="D18" s="1468"/>
      <c r="E18" s="1469"/>
      <c r="F18" s="1470"/>
      <c r="G18" s="1471"/>
      <c r="H18" s="1471"/>
      <c r="I18" s="1471"/>
      <c r="J18" s="1616"/>
      <c r="K18" s="1488"/>
      <c r="L18" s="1488"/>
      <c r="M18" s="1488"/>
      <c r="N18" s="1488"/>
      <c r="O18" s="1617"/>
      <c r="P18" s="1617"/>
      <c r="Q18" s="1668"/>
      <c r="R18" s="1668"/>
      <c r="S18" s="1668"/>
      <c r="T18" s="1668"/>
      <c r="U18" s="1668"/>
      <c r="V18" s="1668"/>
      <c r="W18" s="1667"/>
      <c r="X18" s="1667"/>
      <c r="Y18" s="1667"/>
      <c r="Z18" s="1667"/>
      <c r="AA18" s="1666"/>
      <c r="AB18" s="1666"/>
      <c r="AC18" s="1639"/>
      <c r="AD18" s="1679"/>
      <c r="AE18" s="1679"/>
      <c r="AF18" s="1679"/>
      <c r="AG18" s="1679"/>
      <c r="AH18" s="1387"/>
      <c r="AI18" s="1387"/>
      <c r="AJ18" s="1384"/>
      <c r="AK18" s="1384"/>
      <c r="AL18" s="1384"/>
    </row>
    <row r="19" spans="1:40" s="1382" customFormat="1" ht="27">
      <c r="A19" s="1472" t="s">
        <v>864</v>
      </c>
      <c r="B19" s="1473" t="s">
        <v>1187</v>
      </c>
      <c r="C19" s="1474" t="e">
        <f>ROUND(IF(H19="按公示增长率计算",SUMPRODUCT((地价!A3:A25=YEAR(G19)&amp;"-"&amp;ROUNDUP(MONTH(G19)/3,0))*(地价!X2:AB2=E2)*(地价!X3:AB25)),IF(H19="地价指数",M20/M19,(1+I19)^O19)),4)</f>
        <v>#DIV/0!</v>
      </c>
      <c r="D19" s="1475" t="s">
        <v>1188</v>
      </c>
      <c r="E19" s="1476">
        <v>41640</v>
      </c>
      <c r="F19" s="1475" t="s">
        <v>354</v>
      </c>
      <c r="G19" s="1477">
        <f>'数据-取费表'!B2</f>
        <v>43600</v>
      </c>
      <c r="H19" s="1478" t="s">
        <v>1189</v>
      </c>
      <c r="I19" s="1618" t="str">
        <f>IF(H19="季度增幅（自定义）",SUMIF(N21:N24,E2,O21:O24),"")</f>
        <v/>
      </c>
      <c r="J19" s="1619"/>
      <c r="K19" s="1488"/>
      <c r="L19" s="1620" t="s">
        <v>1190</v>
      </c>
      <c r="M19" s="1621">
        <f>ROUND(SUMIF(地价!B2:F2,E2,地价!B25:F25),0)</f>
        <v>0</v>
      </c>
      <c r="N19" s="1622" t="s">
        <v>1191</v>
      </c>
      <c r="O19" s="1623">
        <f>ROUNDDOWN(DATEDIF(E19,G19,"M")/3,0)</f>
        <v>21</v>
      </c>
      <c r="P19" s="1624"/>
      <c r="R19" s="1669"/>
      <c r="S19" s="1669"/>
      <c r="T19" s="1669"/>
      <c r="U19" s="1669"/>
      <c r="V19" s="1669"/>
      <c r="W19" s="1639"/>
      <c r="X19" s="1639"/>
      <c r="Y19" s="1639"/>
      <c r="Z19" s="1639"/>
      <c r="AA19" s="1639"/>
      <c r="AB19" s="1639"/>
      <c r="AC19" s="1639"/>
      <c r="AD19" s="1387"/>
      <c r="AE19" s="1387"/>
      <c r="AF19" s="1387"/>
      <c r="AG19" s="1387"/>
      <c r="AH19" s="1679"/>
      <c r="AI19" s="1682"/>
      <c r="AJ19" s="1683"/>
      <c r="AK19" s="1384"/>
      <c r="AL19" s="1680"/>
      <c r="AM19" s="1680"/>
      <c r="AN19" s="1680"/>
    </row>
    <row r="20" spans="1:40" s="1382" customFormat="1" ht="27">
      <c r="A20" s="1479" t="s">
        <v>867</v>
      </c>
      <c r="B20" s="1480" t="s">
        <v>1192</v>
      </c>
      <c r="C20" s="1481" t="e">
        <f>ROUND(POWER(1+G20,J20-I20)*(POWER(1+G20,I20)-1)/(POWER(1+G20,J20)-1),4)</f>
        <v>#DIV/0!</v>
      </c>
      <c r="D20" s="1482" t="s">
        <v>1193</v>
      </c>
      <c r="E20" s="1483">
        <f ca="1">存贷款利率!I4/100</f>
        <v>4.3499999999999997E-2</v>
      </c>
      <c r="F20" s="1482" t="s">
        <v>1185</v>
      </c>
      <c r="G20" s="1484">
        <f>SUMIF(M15:P15,E2,M17:P17)</f>
        <v>0</v>
      </c>
      <c r="H20" s="1482" t="s">
        <v>1194</v>
      </c>
      <c r="I20" s="1625" t="e">
        <f>SUMIF('数据-取费表'!C6:C15,E2,'数据-取费表'!F6:F15)/COUNTIF('数据-取费表'!C6:C15,E2)</f>
        <v>#DIV/0!</v>
      </c>
      <c r="J20" s="1626">
        <f>IF(E2="住宅",70,IF(E2="商业",40,50))</f>
        <v>50</v>
      </c>
      <c r="K20" s="1488"/>
      <c r="L20" s="1627" t="s">
        <v>1195</v>
      </c>
      <c r="M20" s="1628">
        <f>ROUND(SUMPRODUCT((地价!A4:A25=YEAR(G19)&amp;"-"&amp;ROUNDUP(MONTH(G19)/3,0))*(地价!B2:F2=E2)*(地价!B4:F25)),0)</f>
        <v>0</v>
      </c>
      <c r="N20" s="1629" t="s">
        <v>1196</v>
      </c>
      <c r="O20" s="1630" t="s">
        <v>1197</v>
      </c>
      <c r="P20" s="1631" t="s">
        <v>1198</v>
      </c>
      <c r="R20" s="1669"/>
      <c r="S20" s="1669"/>
      <c r="T20" s="1669"/>
      <c r="U20" s="1669"/>
      <c r="V20" s="1669"/>
      <c r="W20" s="1639"/>
      <c r="X20" s="1639"/>
      <c r="Y20" s="1639"/>
      <c r="Z20" s="1639"/>
      <c r="AA20" s="1639"/>
      <c r="AB20" s="1639"/>
      <c r="AC20" s="1639"/>
      <c r="AD20" s="1679"/>
      <c r="AE20" s="1679"/>
      <c r="AF20" s="1679"/>
      <c r="AG20" s="1679"/>
      <c r="AH20" s="1679"/>
      <c r="AI20" s="1679"/>
    </row>
    <row r="21" spans="1:40" s="1382" customFormat="1" ht="14.25">
      <c r="A21" s="1485" t="s">
        <v>893</v>
      </c>
      <c r="B21" s="1486" t="s">
        <v>1199</v>
      </c>
      <c r="C21" s="1487">
        <f>IF(B21="容积率修正",IF(G3&lt;=10,D22,J22),C23)</f>
        <v>0</v>
      </c>
      <c r="D21" s="1488"/>
      <c r="E21" s="1488"/>
      <c r="F21" s="1488"/>
      <c r="G21" s="1488"/>
      <c r="H21" s="1488"/>
      <c r="I21" s="1488"/>
      <c r="J21" s="1632"/>
      <c r="K21" s="1488"/>
      <c r="L21" s="1488"/>
      <c r="M21" s="1488"/>
      <c r="N21" s="1633" t="s">
        <v>377</v>
      </c>
      <c r="O21" s="1634"/>
      <c r="P21" s="1635">
        <f>SUMPRODUCT((地价!A3:A25=YEAR(G19)&amp;"-"&amp;ROUNDUP(MONTH(G19)/3,0))*(地价!AD2:AH2=N21)*(地价!AD3:AH25))</f>
        <v>0</v>
      </c>
      <c r="R21" s="1669"/>
      <c r="S21" s="1669"/>
      <c r="T21" s="1669"/>
      <c r="U21" s="1669"/>
      <c r="V21" s="1669"/>
      <c r="W21" s="1639"/>
      <c r="X21" s="1639"/>
      <c r="Y21" s="1639"/>
      <c r="Z21" s="1639"/>
      <c r="AA21" s="1639"/>
      <c r="AB21" s="1639"/>
      <c r="AC21" s="1639"/>
      <c r="AD21" s="1387"/>
      <c r="AE21" s="1387"/>
      <c r="AF21" s="1387"/>
      <c r="AG21" s="1387"/>
      <c r="AH21" s="1679"/>
      <c r="AI21" s="1679"/>
    </row>
    <row r="22" spans="1:40" s="1382" customFormat="1" ht="14.25">
      <c r="A22" s="1489" t="s">
        <v>1126</v>
      </c>
      <c r="B22" s="1490" t="s">
        <v>1200</v>
      </c>
      <c r="C22" s="1491" t="s">
        <v>1201</v>
      </c>
      <c r="D22" s="1491">
        <f>IF(E22=G22,F22,IF(G3&lt;=10,ROUND(F22+(H22-F22)*(G3-E22)/(G22-E22),4),"——"))</f>
        <v>0</v>
      </c>
      <c r="E22" s="1402">
        <f>ROUNDDOWN(G3,1)</f>
        <v>1.1000000000000001</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1.2000000000000002</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1202</v>
      </c>
      <c r="J22" s="1491" t="str">
        <f>IF(G3&gt;10,D113,"——")</f>
        <v>——</v>
      </c>
      <c r="K22" s="1488"/>
      <c r="L22" s="1488"/>
      <c r="M22" s="1488"/>
      <c r="N22" s="1633" t="s">
        <v>378</v>
      </c>
      <c r="O22" s="1634"/>
      <c r="P22" s="1635">
        <f>SUMPRODUCT((地价!A3:A25=YEAR(G19)&amp;"-"&amp;ROUNDUP(MONTH(G19)/3,0))*(地价!AD2:AH2=N22)*(地价!AD3:AH25))</f>
        <v>0</v>
      </c>
      <c r="R22" s="1669"/>
      <c r="S22" s="1669"/>
      <c r="T22" s="1669"/>
      <c r="U22" s="1669"/>
      <c r="V22" s="1669"/>
      <c r="W22" s="1639"/>
      <c r="X22" s="1639"/>
      <c r="Y22" s="1639"/>
      <c r="Z22" s="1639"/>
      <c r="AA22" s="1639"/>
      <c r="AB22" s="1639"/>
      <c r="AC22" s="1639"/>
      <c r="AD22" s="1679"/>
      <c r="AE22" s="1679"/>
      <c r="AF22" s="1679"/>
      <c r="AG22" s="1679"/>
      <c r="AH22" s="1679"/>
      <c r="AI22" s="1679"/>
    </row>
    <row r="23" spans="1:40" ht="27">
      <c r="A23" s="1489" t="s">
        <v>1166</v>
      </c>
      <c r="B23" s="1490" t="s">
        <v>1203</v>
      </c>
      <c r="C23" s="1492">
        <f>ROUND(IF(G3&gt;1,IF(I3&lt;7,SUMPRODUCT((B93:B98=I3)*(C92:N92=G2)*(C93:N98)),SUMIF(C92:N92,G2,C100:N100)),IF(I3&lt;7,SUMPRODUCT((B102:B107=I3)*(C92:N92=G2)*(C102:N107)),SUMIF(C92:N92,G2,C109:N109))),4)</f>
        <v>0</v>
      </c>
      <c r="D23" s="1493"/>
      <c r="E23" s="1493"/>
      <c r="F23" s="1494"/>
      <c r="G23" s="1495"/>
      <c r="H23" s="1496"/>
      <c r="I23" s="1636"/>
      <c r="J23" s="1636"/>
      <c r="K23" s="1393"/>
      <c r="L23" s="1393"/>
      <c r="M23" s="1393"/>
      <c r="N23" s="1633" t="s">
        <v>376</v>
      </c>
      <c r="O23" s="1634"/>
      <c r="P23" s="1635">
        <f>SUMPRODUCT((地价!A3:A25=YEAR(G19)&amp;"-"&amp;ROUNDUP(MONTH(G19)/3,0))*(地价!AD2:AH2=N23)*(地价!AD3:AH25))</f>
        <v>0</v>
      </c>
      <c r="R23" s="1669"/>
      <c r="S23" s="1669"/>
      <c r="T23" s="1669"/>
      <c r="U23" s="1669"/>
      <c r="V23" s="1669"/>
      <c r="W23" s="1639"/>
      <c r="X23" s="1639"/>
      <c r="Y23" s="1639"/>
      <c r="Z23" s="1639"/>
      <c r="AA23" s="1639"/>
      <c r="AB23" s="1639"/>
      <c r="AC23" s="1639"/>
      <c r="AN23" s="1384"/>
    </row>
    <row r="24" spans="1:40" s="1382" customFormat="1" ht="15">
      <c r="A24" s="1465" t="s">
        <v>1204</v>
      </c>
      <c r="B24" s="1409" t="s">
        <v>1205</v>
      </c>
      <c r="C24" s="1497">
        <f>SUMIF(A44:A87,E2,B44:B87)</f>
        <v>0</v>
      </c>
      <c r="D24" s="1498"/>
      <c r="E24" s="1499"/>
      <c r="F24" s="1499"/>
      <c r="G24" s="1499"/>
      <c r="H24" s="1499"/>
      <c r="I24" s="1499"/>
      <c r="J24" s="1499"/>
      <c r="K24" s="1488"/>
      <c r="L24" s="1488"/>
      <c r="M24" s="1488"/>
      <c r="N24" s="1637" t="s">
        <v>164</v>
      </c>
      <c r="O24" s="1638"/>
      <c r="P24" s="1615">
        <f>SUMPRODUCT((地价!A3:A25=YEAR(G19)&amp;"-"&amp;ROUNDUP(MONTH(G19)/3,0))*(地价!AD2:AH2=N24)*(地价!AD3:AH25))</f>
        <v>0</v>
      </c>
      <c r="R24" s="1669"/>
      <c r="S24" s="1669"/>
      <c r="T24" s="1669"/>
      <c r="U24" s="1669"/>
      <c r="V24" s="1669"/>
      <c r="W24" s="1639"/>
      <c r="X24" s="1639"/>
      <c r="Y24" s="1639"/>
      <c r="Z24" s="1639"/>
      <c r="AA24" s="1639"/>
      <c r="AB24" s="1639"/>
      <c r="AC24" s="1639"/>
      <c r="AD24" s="1679"/>
      <c r="AE24" s="1679"/>
      <c r="AF24" s="1679"/>
      <c r="AG24" s="1679"/>
      <c r="AH24" s="1679"/>
      <c r="AI24" s="1679"/>
    </row>
    <row r="25" spans="1:40" ht="14.25">
      <c r="A25" s="1465" t="s">
        <v>1206</v>
      </c>
      <c r="B25" s="1500" t="s">
        <v>1207</v>
      </c>
      <c r="C25" s="1501"/>
      <c r="D25" s="1425"/>
      <c r="E25" s="1425"/>
      <c r="F25" s="1502"/>
      <c r="G25" s="1425"/>
      <c r="H25" s="1425"/>
      <c r="I25" s="1425"/>
      <c r="J25" s="1596"/>
      <c r="K25" s="1393"/>
      <c r="L25" s="1639"/>
      <c r="M25" s="1639"/>
      <c r="N25" s="1640" t="s">
        <v>995</v>
      </c>
      <c r="O25" s="1639"/>
      <c r="P25" s="1615">
        <f>SUMPRODUCT((地价!A3:A25=YEAR(G19)&amp;"-"&amp;ROUNDUP(MONTH(G19)/3,0))*(地价!AD2:AH2=N25)*(地价!AD3:AH25))</f>
        <v>0</v>
      </c>
      <c r="R25" s="1669"/>
      <c r="S25" s="1669"/>
      <c r="T25" s="1669"/>
      <c r="U25" s="1669"/>
      <c r="V25" s="1669"/>
      <c r="W25" s="1639"/>
      <c r="X25" s="1639"/>
      <c r="Y25" s="1639"/>
      <c r="Z25" s="1639"/>
      <c r="AA25" s="1639"/>
      <c r="AB25" s="1639"/>
      <c r="AC25" s="1639"/>
    </row>
    <row r="26" spans="1:40" ht="14.25">
      <c r="A26" s="1503"/>
      <c r="B26" s="1490" t="s">
        <v>1208</v>
      </c>
      <c r="C26" s="1504" t="e">
        <f>E29+SUM(E33:E39)</f>
        <v>#DIV/0!</v>
      </c>
      <c r="D26" s="1505"/>
      <c r="E26" s="1451"/>
      <c r="F26" s="1506"/>
      <c r="G26" s="1451"/>
      <c r="H26" s="1451"/>
      <c r="I26" s="1451"/>
      <c r="J26" s="1641"/>
      <c r="K26" s="1393"/>
      <c r="L26" s="1639"/>
      <c r="M26" s="1639"/>
      <c r="N26" s="1639"/>
      <c r="O26" s="1639"/>
      <c r="P26" s="1639"/>
      <c r="Q26" s="1639"/>
      <c r="R26" s="1669"/>
      <c r="S26" s="1669"/>
      <c r="T26" s="1669"/>
      <c r="U26" s="1669"/>
      <c r="V26" s="1669"/>
      <c r="W26" s="1639"/>
      <c r="X26" s="1639"/>
      <c r="Y26" s="1639"/>
      <c r="Z26" s="1639"/>
      <c r="AA26" s="1639"/>
      <c r="AB26" s="1639"/>
      <c r="AC26" s="1639"/>
      <c r="AD26" s="1679"/>
      <c r="AE26" s="1679"/>
      <c r="AF26" s="1679"/>
      <c r="AG26" s="1679"/>
    </row>
    <row r="27" spans="1:40" ht="14.25">
      <c r="A27" s="1503"/>
      <c r="B27" s="1507" t="s">
        <v>1209</v>
      </c>
      <c r="C27" s="1508" t="e">
        <f>E30+SUM(I33:I39)</f>
        <v>#DIV/0!</v>
      </c>
      <c r="D27" s="1509"/>
      <c r="E27" s="1510"/>
      <c r="F27" s="1511"/>
      <c r="G27" s="1510"/>
      <c r="H27" s="1510"/>
      <c r="I27" s="1510"/>
      <c r="J27" s="1642"/>
      <c r="K27" s="1393"/>
      <c r="L27" s="1639"/>
      <c r="M27" s="1639"/>
      <c r="N27" s="1639"/>
      <c r="O27" s="1639"/>
      <c r="P27" s="1639"/>
      <c r="Q27" s="1639"/>
      <c r="R27" s="1669"/>
      <c r="S27" s="1669"/>
      <c r="T27" s="1669"/>
      <c r="U27" s="1669"/>
      <c r="V27" s="1669"/>
      <c r="W27" s="1639"/>
      <c r="X27" s="1639"/>
      <c r="Y27" s="1639"/>
      <c r="Z27" s="1639"/>
      <c r="AA27" s="1639"/>
      <c r="AB27" s="1639"/>
      <c r="AC27" s="1639"/>
    </row>
    <row r="28" spans="1:40" ht="14.25">
      <c r="A28" s="1512"/>
      <c r="B28" s="1513" t="s">
        <v>1210</v>
      </c>
      <c r="C28" s="1514" t="s">
        <v>1211</v>
      </c>
      <c r="D28" s="1514" t="s">
        <v>389</v>
      </c>
      <c r="E28" s="1515" t="s">
        <v>619</v>
      </c>
      <c r="F28" s="1516"/>
      <c r="G28" s="1440"/>
      <c r="H28" s="1440"/>
      <c r="I28" s="1440"/>
      <c r="J28" s="1599"/>
      <c r="K28" s="1393"/>
      <c r="L28" s="1639"/>
      <c r="M28" s="1639"/>
      <c r="N28" s="1639"/>
      <c r="O28" s="1639"/>
      <c r="P28" s="1639"/>
      <c r="Q28" s="1639"/>
      <c r="R28" s="1669"/>
      <c r="S28" s="1669"/>
      <c r="T28" s="1669"/>
      <c r="U28" s="1669"/>
      <c r="V28" s="1669"/>
      <c r="W28" s="1639"/>
      <c r="X28" s="1639"/>
      <c r="Y28" s="1639"/>
      <c r="Z28" s="1639"/>
      <c r="AA28" s="1639"/>
      <c r="AB28" s="1639"/>
      <c r="AC28" s="1639"/>
      <c r="AD28" s="1679"/>
      <c r="AE28" s="1679"/>
      <c r="AF28" s="1679"/>
      <c r="AG28" s="1679"/>
    </row>
    <row r="29" spans="1:40" ht="24">
      <c r="A29" s="1517"/>
      <c r="B29" s="1518" t="s">
        <v>1212</v>
      </c>
      <c r="C29" s="1504" t="e">
        <f>ROUND(C5*C18*C19*C20*C21*C24,0)</f>
        <v>#DIV/0!</v>
      </c>
      <c r="D29" s="1519"/>
      <c r="E29" s="1520" t="e">
        <f>ROUND(C29*D29/10000,0)</f>
        <v>#DIV/0!</v>
      </c>
      <c r="F29" s="1521" t="s">
        <v>1213</v>
      </c>
      <c r="G29" s="1522"/>
      <c r="H29" s="1522"/>
      <c r="I29" s="1522"/>
      <c r="J29" s="1643"/>
      <c r="K29" s="1393"/>
      <c r="L29" s="1639"/>
      <c r="M29" s="1639"/>
      <c r="N29" s="1639"/>
      <c r="O29" s="1639"/>
      <c r="P29" s="1639"/>
      <c r="Q29" s="1639"/>
      <c r="R29" s="1669"/>
      <c r="S29" s="1669"/>
      <c r="T29" s="1669"/>
      <c r="U29" s="1669"/>
      <c r="V29" s="1669"/>
      <c r="W29" s="1639"/>
      <c r="X29" s="1639"/>
      <c r="Y29" s="1639"/>
      <c r="Z29" s="1639"/>
      <c r="AA29" s="1639"/>
      <c r="AB29" s="1639"/>
      <c r="AC29" s="1639"/>
      <c r="AH29" s="1383"/>
      <c r="AI29" s="1383"/>
      <c r="AJ29" s="1386"/>
      <c r="AK29" s="1386"/>
      <c r="AL29" s="1386"/>
      <c r="AM29" s="1386"/>
    </row>
    <row r="30" spans="1:40" ht="24">
      <c r="A30" s="1523"/>
      <c r="B30" s="1524" t="s">
        <v>1214</v>
      </c>
      <c r="C30" s="1453" t="e">
        <f>ROUND(IF(E2="工业",C29*M39,C29*M38),0)</f>
        <v>#DIV/0!</v>
      </c>
      <c r="D30" s="1525"/>
      <c r="E30" s="1520" t="e">
        <f>ROUND(C30*D30/10000,0)</f>
        <v>#DIV/0!</v>
      </c>
      <c r="F30" s="1526" t="s">
        <v>1215</v>
      </c>
      <c r="G30" s="1527"/>
      <c r="H30" s="1527"/>
      <c r="I30" s="1527"/>
      <c r="J30" s="1644"/>
      <c r="K30" s="1393"/>
      <c r="L30" s="1584"/>
      <c r="M30" s="1584"/>
      <c r="N30" s="1584"/>
      <c r="O30" s="1584"/>
      <c r="P30" s="1584"/>
      <c r="Q30" s="1584"/>
      <c r="R30" s="1670"/>
      <c r="S30" s="1670"/>
      <c r="T30" s="1670"/>
      <c r="U30" s="1670"/>
      <c r="V30" s="1670"/>
      <c r="W30" s="1584"/>
      <c r="X30" s="1584"/>
      <c r="Y30" s="1584"/>
      <c r="Z30" s="1584"/>
      <c r="AA30" s="1584"/>
      <c r="AB30" s="1584"/>
      <c r="AC30" s="1584"/>
      <c r="AD30" s="1679"/>
      <c r="AE30" s="1679"/>
      <c r="AF30" s="1679"/>
      <c r="AG30" s="1679"/>
      <c r="AH30" s="1383"/>
      <c r="AI30" s="1383"/>
      <c r="AJ30" s="1386"/>
      <c r="AK30" s="1386"/>
      <c r="AL30" s="1386"/>
      <c r="AM30" s="1386"/>
    </row>
    <row r="31" spans="1:40">
      <c r="A31" s="1528"/>
      <c r="B31" s="1529" t="s">
        <v>1216</v>
      </c>
      <c r="C31" s="1530" t="s">
        <v>1217</v>
      </c>
      <c r="D31" s="1440"/>
      <c r="E31" s="1530"/>
      <c r="F31" s="1530"/>
      <c r="G31" s="1438" t="s">
        <v>1215</v>
      </c>
      <c r="H31" s="1440"/>
      <c r="I31" s="1645"/>
      <c r="J31" s="1599"/>
      <c r="K31" s="1393"/>
      <c r="L31" s="1584"/>
      <c r="M31" s="1584"/>
      <c r="N31" s="1584"/>
      <c r="O31" s="1584"/>
      <c r="P31" s="1584"/>
      <c r="Q31" s="1584"/>
      <c r="R31" s="1670"/>
      <c r="S31" s="1670"/>
      <c r="T31" s="1670"/>
      <c r="U31" s="1670"/>
      <c r="V31" s="1670"/>
      <c r="W31" s="1584"/>
      <c r="X31" s="1584"/>
      <c r="Y31" s="1584"/>
      <c r="Z31" s="1584"/>
      <c r="AA31" s="1584"/>
      <c r="AB31" s="1584"/>
      <c r="AC31" s="1584"/>
      <c r="AH31" s="1383"/>
      <c r="AI31" s="1383"/>
      <c r="AJ31" s="1386"/>
      <c r="AK31" s="1386"/>
      <c r="AL31" s="1386"/>
      <c r="AM31" s="1386"/>
    </row>
    <row r="32" spans="1:40" ht="24">
      <c r="A32" s="1517"/>
      <c r="B32" s="1531"/>
      <c r="C32" s="1532" t="s">
        <v>1211</v>
      </c>
      <c r="D32" s="1533" t="s">
        <v>389</v>
      </c>
      <c r="E32" s="1533" t="s">
        <v>619</v>
      </c>
      <c r="F32" s="1391" t="s">
        <v>1218</v>
      </c>
      <c r="G32" s="1534" t="s">
        <v>1211</v>
      </c>
      <c r="H32" s="1534" t="s">
        <v>389</v>
      </c>
      <c r="I32" s="1534" t="s">
        <v>619</v>
      </c>
      <c r="J32" s="1646"/>
      <c r="K32" s="1393"/>
      <c r="L32" s="1584"/>
      <c r="M32" s="1584"/>
      <c r="N32" s="1584"/>
      <c r="O32" s="1584"/>
      <c r="P32" s="1584"/>
      <c r="Q32" s="1584"/>
      <c r="R32" s="1670"/>
      <c r="S32" s="1670"/>
      <c r="T32" s="1670"/>
      <c r="U32" s="1670"/>
      <c r="V32" s="1670"/>
      <c r="W32" s="1584"/>
      <c r="X32" s="1584"/>
      <c r="Y32" s="1584"/>
      <c r="Z32" s="1584"/>
      <c r="AA32" s="1584"/>
      <c r="AB32" s="1584"/>
      <c r="AC32" s="1584"/>
      <c r="AD32" s="1383"/>
      <c r="AE32" s="1383"/>
      <c r="AF32" s="1383"/>
      <c r="AG32" s="1383"/>
      <c r="AH32" s="1383"/>
      <c r="AI32" s="1383"/>
      <c r="AJ32" s="1386"/>
      <c r="AK32" s="1386"/>
      <c r="AL32" s="1386"/>
      <c r="AM32" s="1386"/>
    </row>
    <row r="33" spans="1:40" ht="12.75">
      <c r="A33" s="3376" t="s">
        <v>1219</v>
      </c>
      <c r="B33" s="1535" t="s">
        <v>1220</v>
      </c>
      <c r="C33" s="1504" t="e">
        <f>ROUND(D5*C19*C20*C24*F33,0)</f>
        <v>#DIV/0!</v>
      </c>
      <c r="D33" s="1536"/>
      <c r="E33" s="1432" t="e">
        <f>ROUND(C33*D33/10000,0)</f>
        <v>#DIV/0!</v>
      </c>
      <c r="F33" s="1432">
        <f>SUMIF(修正!A45:A56,G2,修正!B45:B56)</f>
        <v>0</v>
      </c>
      <c r="G33" s="1432" t="e">
        <f t="shared" ref="G33" si="6">ROUND(IF(E2="工业",C33*$M$39,C33*$M$38),0)</f>
        <v>#DIV/0!</v>
      </c>
      <c r="H33" s="1432">
        <f>D33</f>
        <v>0</v>
      </c>
      <c r="I33" s="1432" t="e">
        <f>ROUND(G33*H33/10000,0)</f>
        <v>#DIV/0!</v>
      </c>
      <c r="J33" s="1647"/>
      <c r="K33" s="1393"/>
      <c r="L33" s="1584"/>
      <c r="M33" s="1584"/>
      <c r="N33" s="1584"/>
      <c r="O33" s="1584"/>
      <c r="P33" s="1584"/>
      <c r="Q33" s="1584"/>
      <c r="R33" s="1670"/>
      <c r="S33" s="1670"/>
      <c r="T33" s="1670"/>
      <c r="U33" s="1670"/>
      <c r="V33" s="1670"/>
      <c r="W33" s="1584"/>
      <c r="X33" s="1584"/>
      <c r="Y33" s="1584"/>
      <c r="Z33" s="1584"/>
      <c r="AA33" s="1584"/>
      <c r="AB33" s="1584"/>
      <c r="AC33" s="1670"/>
    </row>
    <row r="34" spans="1:40" ht="12.75">
      <c r="A34" s="3377"/>
      <c r="B34" s="1442" t="s">
        <v>1221</v>
      </c>
      <c r="C34" s="1504" t="e">
        <f>ROUND(D5*C19*C20*C24*F34,0)</f>
        <v>#DIV/0!</v>
      </c>
      <c r="D34" s="1536"/>
      <c r="E34" s="1432" t="e">
        <f t="shared" ref="E34:E39" si="7">ROUND(C34*D34/10000,0)</f>
        <v>#DIV/0!</v>
      </c>
      <c r="F34" s="1432">
        <f>SUMIF(修正!A45:A56,G2,修正!C45:C56)</f>
        <v>0</v>
      </c>
      <c r="G34" s="1432" t="e">
        <f>ROUND(IF(E2="工业",C34*$M$39,C34*$M$38),0)</f>
        <v>#DIV/0!</v>
      </c>
      <c r="H34" s="1432">
        <f t="shared" ref="H34:H39" si="8">D34</f>
        <v>0</v>
      </c>
      <c r="I34" s="1432" t="e">
        <f t="shared" ref="I34:I39" si="9">ROUND(G34*H34/10000,0)</f>
        <v>#DIV/0!</v>
      </c>
      <c r="J34" s="1647"/>
      <c r="K34" s="1393"/>
      <c r="L34" s="1584"/>
      <c r="M34" s="1584"/>
      <c r="N34" s="1584"/>
      <c r="O34" s="1584"/>
      <c r="P34" s="1584"/>
      <c r="Q34" s="1584"/>
      <c r="R34" s="1670"/>
      <c r="S34" s="1670"/>
      <c r="T34" s="1670"/>
      <c r="U34" s="1670"/>
      <c r="V34" s="1670"/>
      <c r="W34" s="1584"/>
      <c r="X34" s="1584"/>
      <c r="Y34" s="1584"/>
      <c r="Z34" s="1584"/>
      <c r="AA34" s="1584"/>
      <c r="AB34" s="1584"/>
      <c r="AC34" s="1670"/>
    </row>
    <row r="35" spans="1:40" ht="12.75">
      <c r="A35" s="3377"/>
      <c r="B35" s="1442" t="s">
        <v>1222</v>
      </c>
      <c r="C35" s="1504" t="e">
        <f>ROUND(D5*C19*C20*C24*F35,0)</f>
        <v>#DIV/0!</v>
      </c>
      <c r="D35" s="1536"/>
      <c r="E35" s="1432" t="e">
        <f t="shared" si="7"/>
        <v>#DIV/0!</v>
      </c>
      <c r="F35" s="1432">
        <f>SUMIF(修正!A45:A56,G2,修正!D45:D56)</f>
        <v>0</v>
      </c>
      <c r="G35" s="1432" t="e">
        <f>ROUND(IF(E2="工业",C35*$M$39,C35*$M$38),0)</f>
        <v>#DIV/0!</v>
      </c>
      <c r="H35" s="1432">
        <f t="shared" si="8"/>
        <v>0</v>
      </c>
      <c r="I35" s="1432" t="e">
        <f t="shared" si="9"/>
        <v>#DIV/0!</v>
      </c>
      <c r="J35" s="1647"/>
      <c r="K35" s="1393"/>
      <c r="L35" s="1584"/>
      <c r="M35" s="1584"/>
      <c r="N35" s="1584"/>
      <c r="O35" s="1584"/>
      <c r="P35" s="1584"/>
      <c r="Q35" s="1584"/>
      <c r="R35" s="1670"/>
      <c r="S35" s="1670"/>
      <c r="T35" s="1670"/>
      <c r="U35" s="1670"/>
      <c r="V35" s="1670"/>
      <c r="W35" s="1584"/>
      <c r="X35" s="1584"/>
      <c r="Y35" s="1584"/>
      <c r="Z35" s="1584"/>
      <c r="AA35" s="1584"/>
      <c r="AB35" s="1584"/>
      <c r="AC35" s="1670"/>
    </row>
    <row r="36" spans="1:40" ht="12.75">
      <c r="A36" s="3378"/>
      <c r="B36" s="1442" t="s">
        <v>1223</v>
      </c>
      <c r="C36" s="1504" t="e">
        <f>ROUND(D5*C19*C20*C24*F36,0)</f>
        <v>#DIV/0!</v>
      </c>
      <c r="D36" s="1536"/>
      <c r="E36" s="1432" t="e">
        <f t="shared" si="7"/>
        <v>#DIV/0!</v>
      </c>
      <c r="F36" s="1432">
        <f>SUMIF(修正!A45:A56,G2,修正!E45:E56)</f>
        <v>0</v>
      </c>
      <c r="G36" s="1432" t="e">
        <f>ROUND(IF(E2="工业",C36*$M$39,C36*$M$38),0)</f>
        <v>#DIV/0!</v>
      </c>
      <c r="H36" s="1432">
        <f t="shared" si="8"/>
        <v>0</v>
      </c>
      <c r="I36" s="1432" t="e">
        <f t="shared" si="9"/>
        <v>#DIV/0!</v>
      </c>
      <c r="J36" s="1647"/>
      <c r="K36" s="1393"/>
      <c r="L36" s="1584"/>
      <c r="M36" s="1584"/>
      <c r="N36" s="1584"/>
      <c r="O36" s="1584"/>
      <c r="P36" s="1584"/>
      <c r="Q36" s="1584"/>
      <c r="R36" s="1670"/>
      <c r="S36" s="1670"/>
      <c r="T36" s="1670"/>
      <c r="U36" s="1670"/>
      <c r="V36" s="1670"/>
      <c r="W36" s="1584"/>
      <c r="X36" s="1584"/>
      <c r="Y36" s="1584"/>
      <c r="Z36" s="1584"/>
      <c r="AA36" s="1584"/>
      <c r="AB36" s="1584"/>
      <c r="AC36" s="1670"/>
    </row>
    <row r="37" spans="1:40" ht="12.75">
      <c r="A37" s="1537"/>
      <c r="B37" s="1442" t="s">
        <v>1224</v>
      </c>
      <c r="C37" s="1432" t="e">
        <f>ROUND(D5*C19*C20*C24*F37,0)</f>
        <v>#DIV/0!</v>
      </c>
      <c r="D37" s="1536"/>
      <c r="E37" s="1432" t="e">
        <f t="shared" si="7"/>
        <v>#DIV/0!</v>
      </c>
      <c r="F37" s="1504">
        <f>SUMIF(修正!A45:A56,G2,修正!F45:F56)</f>
        <v>0</v>
      </c>
      <c r="G37" s="1432" t="e">
        <f>ROUND(IF(E2="工业",C37*$M$39,C37*$M$38),0)</f>
        <v>#DIV/0!</v>
      </c>
      <c r="H37" s="1432">
        <f t="shared" si="8"/>
        <v>0</v>
      </c>
      <c r="I37" s="1432" t="e">
        <f t="shared" si="9"/>
        <v>#DIV/0!</v>
      </c>
      <c r="J37" s="1647"/>
      <c r="K37" s="1393"/>
      <c r="L37" s="1648" t="s">
        <v>1225</v>
      </c>
      <c r="M37" s="1649"/>
      <c r="N37" s="1584"/>
      <c r="O37" s="1584"/>
      <c r="P37" s="1584"/>
      <c r="Q37" s="1584"/>
      <c r="R37" s="1670"/>
      <c r="S37" s="1670"/>
      <c r="T37" s="1670"/>
      <c r="U37" s="1670"/>
      <c r="V37" s="1670"/>
      <c r="W37" s="1584"/>
      <c r="X37" s="1584"/>
      <c r="Y37" s="1584"/>
      <c r="Z37" s="1584"/>
      <c r="AA37" s="1584"/>
      <c r="AB37" s="1584"/>
      <c r="AC37" s="1670"/>
    </row>
    <row r="38" spans="1:40" ht="12.75">
      <c r="A38" s="1537"/>
      <c r="B38" s="1442" t="s">
        <v>1226</v>
      </c>
      <c r="C38" s="1432" t="e">
        <f>ROUND(D5*C19*C41*C24*F38,0)</f>
        <v>#DIV/0!</v>
      </c>
      <c r="D38" s="1536"/>
      <c r="E38" s="1432" t="e">
        <f t="shared" si="7"/>
        <v>#DIV/0!</v>
      </c>
      <c r="F38" s="1504">
        <f>SUMIF(修正!A45:A56,G2,修正!G45:G56)</f>
        <v>0</v>
      </c>
      <c r="G38" s="1432" t="e">
        <f>ROUND(IF(E2="工业",C38*$M$39,C38*$M$38),0)</f>
        <v>#DIV/0!</v>
      </c>
      <c r="H38" s="1432">
        <f t="shared" si="8"/>
        <v>0</v>
      </c>
      <c r="I38" s="1432" t="e">
        <f t="shared" si="9"/>
        <v>#DIV/0!</v>
      </c>
      <c r="J38" s="1647"/>
      <c r="K38" s="1393"/>
      <c r="L38" s="1650" t="s">
        <v>1227</v>
      </c>
      <c r="M38" s="1651">
        <v>0.25</v>
      </c>
      <c r="N38" s="1584"/>
      <c r="O38" s="1584"/>
      <c r="P38" s="1584"/>
      <c r="Q38" s="1584"/>
      <c r="R38" s="1670"/>
      <c r="S38" s="1670"/>
      <c r="T38" s="1670"/>
      <c r="U38" s="1670"/>
      <c r="V38" s="1670"/>
      <c r="W38" s="1584"/>
      <c r="X38" s="1584"/>
      <c r="Y38" s="1584"/>
      <c r="Z38" s="1584"/>
      <c r="AA38" s="1584"/>
      <c r="AB38" s="1584"/>
      <c r="AC38" s="1670"/>
    </row>
    <row r="39" spans="1:40" ht="12.75">
      <c r="A39" s="1523"/>
      <c r="B39" s="1538" t="s">
        <v>493</v>
      </c>
      <c r="C39" s="1453" t="e">
        <f>ROUND(D5*C19*C41*C24*F39,0)</f>
        <v>#DIV/0!</v>
      </c>
      <c r="D39" s="1539"/>
      <c r="E39" s="1453" t="e">
        <f t="shared" si="7"/>
        <v>#DIV/0!</v>
      </c>
      <c r="F39" s="1540">
        <f>SUMIF(修正!A45:A56,G2,修正!H45:H56)</f>
        <v>0</v>
      </c>
      <c r="G39" s="1453" t="e">
        <f>ROUND(IF(E2="工业",C39*$M$39,C39*$M$38),0)</f>
        <v>#DIV/0!</v>
      </c>
      <c r="H39" s="1453">
        <f t="shared" si="8"/>
        <v>0</v>
      </c>
      <c r="I39" s="1453" t="e">
        <f t="shared" si="9"/>
        <v>#DIV/0!</v>
      </c>
      <c r="J39" s="1652"/>
      <c r="K39" s="1393"/>
      <c r="L39" s="1653" t="s">
        <v>1228</v>
      </c>
      <c r="M39" s="1654">
        <v>0.15</v>
      </c>
      <c r="N39" s="1584"/>
      <c r="O39" s="1584"/>
      <c r="P39" s="1584"/>
      <c r="Q39" s="1584"/>
      <c r="R39" s="1670"/>
      <c r="S39" s="1670"/>
      <c r="T39" s="1670"/>
      <c r="U39" s="1670"/>
      <c r="V39" s="1670"/>
      <c r="W39" s="1584"/>
      <c r="X39" s="1584"/>
      <c r="Y39" s="1584"/>
      <c r="Z39" s="1584"/>
      <c r="AA39" s="1584"/>
      <c r="AB39" s="1584"/>
      <c r="AC39" s="1670"/>
    </row>
    <row r="40" spans="1:40" s="1383" customFormat="1">
      <c r="B40" s="1541"/>
      <c r="C40" s="1541"/>
      <c r="D40" s="1541"/>
      <c r="E40" s="1541"/>
      <c r="F40" s="1541"/>
      <c r="G40" s="1541"/>
      <c r="H40" s="1541"/>
      <c r="I40" s="1541"/>
      <c r="J40" s="1541"/>
      <c r="K40" s="1541"/>
      <c r="L40" s="1541"/>
      <c r="M40" s="1541"/>
      <c r="N40" s="1541"/>
      <c r="O40" s="1541"/>
      <c r="P40" s="1541"/>
      <c r="Q40" s="1541"/>
      <c r="R40" s="1671"/>
      <c r="S40" s="1671"/>
      <c r="T40" s="1671"/>
      <c r="U40" s="1671"/>
      <c r="V40" s="1671"/>
      <c r="W40" s="1541"/>
      <c r="X40" s="1541"/>
      <c r="Y40" s="1541"/>
      <c r="Z40" s="1541"/>
      <c r="AA40" s="1541"/>
      <c r="AB40" s="1541"/>
      <c r="AC40" s="1671"/>
      <c r="AD40" s="1387"/>
      <c r="AE40" s="1387"/>
      <c r="AF40" s="1387"/>
      <c r="AG40" s="1387"/>
      <c r="AH40" s="1387"/>
      <c r="AI40" s="1387"/>
      <c r="AJ40" s="1387"/>
      <c r="AK40" s="1387"/>
      <c r="AL40" s="1387"/>
      <c r="AM40" s="1387"/>
    </row>
    <row r="41" spans="1:40" s="1383" customFormat="1" ht="12.75">
      <c r="A41" s="1387"/>
      <c r="B41" s="1542" t="s">
        <v>1229</v>
      </c>
      <c r="C41" s="890" t="e">
        <f>ROUND(POWER(1+E41,H41-G41)*(POWER(1+E41,G41)-1)/(POWER(1+E41,H41)-1),4)</f>
        <v>#DIV/0!</v>
      </c>
      <c r="D41" s="1543" t="s">
        <v>1230</v>
      </c>
      <c r="E41" s="1544">
        <f>G20</f>
        <v>0</v>
      </c>
      <c r="F41" s="1543" t="s">
        <v>1231</v>
      </c>
      <c r="G41" s="1545"/>
      <c r="H41" s="1543">
        <v>50</v>
      </c>
      <c r="I41" s="1541"/>
      <c r="J41" s="1541"/>
      <c r="K41" s="1541"/>
      <c r="L41" s="1541"/>
      <c r="M41" s="1541"/>
      <c r="N41" s="1541"/>
      <c r="O41" s="1541"/>
      <c r="P41" s="1541"/>
      <c r="Q41" s="1541"/>
      <c r="R41" s="1671"/>
      <c r="S41" s="1671"/>
      <c r="T41" s="1671"/>
      <c r="U41" s="1671"/>
      <c r="V41" s="1671"/>
      <c r="W41" s="1541"/>
      <c r="X41" s="1541"/>
      <c r="Y41" s="1541"/>
      <c r="Z41" s="1541"/>
      <c r="AA41" s="1541"/>
      <c r="AB41" s="1541"/>
      <c r="AC41" s="1671"/>
      <c r="AD41" s="1387"/>
      <c r="AE41" s="1387"/>
      <c r="AF41" s="1387"/>
      <c r="AG41" s="1387"/>
      <c r="AH41" s="1387"/>
      <c r="AI41" s="1387"/>
      <c r="AJ41" s="1387"/>
      <c r="AK41" s="1387"/>
      <c r="AL41" s="1387"/>
      <c r="AM41" s="1387"/>
    </row>
    <row r="42" spans="1:40" s="1383" customFormat="1">
      <c r="A42" s="1387"/>
      <c r="B42" s="1546"/>
      <c r="C42" s="1541"/>
      <c r="D42" s="1541"/>
      <c r="E42" s="1541"/>
      <c r="F42" s="1541"/>
      <c r="G42" s="1541"/>
      <c r="H42" s="1541"/>
      <c r="I42" s="1541"/>
      <c r="J42" s="1541"/>
      <c r="K42" s="1541"/>
      <c r="L42" s="1541"/>
      <c r="M42" s="1541"/>
      <c r="N42" s="1541"/>
      <c r="O42" s="1541"/>
      <c r="P42" s="1541"/>
      <c r="Q42" s="1541"/>
      <c r="R42" s="1671"/>
      <c r="S42" s="1671"/>
      <c r="T42" s="1671"/>
      <c r="U42" s="1671"/>
      <c r="V42" s="1671"/>
      <c r="W42" s="1541"/>
      <c r="X42" s="1541"/>
      <c r="Y42" s="1541"/>
      <c r="Z42" s="1541"/>
      <c r="AA42" s="1541"/>
      <c r="AB42" s="1541"/>
      <c r="AC42" s="1671"/>
      <c r="AD42" s="1387"/>
      <c r="AE42" s="1387"/>
      <c r="AF42" s="1387"/>
      <c r="AG42" s="1387"/>
      <c r="AH42" s="1387"/>
      <c r="AI42" s="1387"/>
      <c r="AJ42" s="1387"/>
      <c r="AK42" s="1387"/>
      <c r="AL42" s="1387"/>
      <c r="AM42" s="1387"/>
    </row>
    <row r="43" spans="1:40" s="1383" customFormat="1">
      <c r="A43" s="1387"/>
      <c r="B43" s="1546"/>
      <c r="C43" s="1541"/>
      <c r="D43" s="1541"/>
      <c r="E43" s="1541"/>
      <c r="F43" s="1541"/>
      <c r="G43" s="1541"/>
      <c r="H43" s="1541"/>
      <c r="I43" s="1541"/>
      <c r="J43" s="1541"/>
      <c r="K43" s="1541"/>
      <c r="L43" s="1541"/>
      <c r="M43" s="1541"/>
      <c r="N43" s="1541"/>
      <c r="O43" s="1541"/>
      <c r="P43" s="1541"/>
      <c r="Q43" s="1541"/>
      <c r="R43" s="1671"/>
      <c r="S43" s="1671"/>
      <c r="T43" s="1671"/>
      <c r="U43" s="1671"/>
      <c r="V43" s="1671"/>
      <c r="W43" s="1541"/>
      <c r="X43" s="1541"/>
      <c r="Y43" s="1541"/>
      <c r="Z43" s="1541"/>
      <c r="AA43" s="1541"/>
      <c r="AB43" s="1541"/>
      <c r="AC43" s="1671"/>
      <c r="AD43" s="1387"/>
      <c r="AE43" s="1387"/>
      <c r="AF43" s="1387"/>
      <c r="AG43" s="1387"/>
      <c r="AH43" s="1387"/>
      <c r="AI43" s="1387"/>
      <c r="AJ43" s="1387"/>
      <c r="AK43" s="1387"/>
      <c r="AL43" s="1387"/>
      <c r="AM43" s="1387"/>
    </row>
    <row r="44" spans="1:40" s="1383" customFormat="1" ht="14.25">
      <c r="A44" s="1547" t="s">
        <v>1232</v>
      </c>
      <c r="B44" s="1548"/>
      <c r="C44" s="1549"/>
      <c r="D44" s="1550"/>
      <c r="E44" s="1550"/>
      <c r="F44" s="1551"/>
      <c r="G44" s="1305"/>
      <c r="H44" s="1551"/>
      <c r="I44" s="1305"/>
      <c r="J44" s="1305"/>
      <c r="K44" s="1305"/>
      <c r="L44" s="1305"/>
      <c r="M44" s="1305"/>
      <c r="O44" s="1541"/>
      <c r="P44" s="1541"/>
      <c r="Q44" s="1541"/>
      <c r="R44" s="1671"/>
      <c r="S44" s="1671"/>
      <c r="T44" s="1671"/>
      <c r="U44" s="1671"/>
      <c r="V44" s="1671"/>
      <c r="W44" s="1541"/>
      <c r="X44" s="1541"/>
      <c r="Y44" s="1541"/>
      <c r="Z44" s="1541"/>
      <c r="AA44" s="1541"/>
      <c r="AB44" s="1541"/>
      <c r="AC44" s="1671"/>
      <c r="AD44" s="1387"/>
      <c r="AE44" s="1387"/>
      <c r="AF44" s="1387"/>
      <c r="AG44" s="1387"/>
      <c r="AH44" s="1387"/>
      <c r="AI44" s="1387"/>
      <c r="AJ44" s="1387"/>
      <c r="AK44" s="1387"/>
      <c r="AL44" s="1387"/>
      <c r="AM44" s="1387"/>
    </row>
    <row r="45" spans="1:40" s="1383" customFormat="1" ht="15">
      <c r="A45" s="1552" t="s">
        <v>377</v>
      </c>
      <c r="B45" s="1553">
        <f>1+E47</f>
        <v>1</v>
      </c>
      <c r="C45" s="1554"/>
      <c r="D45" s="1555"/>
      <c r="E45" s="1556"/>
      <c r="F45" s="1557"/>
      <c r="G45" s="1551"/>
      <c r="H45" s="1551"/>
      <c r="I45" s="1305"/>
      <c r="J45" s="1305"/>
      <c r="K45" s="1305"/>
      <c r="L45" s="1305"/>
      <c r="M45" s="1305"/>
      <c r="O45" s="1541"/>
      <c r="P45" s="1541"/>
      <c r="Q45" s="1541"/>
      <c r="R45" s="1671"/>
      <c r="S45" s="1671"/>
      <c r="T45" s="1671"/>
      <c r="U45" s="1671"/>
      <c r="V45" s="1671"/>
      <c r="W45" s="1541"/>
      <c r="X45" s="1541"/>
      <c r="Y45" s="1541"/>
      <c r="Z45" s="1541"/>
      <c r="AA45" s="1541"/>
      <c r="AB45" s="1541"/>
      <c r="AC45" s="1671"/>
      <c r="AD45" s="1387"/>
      <c r="AE45" s="1387"/>
      <c r="AF45" s="1387"/>
      <c r="AG45" s="1387"/>
      <c r="AH45" s="1387"/>
      <c r="AI45" s="1387"/>
      <c r="AJ45" s="1387"/>
      <c r="AK45" s="1387"/>
      <c r="AL45" s="1387"/>
      <c r="AM45" s="1387"/>
    </row>
    <row r="46" spans="1:40" s="1383" customFormat="1" ht="24">
      <c r="A46" s="1353" t="s">
        <v>1233</v>
      </c>
      <c r="B46" s="1558" t="s">
        <v>1234</v>
      </c>
      <c r="C46" s="1559" t="s">
        <v>1235</v>
      </c>
      <c r="D46" s="1560" t="s">
        <v>1236</v>
      </c>
      <c r="E46" s="1561" t="s">
        <v>1237</v>
      </c>
      <c r="F46" s="1562" t="s">
        <v>1238</v>
      </c>
      <c r="G46" s="1560" t="s">
        <v>1239</v>
      </c>
      <c r="H46" s="1563" t="s">
        <v>1240</v>
      </c>
      <c r="I46" s="1560" t="s">
        <v>1241</v>
      </c>
      <c r="J46" s="1655" t="s">
        <v>252</v>
      </c>
      <c r="K46" s="1655" t="s">
        <v>264</v>
      </c>
      <c r="L46" s="1655" t="s">
        <v>274</v>
      </c>
      <c r="M46" s="1655" t="s">
        <v>284</v>
      </c>
      <c r="N46" s="1655" t="s">
        <v>291</v>
      </c>
      <c r="P46" s="1541"/>
      <c r="Q46" s="1541"/>
      <c r="R46" s="1671"/>
      <c r="S46" s="1671"/>
      <c r="T46" s="1671"/>
      <c r="U46" s="1671"/>
      <c r="V46" s="1671"/>
      <c r="W46" s="1541"/>
      <c r="X46" s="1541"/>
      <c r="Y46" s="1541"/>
      <c r="Z46" s="1541"/>
      <c r="AA46" s="1541"/>
      <c r="AB46" s="1541"/>
      <c r="AC46" s="1541"/>
      <c r="AD46" s="1671"/>
      <c r="AE46" s="1387"/>
      <c r="AF46" s="1387"/>
      <c r="AG46" s="1387"/>
      <c r="AH46" s="1387"/>
      <c r="AI46" s="1387"/>
      <c r="AJ46" s="1387"/>
      <c r="AK46" s="1387"/>
      <c r="AL46" s="1387"/>
      <c r="AM46" s="1387"/>
      <c r="AN46" s="1387"/>
    </row>
    <row r="47" spans="1:40" s="1383" customFormat="1" ht="36">
      <c r="A47" s="1353" t="s">
        <v>1242</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56">
        <v>0.33</v>
      </c>
      <c r="J47" s="1657">
        <f t="shared" ref="J47:J55" si="12">K47+$G47</f>
        <v>0</v>
      </c>
      <c r="K47" s="1657">
        <f t="shared" ref="K47:K55" si="13">$L47+$G47</f>
        <v>0</v>
      </c>
      <c r="L47" s="1657">
        <v>0</v>
      </c>
      <c r="M47" s="1657">
        <f t="shared" ref="M47:N55" si="14">L47-$G47</f>
        <v>0</v>
      </c>
      <c r="N47" s="1657">
        <f t="shared" si="14"/>
        <v>0</v>
      </c>
      <c r="P47" s="1541"/>
      <c r="Q47" s="1541"/>
      <c r="R47" s="1671"/>
      <c r="S47" s="1671"/>
      <c r="T47" s="1671"/>
      <c r="U47" s="1671"/>
      <c r="V47" s="1671"/>
      <c r="W47" s="1541"/>
      <c r="X47" s="1541"/>
      <c r="Y47" s="1541"/>
      <c r="Z47" s="1541"/>
      <c r="AA47" s="1541"/>
      <c r="AB47" s="1541"/>
      <c r="AC47" s="1541"/>
      <c r="AD47" s="1671"/>
      <c r="AE47" s="1387"/>
      <c r="AF47" s="1387"/>
      <c r="AG47" s="1387"/>
      <c r="AH47" s="1387"/>
      <c r="AI47" s="1387"/>
      <c r="AJ47" s="1387"/>
      <c r="AK47" s="1387"/>
      <c r="AL47" s="1387"/>
      <c r="AM47" s="1387"/>
      <c r="AN47" s="1387"/>
    </row>
    <row r="48" spans="1:40" s="1383" customFormat="1" ht="48">
      <c r="A48" s="1353" t="s">
        <v>668</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56">
        <v>0.25</v>
      </c>
      <c r="J48" s="1657">
        <f t="shared" si="12"/>
        <v>0</v>
      </c>
      <c r="K48" s="1657">
        <f t="shared" si="13"/>
        <v>0</v>
      </c>
      <c r="L48" s="1657">
        <v>0</v>
      </c>
      <c r="M48" s="1657">
        <f t="shared" si="14"/>
        <v>0</v>
      </c>
      <c r="N48" s="1657">
        <f t="shared" si="14"/>
        <v>0</v>
      </c>
      <c r="P48" s="1541"/>
      <c r="Q48" s="1541"/>
      <c r="R48" s="1671"/>
      <c r="S48" s="1671"/>
      <c r="T48" s="1671"/>
      <c r="U48" s="1671"/>
      <c r="V48" s="1671"/>
      <c r="W48" s="1541"/>
      <c r="X48" s="1541"/>
      <c r="Y48" s="1541"/>
      <c r="Z48" s="1541"/>
      <c r="AA48" s="1541"/>
      <c r="AB48" s="1541"/>
      <c r="AC48" s="1541"/>
      <c r="AD48" s="1671"/>
      <c r="AE48" s="1387"/>
      <c r="AF48" s="1387"/>
      <c r="AG48" s="1387"/>
      <c r="AH48" s="1387"/>
      <c r="AI48" s="1387"/>
      <c r="AJ48" s="1387"/>
      <c r="AK48" s="1387"/>
      <c r="AL48" s="1387"/>
      <c r="AM48" s="1387"/>
      <c r="AN48" s="1387"/>
    </row>
    <row r="49" spans="1:40" s="1383" customFormat="1" ht="24">
      <c r="A49" s="1353" t="s">
        <v>680</v>
      </c>
      <c r="B49" s="1558">
        <f>估价对象房地状况!C19</f>
        <v>0</v>
      </c>
      <c r="C49" s="1565"/>
      <c r="D49" s="1566">
        <f t="shared" si="10"/>
        <v>0</v>
      </c>
      <c r="E49" s="1571"/>
      <c r="F49" s="1568"/>
      <c r="G49" s="1569"/>
      <c r="H49" s="1570" t="str">
        <f t="shared" si="11"/>
        <v>——</v>
      </c>
      <c r="I49" s="1656">
        <v>0.05</v>
      </c>
      <c r="J49" s="1657">
        <f t="shared" si="12"/>
        <v>0</v>
      </c>
      <c r="K49" s="1657">
        <f t="shared" si="13"/>
        <v>0</v>
      </c>
      <c r="L49" s="1657">
        <v>0</v>
      </c>
      <c r="M49" s="1657">
        <f t="shared" si="14"/>
        <v>0</v>
      </c>
      <c r="N49" s="1657">
        <f t="shared" si="14"/>
        <v>0</v>
      </c>
      <c r="P49" s="1541"/>
      <c r="Q49" s="1541"/>
      <c r="R49" s="1671"/>
      <c r="S49" s="1671"/>
      <c r="T49" s="1671"/>
      <c r="U49" s="1671"/>
      <c r="V49" s="1671"/>
      <c r="W49" s="1541"/>
      <c r="X49" s="1541"/>
      <c r="Y49" s="1541"/>
      <c r="Z49" s="1541"/>
      <c r="AA49" s="1541"/>
      <c r="AB49" s="1541"/>
      <c r="AC49" s="1541"/>
      <c r="AD49" s="1671"/>
      <c r="AE49" s="1387"/>
      <c r="AF49" s="1387"/>
      <c r="AG49" s="1387"/>
      <c r="AH49" s="1387"/>
      <c r="AI49" s="1387"/>
      <c r="AJ49" s="1387"/>
      <c r="AK49" s="1387"/>
      <c r="AL49" s="1387"/>
      <c r="AM49" s="1387"/>
      <c r="AN49" s="1387"/>
    </row>
    <row r="50" spans="1:40" s="1383" customFormat="1" ht="36">
      <c r="A50" s="1353" t="s">
        <v>1243</v>
      </c>
      <c r="B50" s="1572" t="s">
        <v>1244</v>
      </c>
      <c r="C50" s="1565"/>
      <c r="D50" s="1566">
        <f t="shared" si="10"/>
        <v>0</v>
      </c>
      <c r="E50" s="1571"/>
      <c r="F50" s="1568"/>
      <c r="G50" s="1569"/>
      <c r="H50" s="1570" t="str">
        <f t="shared" si="11"/>
        <v>——</v>
      </c>
      <c r="I50" s="1656">
        <v>0.05</v>
      </c>
      <c r="J50" s="1657">
        <f t="shared" si="12"/>
        <v>0</v>
      </c>
      <c r="K50" s="1657">
        <f t="shared" si="13"/>
        <v>0</v>
      </c>
      <c r="L50" s="1657">
        <v>0</v>
      </c>
      <c r="M50" s="1657">
        <f t="shared" si="14"/>
        <v>0</v>
      </c>
      <c r="N50" s="1657">
        <f t="shared" si="14"/>
        <v>0</v>
      </c>
      <c r="P50" s="1541"/>
      <c r="Q50" s="1541"/>
      <c r="R50" s="1671"/>
      <c r="S50" s="1671"/>
      <c r="T50" s="1671"/>
      <c r="U50" s="1671"/>
      <c r="V50" s="1671"/>
      <c r="W50" s="1541"/>
      <c r="X50" s="1541"/>
      <c r="Y50" s="1541"/>
      <c r="Z50" s="1541"/>
      <c r="AA50" s="1541"/>
      <c r="AB50" s="1541"/>
      <c r="AC50" s="1541"/>
      <c r="AD50" s="1671"/>
      <c r="AE50" s="1387"/>
      <c r="AF50" s="1387"/>
      <c r="AG50" s="1387"/>
      <c r="AH50" s="1387"/>
      <c r="AI50" s="1387"/>
      <c r="AJ50" s="1387"/>
      <c r="AK50" s="1387"/>
      <c r="AL50" s="1387"/>
      <c r="AM50" s="1387"/>
      <c r="AN50" s="1387"/>
    </row>
    <row r="51" spans="1:40" s="1383" customFormat="1" ht="24">
      <c r="A51" s="1353" t="s">
        <v>1245</v>
      </c>
      <c r="B51" s="1558">
        <f>估价对象房地状况!C24</f>
        <v>0</v>
      </c>
      <c r="C51" s="1565"/>
      <c r="D51" s="1566">
        <f t="shared" si="10"/>
        <v>0</v>
      </c>
      <c r="E51" s="1571"/>
      <c r="F51" s="1568"/>
      <c r="G51" s="1569"/>
      <c r="H51" s="1570" t="str">
        <f t="shared" si="11"/>
        <v>——</v>
      </c>
      <c r="I51" s="1656">
        <v>0.08</v>
      </c>
      <c r="J51" s="1657">
        <f t="shared" si="12"/>
        <v>0</v>
      </c>
      <c r="K51" s="1657">
        <f t="shared" si="13"/>
        <v>0</v>
      </c>
      <c r="L51" s="1657">
        <v>0</v>
      </c>
      <c r="M51" s="1657">
        <f t="shared" si="14"/>
        <v>0</v>
      </c>
      <c r="N51" s="1657">
        <f t="shared" si="14"/>
        <v>0</v>
      </c>
      <c r="P51" s="1541"/>
      <c r="Q51" s="1541"/>
      <c r="R51" s="1671"/>
      <c r="S51" s="1671"/>
      <c r="T51" s="1671"/>
      <c r="U51" s="1671"/>
      <c r="V51" s="1671"/>
      <c r="W51" s="1541"/>
      <c r="X51" s="1541"/>
      <c r="Y51" s="1541"/>
      <c r="Z51" s="1541"/>
      <c r="AA51" s="1541"/>
      <c r="AB51" s="1541"/>
      <c r="AC51" s="1541"/>
      <c r="AD51" s="1671"/>
      <c r="AE51" s="1387"/>
      <c r="AF51" s="1387"/>
      <c r="AG51" s="1387"/>
      <c r="AH51" s="1387"/>
      <c r="AI51" s="1387"/>
      <c r="AJ51" s="1387"/>
      <c r="AK51" s="1387"/>
      <c r="AL51" s="1387"/>
      <c r="AM51" s="1387"/>
      <c r="AN51" s="1387"/>
    </row>
    <row r="52" spans="1:40" s="1383" customFormat="1" ht="24">
      <c r="A52" s="1353" t="s">
        <v>1246</v>
      </c>
      <c r="B52" s="1573" t="s">
        <v>1247</v>
      </c>
      <c r="C52" s="1565"/>
      <c r="D52" s="1566">
        <f t="shared" si="10"/>
        <v>0</v>
      </c>
      <c r="E52" s="1571"/>
      <c r="F52" s="1568"/>
      <c r="G52" s="1569"/>
      <c r="H52" s="1570" t="str">
        <f t="shared" si="11"/>
        <v>——</v>
      </c>
      <c r="I52" s="1656">
        <v>0.03</v>
      </c>
      <c r="J52" s="1657">
        <f t="shared" si="12"/>
        <v>0</v>
      </c>
      <c r="K52" s="1657">
        <f t="shared" si="13"/>
        <v>0</v>
      </c>
      <c r="L52" s="1657">
        <v>0</v>
      </c>
      <c r="M52" s="1657">
        <f t="shared" si="14"/>
        <v>0</v>
      </c>
      <c r="N52" s="1657">
        <f t="shared" si="14"/>
        <v>0</v>
      </c>
      <c r="P52" s="1541"/>
      <c r="Q52" s="1541"/>
      <c r="R52" s="1671"/>
      <c r="S52" s="1671"/>
      <c r="T52" s="1671"/>
      <c r="U52" s="1671"/>
      <c r="V52" s="1671"/>
      <c r="W52" s="1541"/>
      <c r="X52" s="1541"/>
      <c r="Y52" s="1541"/>
      <c r="Z52" s="1541"/>
      <c r="AA52" s="1541"/>
      <c r="AB52" s="1541"/>
      <c r="AC52" s="1541"/>
      <c r="AD52" s="1671"/>
      <c r="AE52" s="1387"/>
      <c r="AF52" s="1387"/>
      <c r="AG52" s="1387"/>
      <c r="AH52" s="1387"/>
      <c r="AI52" s="1387"/>
      <c r="AJ52" s="1387"/>
      <c r="AK52" s="1387"/>
      <c r="AL52" s="1387"/>
      <c r="AM52" s="1387"/>
      <c r="AN52" s="1387"/>
    </row>
    <row r="53" spans="1:40" s="1383" customFormat="1" ht="24">
      <c r="A53" s="1574" t="s">
        <v>1248</v>
      </c>
      <c r="B53" s="1575" t="str">
        <f>估价对象房地状况!C21</f>
        <v>估价对象所在区域公共配套设施齐备情况</v>
      </c>
      <c r="C53" s="1565"/>
      <c r="D53" s="1566">
        <f t="shared" si="10"/>
        <v>0</v>
      </c>
      <c r="E53" s="1571"/>
      <c r="F53" s="1568"/>
      <c r="G53" s="1569"/>
      <c r="H53" s="1570" t="str">
        <f t="shared" si="11"/>
        <v>——</v>
      </c>
      <c r="I53" s="1656">
        <v>0.05</v>
      </c>
      <c r="J53" s="1657">
        <f t="shared" si="12"/>
        <v>0</v>
      </c>
      <c r="K53" s="1657">
        <f t="shared" si="13"/>
        <v>0</v>
      </c>
      <c r="L53" s="1657">
        <v>0</v>
      </c>
      <c r="M53" s="1657">
        <f t="shared" si="14"/>
        <v>0</v>
      </c>
      <c r="N53" s="1657">
        <f t="shared" si="14"/>
        <v>0</v>
      </c>
      <c r="P53" s="1541"/>
      <c r="Q53" s="1541"/>
      <c r="R53" s="1671"/>
      <c r="S53" s="1671"/>
      <c r="T53" s="1671"/>
      <c r="U53" s="1671"/>
      <c r="V53" s="1671"/>
      <c r="W53" s="1541"/>
      <c r="X53" s="1541"/>
      <c r="Y53" s="1541"/>
      <c r="Z53" s="1541"/>
      <c r="AA53" s="1541"/>
      <c r="AB53" s="1541"/>
      <c r="AC53" s="1541"/>
      <c r="AD53" s="1671"/>
      <c r="AE53" s="1387"/>
      <c r="AF53" s="1387"/>
      <c r="AG53" s="1387"/>
      <c r="AH53" s="1387"/>
      <c r="AI53" s="1387"/>
      <c r="AJ53" s="1387"/>
      <c r="AK53" s="1387"/>
      <c r="AL53" s="1387"/>
      <c r="AM53" s="1387"/>
      <c r="AN53" s="1387"/>
    </row>
    <row r="54" spans="1:40" s="1383" customFormat="1" ht="24">
      <c r="A54" s="1574" t="s">
        <v>1249</v>
      </c>
      <c r="B54" s="1558" t="str">
        <f>估价对象房地状况!C22</f>
        <v>估价对象所在区域基础设施水平</v>
      </c>
      <c r="C54" s="1565"/>
      <c r="D54" s="1566">
        <f t="shared" si="10"/>
        <v>0</v>
      </c>
      <c r="E54" s="1571"/>
      <c r="F54" s="1568"/>
      <c r="G54" s="1569"/>
      <c r="H54" s="1570" t="str">
        <f t="shared" si="11"/>
        <v>——</v>
      </c>
      <c r="I54" s="1656">
        <v>0.1</v>
      </c>
      <c r="J54" s="1657">
        <f t="shared" si="12"/>
        <v>0</v>
      </c>
      <c r="K54" s="1657">
        <f t="shared" si="13"/>
        <v>0</v>
      </c>
      <c r="L54" s="1657">
        <v>0</v>
      </c>
      <c r="M54" s="1657">
        <f t="shared" si="14"/>
        <v>0</v>
      </c>
      <c r="N54" s="1657">
        <f t="shared" si="14"/>
        <v>0</v>
      </c>
      <c r="P54" s="1541"/>
      <c r="Q54" s="1541"/>
      <c r="R54" s="1671"/>
      <c r="S54" s="1671"/>
      <c r="T54" s="1671"/>
      <c r="U54" s="1671"/>
      <c r="V54" s="1671"/>
      <c r="W54" s="1541"/>
      <c r="X54" s="1541"/>
      <c r="Y54" s="1541"/>
      <c r="Z54" s="1541"/>
      <c r="AA54" s="1541"/>
      <c r="AB54" s="1541"/>
      <c r="AC54" s="1541"/>
      <c r="AD54" s="1671"/>
      <c r="AE54" s="1387"/>
      <c r="AF54" s="1387"/>
      <c r="AG54" s="1387"/>
      <c r="AH54" s="1387"/>
      <c r="AI54" s="1387"/>
      <c r="AJ54" s="1387"/>
      <c r="AK54" s="1387"/>
      <c r="AL54" s="1387"/>
      <c r="AM54" s="1387"/>
      <c r="AN54" s="1387"/>
    </row>
    <row r="55" spans="1:40" s="1383" customFormat="1" ht="36">
      <c r="A55" s="1576" t="s">
        <v>1250</v>
      </c>
      <c r="B55" s="1577" t="str">
        <f>估价对象房地状况!C20</f>
        <v>区域自然环境：；人文环境；综合评价环境状况一般</v>
      </c>
      <c r="C55" s="1565"/>
      <c r="D55" s="1566">
        <f t="shared" si="10"/>
        <v>0</v>
      </c>
      <c r="E55" s="1578"/>
      <c r="F55" s="1568"/>
      <c r="G55" s="1569"/>
      <c r="H55" s="1570" t="str">
        <f t="shared" si="11"/>
        <v>——</v>
      </c>
      <c r="I55" s="1658">
        <v>0.06</v>
      </c>
      <c r="J55" s="1657">
        <f t="shared" si="12"/>
        <v>0</v>
      </c>
      <c r="K55" s="1657">
        <f t="shared" si="13"/>
        <v>0</v>
      </c>
      <c r="L55" s="1657">
        <v>0</v>
      </c>
      <c r="M55" s="1657">
        <f t="shared" si="14"/>
        <v>0</v>
      </c>
      <c r="N55" s="1657">
        <f t="shared" si="14"/>
        <v>0</v>
      </c>
      <c r="P55" s="1541"/>
      <c r="Q55" s="1541"/>
      <c r="R55" s="1671"/>
      <c r="S55" s="1671"/>
      <c r="T55" s="1671"/>
      <c r="U55" s="1671"/>
      <c r="V55" s="1671"/>
      <c r="W55" s="1541"/>
      <c r="X55" s="1541"/>
      <c r="Y55" s="1541"/>
      <c r="Z55" s="1541"/>
      <c r="AA55" s="1541"/>
      <c r="AB55" s="1541"/>
      <c r="AC55" s="1541"/>
      <c r="AD55" s="1671"/>
      <c r="AE55" s="1387"/>
      <c r="AF55" s="1387"/>
      <c r="AG55" s="1387"/>
      <c r="AH55" s="1387"/>
      <c r="AI55" s="1387"/>
      <c r="AJ55" s="1387"/>
      <c r="AK55" s="1387"/>
      <c r="AL55" s="1387"/>
      <c r="AM55" s="1387"/>
      <c r="AN55" s="1387"/>
    </row>
    <row r="56" spans="1:40" s="1383" customFormat="1" ht="15">
      <c r="A56" s="1552" t="s">
        <v>378</v>
      </c>
      <c r="B56" s="1553">
        <f>1+E58</f>
        <v>1</v>
      </c>
      <c r="C56" s="1579"/>
      <c r="D56" s="1555"/>
      <c r="E56" s="1556"/>
      <c r="F56" s="1557"/>
      <c r="G56" s="1551"/>
      <c r="H56" s="1551"/>
      <c r="I56" s="1551"/>
      <c r="J56" s="1305"/>
      <c r="K56" s="1305"/>
      <c r="L56" s="1305"/>
      <c r="M56" s="1305"/>
      <c r="N56" s="1305"/>
      <c r="P56" s="1541"/>
      <c r="Q56" s="1541"/>
      <c r="R56" s="1671"/>
      <c r="S56" s="1671"/>
      <c r="T56" s="1671"/>
      <c r="U56" s="1671"/>
      <c r="V56" s="1671"/>
      <c r="W56" s="1541"/>
      <c r="X56" s="1541"/>
      <c r="Y56" s="1541"/>
      <c r="Z56" s="1541"/>
      <c r="AA56" s="1541"/>
      <c r="AB56" s="1541"/>
      <c r="AC56" s="1541"/>
      <c r="AD56" s="1671"/>
      <c r="AE56" s="1387"/>
      <c r="AF56" s="1387"/>
      <c r="AG56" s="1387"/>
      <c r="AH56" s="1387"/>
      <c r="AI56" s="1387"/>
      <c r="AJ56" s="1387"/>
      <c r="AK56" s="1387"/>
      <c r="AL56" s="1387"/>
      <c r="AM56" s="1387"/>
      <c r="AN56" s="1387"/>
    </row>
    <row r="57" spans="1:40" s="1383" customFormat="1" ht="24">
      <c r="A57" s="1353" t="s">
        <v>1233</v>
      </c>
      <c r="B57" s="1558"/>
      <c r="C57" s="1559" t="s">
        <v>1235</v>
      </c>
      <c r="D57" s="1560" t="s">
        <v>1236</v>
      </c>
      <c r="E57" s="1561" t="s">
        <v>1237</v>
      </c>
      <c r="F57" s="1562" t="s">
        <v>1238</v>
      </c>
      <c r="G57" s="1560" t="s">
        <v>1239</v>
      </c>
      <c r="H57" s="1563" t="s">
        <v>1240</v>
      </c>
      <c r="I57" s="1560" t="s">
        <v>1241</v>
      </c>
      <c r="J57" s="1655" t="s">
        <v>252</v>
      </c>
      <c r="K57" s="1655" t="s">
        <v>264</v>
      </c>
      <c r="L57" s="1655" t="s">
        <v>274</v>
      </c>
      <c r="M57" s="1655" t="s">
        <v>284</v>
      </c>
      <c r="N57" s="1655" t="s">
        <v>291</v>
      </c>
      <c r="P57" s="1541"/>
      <c r="Q57" s="1541"/>
      <c r="R57" s="1671"/>
      <c r="S57" s="1671"/>
      <c r="T57" s="1671"/>
      <c r="U57" s="1671"/>
      <c r="V57" s="1671"/>
      <c r="W57" s="1541"/>
      <c r="X57" s="1541"/>
      <c r="Y57" s="1541"/>
      <c r="Z57" s="1541"/>
      <c r="AA57" s="1541"/>
      <c r="AB57" s="1541"/>
      <c r="AC57" s="1541"/>
      <c r="AD57" s="1671"/>
      <c r="AE57" s="1387"/>
      <c r="AF57" s="1387"/>
      <c r="AG57" s="1387"/>
      <c r="AH57" s="1387"/>
      <c r="AI57" s="1387"/>
      <c r="AJ57" s="1387"/>
      <c r="AK57" s="1387"/>
      <c r="AL57" s="1387"/>
      <c r="AM57" s="1387"/>
      <c r="AN57" s="1387"/>
    </row>
    <row r="58" spans="1:40" s="1383" customFormat="1" ht="36">
      <c r="A58" s="1353" t="s">
        <v>670</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56">
        <v>0.24</v>
      </c>
      <c r="J58" s="1657">
        <f t="shared" ref="J58:J66" si="16">K58+$G58</f>
        <v>0</v>
      </c>
      <c r="K58" s="1657">
        <f t="shared" ref="K58:K66" si="17">$L58+$G58</f>
        <v>0</v>
      </c>
      <c r="L58" s="1657">
        <v>0</v>
      </c>
      <c r="M58" s="1657">
        <f t="shared" ref="M58:N66" si="18">L58-$G58</f>
        <v>0</v>
      </c>
      <c r="N58" s="1657">
        <f t="shared" si="18"/>
        <v>0</v>
      </c>
      <c r="P58" s="1541"/>
      <c r="Q58" s="1541"/>
      <c r="R58" s="1671"/>
      <c r="S58" s="1671"/>
      <c r="T58" s="1671"/>
      <c r="U58" s="1671"/>
      <c r="V58" s="1671"/>
      <c r="W58" s="1541"/>
      <c r="X58" s="1541"/>
      <c r="Y58" s="1541"/>
      <c r="Z58" s="1541"/>
      <c r="AA58" s="1541"/>
      <c r="AB58" s="1541"/>
      <c r="AC58" s="1541"/>
      <c r="AD58" s="1671"/>
      <c r="AE58" s="1387"/>
      <c r="AF58" s="1387"/>
      <c r="AG58" s="1387"/>
      <c r="AH58" s="1387"/>
      <c r="AI58" s="1387"/>
      <c r="AJ58" s="1387"/>
      <c r="AK58" s="1387"/>
      <c r="AL58" s="1387"/>
      <c r="AM58" s="1387"/>
      <c r="AN58" s="1387"/>
    </row>
    <row r="59" spans="1:40" s="1383" customFormat="1" ht="48">
      <c r="A59" s="1353" t="s">
        <v>668</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56">
        <v>0.3</v>
      </c>
      <c r="J59" s="1657">
        <f t="shared" si="16"/>
        <v>0</v>
      </c>
      <c r="K59" s="1657">
        <f t="shared" si="17"/>
        <v>0</v>
      </c>
      <c r="L59" s="1657">
        <v>0</v>
      </c>
      <c r="M59" s="1657">
        <f t="shared" si="18"/>
        <v>0</v>
      </c>
      <c r="N59" s="1657">
        <f t="shared" si="18"/>
        <v>0</v>
      </c>
      <c r="P59" s="1541"/>
      <c r="Q59" s="1541"/>
      <c r="R59" s="1671"/>
      <c r="S59" s="1671"/>
      <c r="T59" s="1671"/>
      <c r="U59" s="1671"/>
      <c r="V59" s="1671"/>
      <c r="W59" s="1541"/>
      <c r="X59" s="1541"/>
      <c r="Y59" s="1541"/>
      <c r="Z59" s="1541"/>
      <c r="AA59" s="1541"/>
      <c r="AB59" s="1541"/>
      <c r="AC59" s="1541"/>
      <c r="AD59" s="1671"/>
      <c r="AE59" s="1387"/>
      <c r="AF59" s="1387"/>
      <c r="AG59" s="1387"/>
      <c r="AH59" s="1387"/>
      <c r="AI59" s="1387"/>
      <c r="AJ59" s="1387"/>
      <c r="AK59" s="1387"/>
      <c r="AL59" s="1387"/>
      <c r="AM59" s="1387"/>
      <c r="AN59" s="1387"/>
    </row>
    <row r="60" spans="1:40" s="1383" customFormat="1" ht="24">
      <c r="A60" s="1353" t="s">
        <v>680</v>
      </c>
      <c r="B60" s="1558">
        <f>估价对象房地状况!C19</f>
        <v>0</v>
      </c>
      <c r="C60" s="1565"/>
      <c r="D60" s="1566">
        <f t="shared" si="15"/>
        <v>0</v>
      </c>
      <c r="E60" s="1571"/>
      <c r="F60" s="1568"/>
      <c r="G60" s="1569"/>
      <c r="H60" s="1580" t="str">
        <f t="shared" si="19"/>
        <v>——</v>
      </c>
      <c r="I60" s="1656">
        <v>0.08</v>
      </c>
      <c r="J60" s="1657">
        <f t="shared" si="16"/>
        <v>0</v>
      </c>
      <c r="K60" s="1657">
        <f t="shared" si="17"/>
        <v>0</v>
      </c>
      <c r="L60" s="1657">
        <v>0</v>
      </c>
      <c r="M60" s="1657">
        <f t="shared" si="18"/>
        <v>0</v>
      </c>
      <c r="N60" s="1657">
        <f t="shared" si="18"/>
        <v>0</v>
      </c>
      <c r="P60" s="1541"/>
      <c r="Q60" s="1541"/>
      <c r="R60" s="1671"/>
      <c r="S60" s="1671"/>
      <c r="T60" s="1671"/>
      <c r="U60" s="1671"/>
      <c r="V60" s="1671"/>
      <c r="W60" s="1541"/>
      <c r="X60" s="1541"/>
      <c r="Y60" s="1541"/>
      <c r="Z60" s="1541"/>
      <c r="AA60" s="1541"/>
      <c r="AB60" s="1541"/>
      <c r="AC60" s="1541"/>
      <c r="AD60" s="1671"/>
      <c r="AE60" s="1387"/>
      <c r="AF60" s="1387"/>
      <c r="AG60" s="1387"/>
      <c r="AH60" s="1387"/>
      <c r="AI60" s="1387"/>
      <c r="AJ60" s="1387"/>
      <c r="AK60" s="1387"/>
      <c r="AL60" s="1387"/>
      <c r="AM60" s="1387"/>
      <c r="AN60" s="1387"/>
    </row>
    <row r="61" spans="1:40" s="1383" customFormat="1" ht="36">
      <c r="A61" s="1353" t="s">
        <v>1243</v>
      </c>
      <c r="B61" s="1572" t="s">
        <v>1244</v>
      </c>
      <c r="C61" s="1565"/>
      <c r="D61" s="1566">
        <f t="shared" si="15"/>
        <v>0</v>
      </c>
      <c r="E61" s="1571"/>
      <c r="F61" s="1568"/>
      <c r="G61" s="1569"/>
      <c r="H61" s="1580" t="str">
        <f t="shared" si="19"/>
        <v>——</v>
      </c>
      <c r="I61" s="1656">
        <v>0.04</v>
      </c>
      <c r="J61" s="1657">
        <f t="shared" si="16"/>
        <v>0</v>
      </c>
      <c r="K61" s="1657">
        <f t="shared" si="17"/>
        <v>0</v>
      </c>
      <c r="L61" s="1657">
        <v>0</v>
      </c>
      <c r="M61" s="1657">
        <f t="shared" si="18"/>
        <v>0</v>
      </c>
      <c r="N61" s="1657">
        <f t="shared" si="18"/>
        <v>0</v>
      </c>
      <c r="P61" s="1541"/>
      <c r="Q61" s="1541"/>
      <c r="R61" s="1671"/>
      <c r="S61" s="1671"/>
      <c r="T61" s="1671"/>
      <c r="U61" s="1671"/>
      <c r="V61" s="1671"/>
      <c r="W61" s="1541"/>
      <c r="X61" s="1541"/>
      <c r="Y61" s="1541"/>
      <c r="Z61" s="1541"/>
      <c r="AA61" s="1541"/>
      <c r="AB61" s="1541"/>
      <c r="AC61" s="1541"/>
      <c r="AD61" s="1671"/>
      <c r="AE61" s="1387"/>
      <c r="AF61" s="1387"/>
      <c r="AG61" s="1387"/>
      <c r="AH61" s="1387"/>
      <c r="AI61" s="1387"/>
      <c r="AJ61" s="1387"/>
      <c r="AK61" s="1387"/>
      <c r="AL61" s="1387"/>
      <c r="AM61" s="1387"/>
      <c r="AN61" s="1387"/>
    </row>
    <row r="62" spans="1:40" s="1383" customFormat="1" ht="24">
      <c r="A62" s="1353" t="s">
        <v>1245</v>
      </c>
      <c r="B62" s="1558">
        <f>估价对象房地状况!C24</f>
        <v>0</v>
      </c>
      <c r="C62" s="1565"/>
      <c r="D62" s="1566">
        <f t="shared" si="15"/>
        <v>0</v>
      </c>
      <c r="E62" s="1571"/>
      <c r="F62" s="1568"/>
      <c r="G62" s="1569"/>
      <c r="H62" s="1580" t="str">
        <f t="shared" si="19"/>
        <v>——</v>
      </c>
      <c r="I62" s="1656">
        <v>0.05</v>
      </c>
      <c r="J62" s="1657">
        <f t="shared" si="16"/>
        <v>0</v>
      </c>
      <c r="K62" s="1657">
        <f t="shared" si="17"/>
        <v>0</v>
      </c>
      <c r="L62" s="1657">
        <v>0</v>
      </c>
      <c r="M62" s="1657">
        <f t="shared" si="18"/>
        <v>0</v>
      </c>
      <c r="N62" s="1657">
        <f t="shared" si="18"/>
        <v>0</v>
      </c>
      <c r="P62" s="1541"/>
      <c r="Q62" s="1541"/>
      <c r="R62" s="1671"/>
      <c r="S62" s="1671"/>
      <c r="T62" s="1671"/>
      <c r="U62" s="1671"/>
      <c r="V62" s="1671"/>
      <c r="W62" s="1541"/>
      <c r="X62" s="1541"/>
      <c r="Y62" s="1541"/>
      <c r="Z62" s="1541"/>
      <c r="AA62" s="1541"/>
      <c r="AB62" s="1541"/>
      <c r="AC62" s="1541"/>
      <c r="AD62" s="1671"/>
      <c r="AE62" s="1387"/>
      <c r="AF62" s="1387"/>
      <c r="AG62" s="1387"/>
      <c r="AH62" s="1387"/>
      <c r="AI62" s="1387"/>
      <c r="AJ62" s="1387"/>
      <c r="AK62" s="1387"/>
      <c r="AL62" s="1387"/>
      <c r="AM62" s="1387"/>
      <c r="AN62" s="1387"/>
    </row>
    <row r="63" spans="1:40" s="1383" customFormat="1" ht="24">
      <c r="A63" s="1353" t="s">
        <v>1246</v>
      </c>
      <c r="B63" s="1573" t="s">
        <v>1247</v>
      </c>
      <c r="C63" s="1565"/>
      <c r="D63" s="1566">
        <f t="shared" si="15"/>
        <v>0</v>
      </c>
      <c r="E63" s="1571"/>
      <c r="F63" s="1568"/>
      <c r="G63" s="1569"/>
      <c r="H63" s="1580" t="str">
        <f t="shared" si="19"/>
        <v>——</v>
      </c>
      <c r="I63" s="1656">
        <v>0.05</v>
      </c>
      <c r="J63" s="1657">
        <f t="shared" si="16"/>
        <v>0</v>
      </c>
      <c r="K63" s="1657">
        <f t="shared" si="17"/>
        <v>0</v>
      </c>
      <c r="L63" s="1657">
        <v>0</v>
      </c>
      <c r="M63" s="1657">
        <f t="shared" si="18"/>
        <v>0</v>
      </c>
      <c r="N63" s="1657">
        <f t="shared" si="18"/>
        <v>0</v>
      </c>
      <c r="P63" s="1541"/>
      <c r="Q63" s="1541"/>
      <c r="R63" s="1671"/>
      <c r="S63" s="1671"/>
      <c r="T63" s="1671"/>
      <c r="U63" s="1671"/>
      <c r="V63" s="1671"/>
      <c r="W63" s="1541"/>
      <c r="X63" s="1541"/>
      <c r="Y63" s="1541"/>
      <c r="Z63" s="1541"/>
      <c r="AA63" s="1541"/>
      <c r="AB63" s="1541"/>
      <c r="AC63" s="1541"/>
      <c r="AD63" s="1671"/>
      <c r="AE63" s="1387"/>
      <c r="AF63" s="1387"/>
      <c r="AG63" s="1387"/>
      <c r="AH63" s="1387"/>
      <c r="AI63" s="1387"/>
      <c r="AJ63" s="1387"/>
      <c r="AK63" s="1387"/>
      <c r="AL63" s="1387"/>
      <c r="AM63" s="1387"/>
      <c r="AN63" s="1387"/>
    </row>
    <row r="64" spans="1:40" s="1383" customFormat="1" ht="24">
      <c r="A64" s="1353" t="s">
        <v>1248</v>
      </c>
      <c r="B64" s="1575" t="str">
        <f>估价对象房地状况!C21</f>
        <v>估价对象所在区域公共配套设施齐备情况</v>
      </c>
      <c r="C64" s="1565"/>
      <c r="D64" s="1566">
        <f t="shared" si="15"/>
        <v>0</v>
      </c>
      <c r="E64" s="1571"/>
      <c r="F64" s="1568"/>
      <c r="G64" s="1569"/>
      <c r="H64" s="1580" t="str">
        <f t="shared" si="19"/>
        <v>——</v>
      </c>
      <c r="I64" s="1656">
        <v>0.06</v>
      </c>
      <c r="J64" s="1657">
        <f t="shared" si="16"/>
        <v>0</v>
      </c>
      <c r="K64" s="1657">
        <f t="shared" si="17"/>
        <v>0</v>
      </c>
      <c r="L64" s="1657">
        <v>0</v>
      </c>
      <c r="M64" s="1657">
        <f t="shared" si="18"/>
        <v>0</v>
      </c>
      <c r="N64" s="1657">
        <f t="shared" si="18"/>
        <v>0</v>
      </c>
      <c r="P64" s="1541"/>
      <c r="Q64" s="1541"/>
      <c r="R64" s="1671"/>
      <c r="S64" s="1671"/>
      <c r="T64" s="1671"/>
      <c r="U64" s="1671"/>
      <c r="V64" s="1671"/>
      <c r="W64" s="1541"/>
      <c r="X64" s="1541"/>
      <c r="Y64" s="1541"/>
      <c r="Z64" s="1541"/>
      <c r="AA64" s="1541"/>
      <c r="AB64" s="1541"/>
      <c r="AC64" s="1541"/>
      <c r="AD64" s="1671"/>
      <c r="AE64" s="1387"/>
      <c r="AF64" s="1387"/>
      <c r="AG64" s="1387"/>
      <c r="AH64" s="1387"/>
      <c r="AI64" s="1387"/>
      <c r="AJ64" s="1387"/>
      <c r="AK64" s="1387"/>
      <c r="AL64" s="1387"/>
      <c r="AM64" s="1387"/>
      <c r="AN64" s="1387"/>
    </row>
    <row r="65" spans="1:40" s="1383" customFormat="1" ht="24">
      <c r="A65" s="1353" t="s">
        <v>1249</v>
      </c>
      <c r="B65" s="1575" t="str">
        <f>估价对象房地状况!C22</f>
        <v>估价对象所在区域基础设施水平</v>
      </c>
      <c r="C65" s="1565"/>
      <c r="D65" s="1566">
        <f t="shared" si="15"/>
        <v>0</v>
      </c>
      <c r="E65" s="1571"/>
      <c r="F65" s="1568"/>
      <c r="G65" s="1569"/>
      <c r="H65" s="1580" t="str">
        <f t="shared" si="19"/>
        <v>——</v>
      </c>
      <c r="I65" s="1656">
        <v>0.12</v>
      </c>
      <c r="J65" s="1657">
        <f t="shared" si="16"/>
        <v>0</v>
      </c>
      <c r="K65" s="1657">
        <f t="shared" si="17"/>
        <v>0</v>
      </c>
      <c r="L65" s="1657">
        <v>0</v>
      </c>
      <c r="M65" s="1657">
        <f t="shared" si="18"/>
        <v>0</v>
      </c>
      <c r="N65" s="1657">
        <f t="shared" si="18"/>
        <v>0</v>
      </c>
      <c r="P65" s="1541"/>
      <c r="Q65" s="1541"/>
      <c r="R65" s="1671"/>
      <c r="S65" s="1671"/>
      <c r="T65" s="1671"/>
      <c r="U65" s="1671"/>
      <c r="V65" s="1671"/>
      <c r="W65" s="1541"/>
      <c r="X65" s="1541"/>
      <c r="Y65" s="1541"/>
      <c r="Z65" s="1541"/>
      <c r="AA65" s="1541"/>
      <c r="AB65" s="1541"/>
      <c r="AC65" s="1541"/>
      <c r="AD65" s="1671"/>
      <c r="AE65" s="1387"/>
      <c r="AF65" s="1387"/>
      <c r="AG65" s="1387"/>
      <c r="AH65" s="1387"/>
      <c r="AI65" s="1387"/>
      <c r="AJ65" s="1387"/>
      <c r="AK65" s="1387"/>
      <c r="AL65" s="1387"/>
      <c r="AM65" s="1387"/>
      <c r="AN65" s="1387"/>
    </row>
    <row r="66" spans="1:40" s="1383" customFormat="1" ht="36">
      <c r="A66" s="1576" t="s">
        <v>1250</v>
      </c>
      <c r="B66" s="1684" t="str">
        <f>估价对象房地状况!C20</f>
        <v>区域自然环境：；人文环境；综合评价环境状况一般</v>
      </c>
      <c r="C66" s="1565"/>
      <c r="D66" s="1566">
        <f t="shared" si="15"/>
        <v>0</v>
      </c>
      <c r="E66" s="1578"/>
      <c r="F66" s="1568"/>
      <c r="G66" s="1569"/>
      <c r="H66" s="1580" t="str">
        <f t="shared" si="19"/>
        <v>——</v>
      </c>
      <c r="I66" s="1658">
        <v>0.06</v>
      </c>
      <c r="J66" s="1657">
        <f t="shared" si="16"/>
        <v>0</v>
      </c>
      <c r="K66" s="1657">
        <f t="shared" si="17"/>
        <v>0</v>
      </c>
      <c r="L66" s="1657">
        <v>0</v>
      </c>
      <c r="M66" s="1657">
        <f t="shared" si="18"/>
        <v>0</v>
      </c>
      <c r="N66" s="1657">
        <f t="shared" si="18"/>
        <v>0</v>
      </c>
      <c r="P66" s="1541"/>
      <c r="Q66" s="1541"/>
      <c r="R66" s="1671"/>
      <c r="S66" s="1671"/>
      <c r="T66" s="1671"/>
      <c r="U66" s="1671"/>
      <c r="V66" s="1671"/>
      <c r="W66" s="1541"/>
      <c r="X66" s="1541"/>
      <c r="Y66" s="1541"/>
      <c r="Z66" s="1541"/>
      <c r="AA66" s="1541"/>
      <c r="AB66" s="1541"/>
      <c r="AC66" s="1541"/>
      <c r="AD66" s="1671"/>
      <c r="AE66" s="1387"/>
      <c r="AF66" s="1387"/>
      <c r="AG66" s="1387"/>
      <c r="AH66" s="1387"/>
      <c r="AI66" s="1387"/>
      <c r="AJ66" s="1387"/>
      <c r="AK66" s="1387"/>
      <c r="AL66" s="1387"/>
      <c r="AM66" s="1387"/>
      <c r="AN66" s="1387"/>
    </row>
    <row r="67" spans="1:40" s="1383" customFormat="1" ht="15">
      <c r="A67" s="1552" t="s">
        <v>376</v>
      </c>
      <c r="B67" s="1553">
        <f>1+E69</f>
        <v>1</v>
      </c>
      <c r="C67" s="1579"/>
      <c r="D67" s="1555"/>
      <c r="E67" s="1556"/>
      <c r="F67" s="1557"/>
      <c r="G67" s="1551"/>
      <c r="H67" s="1551"/>
      <c r="I67" s="1551"/>
      <c r="J67" s="1305"/>
      <c r="K67" s="1305"/>
      <c r="L67" s="1305"/>
      <c r="M67" s="1305"/>
      <c r="N67" s="1305"/>
      <c r="P67" s="1541"/>
      <c r="Q67" s="1541"/>
      <c r="R67" s="1671"/>
      <c r="S67" s="1671"/>
      <c r="T67" s="1671"/>
      <c r="U67" s="1671"/>
      <c r="V67" s="1671"/>
      <c r="W67" s="1541"/>
      <c r="X67" s="1541"/>
      <c r="Y67" s="1541"/>
      <c r="Z67" s="1541"/>
      <c r="AA67" s="1541"/>
      <c r="AB67" s="1541"/>
      <c r="AC67" s="1541"/>
      <c r="AD67" s="1671"/>
      <c r="AE67" s="1387"/>
      <c r="AF67" s="1387"/>
      <c r="AG67" s="1387"/>
      <c r="AH67" s="1387"/>
      <c r="AI67" s="1387"/>
      <c r="AJ67" s="1387"/>
      <c r="AK67" s="1387"/>
      <c r="AL67" s="1387"/>
      <c r="AM67" s="1387"/>
      <c r="AN67" s="1387"/>
    </row>
    <row r="68" spans="1:40" s="1383" customFormat="1" ht="24">
      <c r="A68" s="1353" t="s">
        <v>1233</v>
      </c>
      <c r="B68" s="1558"/>
      <c r="C68" s="1559" t="s">
        <v>1235</v>
      </c>
      <c r="D68" s="1560" t="s">
        <v>1236</v>
      </c>
      <c r="E68" s="1561" t="s">
        <v>1237</v>
      </c>
      <c r="F68" s="1562" t="s">
        <v>1238</v>
      </c>
      <c r="G68" s="1560" t="s">
        <v>1239</v>
      </c>
      <c r="H68" s="1563" t="s">
        <v>1240</v>
      </c>
      <c r="I68" s="1560" t="s">
        <v>1241</v>
      </c>
      <c r="J68" s="1655" t="s">
        <v>252</v>
      </c>
      <c r="K68" s="1655" t="s">
        <v>264</v>
      </c>
      <c r="L68" s="1655" t="s">
        <v>274</v>
      </c>
      <c r="M68" s="1655" t="s">
        <v>284</v>
      </c>
      <c r="N68" s="1655" t="s">
        <v>291</v>
      </c>
      <c r="P68" s="1541"/>
      <c r="Q68" s="1541"/>
      <c r="R68" s="1671"/>
      <c r="S68" s="1671"/>
      <c r="T68" s="1671"/>
      <c r="U68" s="1671"/>
      <c r="V68" s="1671"/>
      <c r="W68" s="1541"/>
      <c r="X68" s="1541"/>
      <c r="Y68" s="1541"/>
      <c r="Z68" s="1541"/>
      <c r="AA68" s="1541"/>
      <c r="AB68" s="1541"/>
      <c r="AC68" s="1541"/>
      <c r="AD68" s="1671"/>
      <c r="AE68" s="1387"/>
      <c r="AF68" s="1387"/>
      <c r="AG68" s="1387"/>
      <c r="AH68" s="1387"/>
      <c r="AI68" s="1387"/>
      <c r="AJ68" s="1387"/>
      <c r="AK68" s="1387"/>
      <c r="AL68" s="1387"/>
      <c r="AM68" s="1387"/>
      <c r="AN68" s="1387"/>
    </row>
    <row r="69" spans="1:40" s="1383" customFormat="1" ht="48">
      <c r="A69" s="1353" t="s">
        <v>662</v>
      </c>
      <c r="B69" s="1564" t="str">
        <f>估价对象房地状况!C15</f>
        <v>估价对象周边居住用地比例、居住小区规模和社区发展完善程度，综合评价居住社区成熟度一般</v>
      </c>
      <c r="C69" s="1685"/>
      <c r="D69" s="1566">
        <f t="shared" ref="D69:D77" si="20">SUMIF($J$68:$N$68,C69,J69:N69)</f>
        <v>0</v>
      </c>
      <c r="E69" s="1567">
        <f>ROUND(SUM(D69:D77),4)</f>
        <v>0</v>
      </c>
      <c r="F69" s="1568" t="str">
        <f>IF(E2="住宅",SUMIF(L1:L12,G2,N1:N12),"——")</f>
        <v>——</v>
      </c>
      <c r="G69" s="1686"/>
      <c r="H69" s="1687" t="str">
        <f t="shared" ref="H69:H77" si="21">IFERROR(ROUNDDOWN($F$69*I69/2,4),"——")</f>
        <v>——</v>
      </c>
      <c r="I69" s="1656">
        <v>0.14000000000000001</v>
      </c>
      <c r="J69" s="1657">
        <f t="shared" ref="J69:J77" si="22">K69+$G69</f>
        <v>0</v>
      </c>
      <c r="K69" s="1657">
        <f t="shared" ref="K69:K77" si="23">$L69+$G69</f>
        <v>0</v>
      </c>
      <c r="L69" s="1657">
        <v>0</v>
      </c>
      <c r="M69" s="1657">
        <f t="shared" ref="M69:N77" si="24">L69-$G69</f>
        <v>0</v>
      </c>
      <c r="N69" s="1657">
        <f t="shared" si="24"/>
        <v>0</v>
      </c>
      <c r="P69" s="1541"/>
      <c r="Q69" s="1541"/>
      <c r="R69" s="1671"/>
      <c r="S69" s="1671"/>
      <c r="T69" s="1671"/>
      <c r="U69" s="1671"/>
      <c r="V69" s="1671"/>
      <c r="W69" s="1541"/>
      <c r="X69" s="1541"/>
      <c r="Y69" s="1541"/>
      <c r="Z69" s="1541"/>
      <c r="AA69" s="1541"/>
      <c r="AB69" s="1541"/>
      <c r="AC69" s="1541"/>
      <c r="AD69" s="1671"/>
      <c r="AE69" s="1387"/>
      <c r="AF69" s="1387"/>
      <c r="AG69" s="1387"/>
      <c r="AH69" s="1387"/>
      <c r="AI69" s="1387"/>
      <c r="AJ69" s="1387"/>
      <c r="AK69" s="1387"/>
      <c r="AL69" s="1387"/>
      <c r="AM69" s="1387"/>
      <c r="AN69" s="1387"/>
    </row>
    <row r="70" spans="1:40" s="1383" customFormat="1" ht="48">
      <c r="A70" s="1353" t="s">
        <v>668</v>
      </c>
      <c r="B70" s="1558" t="str">
        <f>估价对象房地状况!C18</f>
        <v>估价对象周边道路状况、公共交通通达情况、停车便捷程度，综合评价交通便捷度较好</v>
      </c>
      <c r="C70" s="1685"/>
      <c r="D70" s="1566">
        <f t="shared" si="20"/>
        <v>0</v>
      </c>
      <c r="E70" s="1688"/>
      <c r="F70" s="1689"/>
      <c r="G70" s="1686"/>
      <c r="H70" s="1687" t="str">
        <f t="shared" si="21"/>
        <v>——</v>
      </c>
      <c r="I70" s="1656">
        <v>0.3</v>
      </c>
      <c r="J70" s="1657">
        <f t="shared" si="22"/>
        <v>0</v>
      </c>
      <c r="K70" s="1657">
        <f t="shared" si="23"/>
        <v>0</v>
      </c>
      <c r="L70" s="1657">
        <v>0</v>
      </c>
      <c r="M70" s="1657">
        <f t="shared" si="24"/>
        <v>0</v>
      </c>
      <c r="N70" s="1657">
        <f t="shared" si="24"/>
        <v>0</v>
      </c>
      <c r="P70" s="1541"/>
      <c r="Q70" s="1541"/>
      <c r="R70" s="1671"/>
      <c r="S70" s="1671"/>
      <c r="T70" s="1671"/>
      <c r="U70" s="1671"/>
      <c r="V70" s="1671"/>
      <c r="W70" s="1541"/>
      <c r="X70" s="1541"/>
      <c r="Y70" s="1541"/>
      <c r="Z70" s="1541"/>
      <c r="AA70" s="1541"/>
      <c r="AB70" s="1541"/>
      <c r="AC70" s="1541"/>
      <c r="AD70" s="1671"/>
      <c r="AE70" s="1387"/>
      <c r="AF70" s="1387"/>
      <c r="AG70" s="1387"/>
      <c r="AH70" s="1387"/>
      <c r="AI70" s="1387"/>
      <c r="AJ70" s="1387"/>
      <c r="AK70" s="1387"/>
      <c r="AL70" s="1387"/>
      <c r="AM70" s="1387"/>
      <c r="AN70" s="1387"/>
    </row>
    <row r="71" spans="1:40" s="1383" customFormat="1" ht="24">
      <c r="A71" s="1353" t="s">
        <v>680</v>
      </c>
      <c r="B71" s="1558">
        <f>估价对象房地状况!C19</f>
        <v>0</v>
      </c>
      <c r="C71" s="1685"/>
      <c r="D71" s="1566">
        <f t="shared" si="20"/>
        <v>0</v>
      </c>
      <c r="E71" s="1688"/>
      <c r="F71" s="1689"/>
      <c r="G71" s="1686"/>
      <c r="H71" s="1687" t="str">
        <f t="shared" si="21"/>
        <v>——</v>
      </c>
      <c r="I71" s="1656">
        <v>0.08</v>
      </c>
      <c r="J71" s="1657">
        <f t="shared" si="22"/>
        <v>0</v>
      </c>
      <c r="K71" s="1657">
        <f t="shared" si="23"/>
        <v>0</v>
      </c>
      <c r="L71" s="1657">
        <v>0</v>
      </c>
      <c r="M71" s="1657">
        <f t="shared" si="24"/>
        <v>0</v>
      </c>
      <c r="N71" s="1657">
        <f t="shared" si="24"/>
        <v>0</v>
      </c>
      <c r="P71" s="1541"/>
      <c r="Q71" s="1541"/>
      <c r="R71" s="1671"/>
      <c r="S71" s="1671"/>
      <c r="T71" s="1671"/>
      <c r="U71" s="1671"/>
      <c r="V71" s="1671"/>
      <c r="W71" s="1541"/>
      <c r="X71" s="1541"/>
      <c r="Y71" s="1541"/>
      <c r="Z71" s="1541"/>
      <c r="AA71" s="1541"/>
      <c r="AB71" s="1541"/>
      <c r="AC71" s="1541"/>
      <c r="AD71" s="1671"/>
      <c r="AE71" s="1387"/>
      <c r="AF71" s="1387"/>
      <c r="AG71" s="1387"/>
      <c r="AH71" s="1387"/>
      <c r="AI71" s="1387"/>
      <c r="AJ71" s="1387"/>
      <c r="AK71" s="1387"/>
      <c r="AL71" s="1387"/>
      <c r="AM71" s="1387"/>
      <c r="AN71" s="1387"/>
    </row>
    <row r="72" spans="1:40" s="1383" customFormat="1" ht="14.25">
      <c r="A72" s="1353" t="s">
        <v>1251</v>
      </c>
      <c r="B72" s="1558">
        <f>估价对象房地状况!C24</f>
        <v>0</v>
      </c>
      <c r="C72" s="1685"/>
      <c r="D72" s="1566">
        <f t="shared" si="20"/>
        <v>0</v>
      </c>
      <c r="E72" s="1688"/>
      <c r="F72" s="1689"/>
      <c r="G72" s="1686"/>
      <c r="H72" s="1687" t="str">
        <f t="shared" si="21"/>
        <v>——</v>
      </c>
      <c r="I72" s="1656">
        <v>0.04</v>
      </c>
      <c r="J72" s="1657">
        <f t="shared" si="22"/>
        <v>0</v>
      </c>
      <c r="K72" s="1657">
        <f t="shared" si="23"/>
        <v>0</v>
      </c>
      <c r="L72" s="1657">
        <v>0</v>
      </c>
      <c r="M72" s="1657">
        <f t="shared" si="24"/>
        <v>0</v>
      </c>
      <c r="N72" s="1657">
        <f t="shared" si="24"/>
        <v>0</v>
      </c>
      <c r="P72" s="1541"/>
      <c r="Q72" s="1541"/>
      <c r="R72" s="1671"/>
      <c r="S72" s="1671"/>
      <c r="T72" s="1671"/>
      <c r="U72" s="1671"/>
      <c r="V72" s="1671"/>
      <c r="W72" s="1541"/>
      <c r="X72" s="1541"/>
      <c r="Y72" s="1541"/>
      <c r="Z72" s="1541"/>
      <c r="AA72" s="1541"/>
      <c r="AB72" s="1541"/>
      <c r="AC72" s="1541"/>
      <c r="AD72" s="1671"/>
      <c r="AE72" s="1387"/>
      <c r="AF72" s="1387"/>
      <c r="AG72" s="1387"/>
      <c r="AH72" s="1387"/>
      <c r="AI72" s="1387"/>
      <c r="AJ72" s="1387"/>
      <c r="AK72" s="1387"/>
      <c r="AL72" s="1387"/>
      <c r="AM72" s="1387"/>
      <c r="AN72" s="1387"/>
    </row>
    <row r="73" spans="1:40" s="1383" customFormat="1" ht="24">
      <c r="A73" s="1353" t="s">
        <v>1248</v>
      </c>
      <c r="B73" s="1575" t="str">
        <f>估价对象房地状况!C21</f>
        <v>估价对象所在区域公共配套设施齐备情况</v>
      </c>
      <c r="C73" s="1685"/>
      <c r="D73" s="1566">
        <f t="shared" si="20"/>
        <v>0</v>
      </c>
      <c r="E73" s="1688"/>
      <c r="F73" s="1689"/>
      <c r="G73" s="1686"/>
      <c r="H73" s="1687" t="str">
        <f t="shared" si="21"/>
        <v>——</v>
      </c>
      <c r="I73" s="1656">
        <v>0.08</v>
      </c>
      <c r="J73" s="1657">
        <f t="shared" si="22"/>
        <v>0</v>
      </c>
      <c r="K73" s="1657">
        <f t="shared" si="23"/>
        <v>0</v>
      </c>
      <c r="L73" s="1657">
        <v>0</v>
      </c>
      <c r="M73" s="1657">
        <f t="shared" si="24"/>
        <v>0</v>
      </c>
      <c r="N73" s="1657">
        <f t="shared" si="24"/>
        <v>0</v>
      </c>
      <c r="P73" s="1541"/>
      <c r="Q73" s="1541"/>
      <c r="R73" s="1671"/>
      <c r="S73" s="1671"/>
      <c r="T73" s="1671"/>
      <c r="U73" s="1671"/>
      <c r="V73" s="1671"/>
      <c r="W73" s="1541"/>
      <c r="X73" s="1541"/>
      <c r="Y73" s="1541"/>
      <c r="Z73" s="1541"/>
      <c r="AA73" s="1541"/>
      <c r="AB73" s="1541"/>
      <c r="AC73" s="1541"/>
      <c r="AD73" s="1671"/>
      <c r="AE73" s="1387"/>
      <c r="AF73" s="1387"/>
      <c r="AG73" s="1387"/>
      <c r="AH73" s="1387"/>
      <c r="AI73" s="1387"/>
      <c r="AJ73" s="1387"/>
      <c r="AK73" s="1387"/>
      <c r="AL73" s="1387"/>
      <c r="AM73" s="1387"/>
      <c r="AN73" s="1387"/>
    </row>
    <row r="74" spans="1:40" s="1383" customFormat="1" ht="24">
      <c r="A74" s="1353" t="s">
        <v>1249</v>
      </c>
      <c r="B74" s="1575" t="str">
        <f>估价对象房地状况!C22</f>
        <v>估价对象所在区域基础设施水平</v>
      </c>
      <c r="C74" s="1685"/>
      <c r="D74" s="1566">
        <f t="shared" si="20"/>
        <v>0</v>
      </c>
      <c r="E74" s="1688"/>
      <c r="F74" s="1689"/>
      <c r="G74" s="1686"/>
      <c r="H74" s="1687" t="str">
        <f t="shared" si="21"/>
        <v>——</v>
      </c>
      <c r="I74" s="1656">
        <v>0.12</v>
      </c>
      <c r="J74" s="1657">
        <f t="shared" si="22"/>
        <v>0</v>
      </c>
      <c r="K74" s="1657">
        <f t="shared" si="23"/>
        <v>0</v>
      </c>
      <c r="L74" s="1657">
        <v>0</v>
      </c>
      <c r="M74" s="1657">
        <f t="shared" si="24"/>
        <v>0</v>
      </c>
      <c r="N74" s="1657">
        <f t="shared" si="24"/>
        <v>0</v>
      </c>
      <c r="P74" s="1541"/>
      <c r="Q74" s="1541"/>
      <c r="R74" s="1671"/>
      <c r="S74" s="1671"/>
      <c r="T74" s="1671"/>
      <c r="U74" s="1671"/>
      <c r="V74" s="1671"/>
      <c r="W74" s="1541"/>
      <c r="X74" s="1541"/>
      <c r="Y74" s="1541"/>
      <c r="Z74" s="1541"/>
      <c r="AA74" s="1541"/>
      <c r="AB74" s="1541"/>
      <c r="AC74" s="1541"/>
      <c r="AD74" s="1671"/>
      <c r="AE74" s="1387"/>
      <c r="AF74" s="1387"/>
      <c r="AG74" s="1387"/>
      <c r="AH74" s="1387"/>
      <c r="AI74" s="1387"/>
      <c r="AJ74" s="1387"/>
      <c r="AK74" s="1387"/>
      <c r="AL74" s="1387"/>
      <c r="AM74" s="1387"/>
      <c r="AN74" s="1387"/>
    </row>
    <row r="75" spans="1:40" s="1383" customFormat="1" ht="24">
      <c r="A75" s="1353" t="s">
        <v>1246</v>
      </c>
      <c r="B75" s="1573" t="s">
        <v>1247</v>
      </c>
      <c r="C75" s="1685"/>
      <c r="D75" s="1566">
        <f t="shared" si="20"/>
        <v>0</v>
      </c>
      <c r="E75" s="1688"/>
      <c r="F75" s="1689"/>
      <c r="G75" s="1686"/>
      <c r="H75" s="1687" t="str">
        <f t="shared" si="21"/>
        <v>——</v>
      </c>
      <c r="I75" s="1656">
        <v>0.05</v>
      </c>
      <c r="J75" s="1657">
        <f t="shared" si="22"/>
        <v>0</v>
      </c>
      <c r="K75" s="1657">
        <f t="shared" si="23"/>
        <v>0</v>
      </c>
      <c r="L75" s="1657">
        <v>0</v>
      </c>
      <c r="M75" s="1657">
        <f t="shared" si="24"/>
        <v>0</v>
      </c>
      <c r="N75" s="1657">
        <f t="shared" si="24"/>
        <v>0</v>
      </c>
      <c r="P75" s="1541"/>
      <c r="Q75" s="1541"/>
      <c r="R75" s="1671"/>
      <c r="S75" s="1671"/>
      <c r="T75" s="1671"/>
      <c r="U75" s="1671"/>
      <c r="V75" s="1671"/>
      <c r="W75" s="1541"/>
      <c r="X75" s="1541"/>
      <c r="Y75" s="1541"/>
      <c r="Z75" s="1541"/>
      <c r="AA75" s="1541"/>
      <c r="AB75" s="1541"/>
      <c r="AC75" s="1541"/>
      <c r="AD75" s="1671"/>
      <c r="AE75" s="1387"/>
      <c r="AF75" s="1387"/>
      <c r="AG75" s="1387"/>
      <c r="AH75" s="1387"/>
      <c r="AI75" s="1387"/>
      <c r="AJ75" s="1387"/>
      <c r="AK75" s="1387"/>
      <c r="AL75" s="1387"/>
      <c r="AM75" s="1387"/>
      <c r="AN75" s="1387"/>
    </row>
    <row r="76" spans="1:40" ht="36">
      <c r="A76" s="1353" t="s">
        <v>1250</v>
      </c>
      <c r="B76" s="1564" t="str">
        <f>估价对象房地状况!C20</f>
        <v>区域自然环境：；人文环境；综合评价环境状况一般</v>
      </c>
      <c r="C76" s="1685"/>
      <c r="D76" s="1566">
        <f t="shared" si="20"/>
        <v>0</v>
      </c>
      <c r="E76" s="1688"/>
      <c r="F76" s="1689"/>
      <c r="G76" s="1686"/>
      <c r="H76" s="1687" t="str">
        <f t="shared" si="21"/>
        <v>——</v>
      </c>
      <c r="I76" s="1656">
        <v>0.15</v>
      </c>
      <c r="J76" s="1657">
        <f t="shared" si="22"/>
        <v>0</v>
      </c>
      <c r="K76" s="1657">
        <f t="shared" si="23"/>
        <v>0</v>
      </c>
      <c r="L76" s="1657">
        <v>0</v>
      </c>
      <c r="M76" s="1657">
        <f t="shared" si="24"/>
        <v>0</v>
      </c>
      <c r="N76" s="1657">
        <f t="shared" si="24"/>
        <v>0</v>
      </c>
      <c r="P76" s="1717"/>
      <c r="Q76" s="1717"/>
      <c r="R76" s="1723"/>
      <c r="S76" s="1723"/>
      <c r="T76" s="1723"/>
      <c r="U76" s="1723"/>
      <c r="V76" s="1723"/>
      <c r="W76" s="1717"/>
      <c r="X76" s="1717"/>
      <c r="Y76" s="1717"/>
      <c r="Z76" s="1717"/>
      <c r="AA76" s="1717"/>
      <c r="AB76" s="1717"/>
      <c r="AC76" s="1717"/>
      <c r="AD76" s="1723"/>
      <c r="AJ76" s="1387"/>
      <c r="AN76" s="1384"/>
    </row>
    <row r="77" spans="1:40" ht="24">
      <c r="A77" s="1576" t="s">
        <v>1252</v>
      </c>
      <c r="B77" s="1690"/>
      <c r="C77" s="1685"/>
      <c r="D77" s="1566">
        <f t="shared" si="20"/>
        <v>0</v>
      </c>
      <c r="E77" s="1691"/>
      <c r="F77" s="1689"/>
      <c r="G77" s="1686"/>
      <c r="H77" s="1687" t="str">
        <f t="shared" si="21"/>
        <v>——</v>
      </c>
      <c r="I77" s="1658">
        <v>0.04</v>
      </c>
      <c r="J77" s="1657">
        <f t="shared" si="22"/>
        <v>0</v>
      </c>
      <c r="K77" s="1657">
        <f t="shared" si="23"/>
        <v>0</v>
      </c>
      <c r="L77" s="1657">
        <v>0</v>
      </c>
      <c r="M77" s="1657">
        <f t="shared" si="24"/>
        <v>0</v>
      </c>
      <c r="N77" s="1657">
        <f t="shared" si="24"/>
        <v>0</v>
      </c>
      <c r="AC77" s="1386"/>
      <c r="AD77" s="1384"/>
      <c r="AJ77" s="1387"/>
      <c r="AN77" s="1384"/>
    </row>
    <row r="78" spans="1:40" ht="15">
      <c r="A78" s="1552" t="s">
        <v>164</v>
      </c>
      <c r="B78" s="1553">
        <f>1+E80</f>
        <v>1</v>
      </c>
      <c r="C78" s="1579"/>
      <c r="D78" s="1555"/>
      <c r="E78" s="1556"/>
      <c r="F78" s="1557"/>
      <c r="G78" s="1551"/>
      <c r="H78" s="1551"/>
      <c r="I78" s="1551"/>
      <c r="J78" s="1305"/>
      <c r="K78" s="1305"/>
      <c r="L78" s="1305"/>
      <c r="M78" s="1305"/>
      <c r="N78" s="1305"/>
      <c r="AC78" s="1386"/>
      <c r="AD78" s="1384"/>
      <c r="AJ78" s="1387"/>
      <c r="AN78" s="1384"/>
    </row>
    <row r="79" spans="1:40" ht="24">
      <c r="A79" s="1353" t="s">
        <v>1233</v>
      </c>
      <c r="B79" s="1558"/>
      <c r="C79" s="1559" t="s">
        <v>1235</v>
      </c>
      <c r="D79" s="1560" t="s">
        <v>1236</v>
      </c>
      <c r="E79" s="1561" t="s">
        <v>1237</v>
      </c>
      <c r="F79" s="1562" t="s">
        <v>1238</v>
      </c>
      <c r="G79" s="1560" t="s">
        <v>1239</v>
      </c>
      <c r="H79" s="1563" t="s">
        <v>1240</v>
      </c>
      <c r="I79" s="1560" t="s">
        <v>1241</v>
      </c>
      <c r="J79" s="1655" t="s">
        <v>252</v>
      </c>
      <c r="K79" s="1655" t="s">
        <v>264</v>
      </c>
      <c r="L79" s="1655" t="s">
        <v>274</v>
      </c>
      <c r="M79" s="1655" t="s">
        <v>284</v>
      </c>
      <c r="N79" s="1655" t="s">
        <v>291</v>
      </c>
      <c r="AC79" s="1386"/>
      <c r="AD79" s="1384"/>
      <c r="AJ79" s="1387"/>
      <c r="AN79" s="1384"/>
    </row>
    <row r="80" spans="1:40" ht="36">
      <c r="A80" s="1353" t="s">
        <v>664</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56">
        <v>0.26</v>
      </c>
      <c r="J80" s="1657">
        <f t="shared" ref="J80:J87" si="27">K80+$G80</f>
        <v>0</v>
      </c>
      <c r="K80" s="1657">
        <f t="shared" ref="K80:K87" si="28">$L80+$G80</f>
        <v>0</v>
      </c>
      <c r="L80" s="1657">
        <v>0</v>
      </c>
      <c r="M80" s="1657">
        <f t="shared" ref="M80:N87" si="29">L80-$G80</f>
        <v>0</v>
      </c>
      <c r="N80" s="1657">
        <f t="shared" si="29"/>
        <v>0</v>
      </c>
      <c r="AC80" s="1386"/>
      <c r="AD80" s="1384"/>
      <c r="AJ80" s="1387"/>
      <c r="AN80" s="1384"/>
    </row>
    <row r="81" spans="1:40" ht="48">
      <c r="A81" s="1353" t="s">
        <v>668</v>
      </c>
      <c r="B81" s="1558" t="str">
        <f>估价对象房地状况!G16</f>
        <v>估价对象周边道路状况、公共交通通达情况、停车便捷程度，综合评价交通便捷度较好</v>
      </c>
      <c r="C81" s="1565"/>
      <c r="D81" s="1566">
        <f t="shared" si="25"/>
        <v>0</v>
      </c>
      <c r="E81" s="1688"/>
      <c r="F81" s="1689"/>
      <c r="G81" s="1569"/>
      <c r="H81" s="1570" t="str">
        <f t="shared" si="26"/>
        <v>——</v>
      </c>
      <c r="I81" s="1656">
        <v>0.33</v>
      </c>
      <c r="J81" s="1657">
        <f t="shared" si="27"/>
        <v>0</v>
      </c>
      <c r="K81" s="1657">
        <f t="shared" si="28"/>
        <v>0</v>
      </c>
      <c r="L81" s="1657">
        <v>0</v>
      </c>
      <c r="M81" s="1657">
        <f t="shared" si="29"/>
        <v>0</v>
      </c>
      <c r="N81" s="1657">
        <f t="shared" si="29"/>
        <v>0</v>
      </c>
      <c r="AC81" s="1386"/>
      <c r="AD81" s="1384"/>
      <c r="AJ81" s="1387"/>
      <c r="AN81" s="1384"/>
    </row>
    <row r="82" spans="1:40" ht="24">
      <c r="A82" s="1353" t="s">
        <v>680</v>
      </c>
      <c r="B82" s="1558">
        <f>估价对象房地状况!G17</f>
        <v>0</v>
      </c>
      <c r="C82" s="1565"/>
      <c r="D82" s="1566">
        <f t="shared" si="25"/>
        <v>0</v>
      </c>
      <c r="E82" s="1688"/>
      <c r="F82" s="1689"/>
      <c r="G82" s="1569"/>
      <c r="H82" s="1570" t="str">
        <f t="shared" si="26"/>
        <v>——</v>
      </c>
      <c r="I82" s="1656">
        <v>0.05</v>
      </c>
      <c r="J82" s="1657">
        <f t="shared" si="27"/>
        <v>0</v>
      </c>
      <c r="K82" s="1657">
        <f t="shared" si="28"/>
        <v>0</v>
      </c>
      <c r="L82" s="1657">
        <v>0</v>
      </c>
      <c r="M82" s="1657">
        <f t="shared" si="29"/>
        <v>0</v>
      </c>
      <c r="N82" s="1657">
        <f t="shared" si="29"/>
        <v>0</v>
      </c>
      <c r="AC82" s="1386"/>
      <c r="AD82" s="1384"/>
      <c r="AJ82" s="1387"/>
      <c r="AN82" s="1384"/>
    </row>
    <row r="83" spans="1:40" ht="14.25">
      <c r="A83" s="1353" t="s">
        <v>1251</v>
      </c>
      <c r="B83" s="1558">
        <f>估价对象房地状况!G22</f>
        <v>0</v>
      </c>
      <c r="C83" s="1565"/>
      <c r="D83" s="1566">
        <f t="shared" si="25"/>
        <v>0</v>
      </c>
      <c r="E83" s="1688"/>
      <c r="F83" s="1689"/>
      <c r="G83" s="1569"/>
      <c r="H83" s="1570" t="str">
        <f t="shared" si="26"/>
        <v>——</v>
      </c>
      <c r="I83" s="1656">
        <v>0.04</v>
      </c>
      <c r="J83" s="1657">
        <f t="shared" si="27"/>
        <v>0</v>
      </c>
      <c r="K83" s="1657">
        <f t="shared" si="28"/>
        <v>0</v>
      </c>
      <c r="L83" s="1657">
        <v>0</v>
      </c>
      <c r="M83" s="1657">
        <f t="shared" si="29"/>
        <v>0</v>
      </c>
      <c r="N83" s="1657">
        <f t="shared" si="29"/>
        <v>0</v>
      </c>
      <c r="AC83" s="1386"/>
      <c r="AD83" s="1384"/>
      <c r="AJ83" s="1387"/>
      <c r="AN83" s="1384"/>
    </row>
    <row r="84" spans="1:40" ht="24">
      <c r="A84" s="1353" t="s">
        <v>1248</v>
      </c>
      <c r="B84" s="1575" t="str">
        <f>估价对象房地状况!G19</f>
        <v>估价对象所在区域公共配套设施齐备情况</v>
      </c>
      <c r="C84" s="1565"/>
      <c r="D84" s="1566">
        <f t="shared" si="25"/>
        <v>0</v>
      </c>
      <c r="E84" s="1688"/>
      <c r="F84" s="1689"/>
      <c r="G84" s="1569"/>
      <c r="H84" s="1570" t="str">
        <f t="shared" si="26"/>
        <v>——</v>
      </c>
      <c r="I84" s="1656">
        <v>0.06</v>
      </c>
      <c r="J84" s="1657">
        <f t="shared" si="27"/>
        <v>0</v>
      </c>
      <c r="K84" s="1657">
        <f t="shared" si="28"/>
        <v>0</v>
      </c>
      <c r="L84" s="1657">
        <v>0</v>
      </c>
      <c r="M84" s="1657">
        <f t="shared" si="29"/>
        <v>0</v>
      </c>
      <c r="N84" s="1657">
        <f t="shared" si="29"/>
        <v>0</v>
      </c>
      <c r="AC84" s="1386"/>
      <c r="AD84" s="1384"/>
      <c r="AJ84" s="1387"/>
      <c r="AN84" s="1384"/>
    </row>
    <row r="85" spans="1:40" ht="24">
      <c r="A85" s="1353" t="s">
        <v>1249</v>
      </c>
      <c r="B85" s="1575" t="str">
        <f>估价对象房地状况!G20</f>
        <v>估价对象所在区域基础设施水平</v>
      </c>
      <c r="C85" s="1565"/>
      <c r="D85" s="1566">
        <f t="shared" si="25"/>
        <v>0</v>
      </c>
      <c r="E85" s="1688"/>
      <c r="F85" s="1689"/>
      <c r="G85" s="1569"/>
      <c r="H85" s="1570" t="str">
        <f t="shared" si="26"/>
        <v>——</v>
      </c>
      <c r="I85" s="1656">
        <v>0.15</v>
      </c>
      <c r="J85" s="1657">
        <f t="shared" si="27"/>
        <v>0</v>
      </c>
      <c r="K85" s="1657">
        <f t="shared" si="28"/>
        <v>0</v>
      </c>
      <c r="L85" s="1657">
        <v>0</v>
      </c>
      <c r="M85" s="1657">
        <f t="shared" si="29"/>
        <v>0</v>
      </c>
      <c r="N85" s="1657">
        <f t="shared" si="29"/>
        <v>0</v>
      </c>
      <c r="AC85" s="1386"/>
      <c r="AD85" s="1384"/>
      <c r="AJ85" s="1387"/>
      <c r="AN85" s="1384"/>
    </row>
    <row r="86" spans="1:40" ht="24">
      <c r="A86" s="1353" t="s">
        <v>1246</v>
      </c>
      <c r="B86" s="1573" t="s">
        <v>1247</v>
      </c>
      <c r="C86" s="1565"/>
      <c r="D86" s="1566">
        <f t="shared" si="25"/>
        <v>0</v>
      </c>
      <c r="E86" s="1688"/>
      <c r="F86" s="1689"/>
      <c r="G86" s="1569"/>
      <c r="H86" s="1570" t="str">
        <f t="shared" si="26"/>
        <v>——</v>
      </c>
      <c r="I86" s="1656">
        <v>0.05</v>
      </c>
      <c r="J86" s="1657">
        <f t="shared" si="27"/>
        <v>0</v>
      </c>
      <c r="K86" s="1657">
        <f t="shared" si="28"/>
        <v>0</v>
      </c>
      <c r="L86" s="1657">
        <v>0</v>
      </c>
      <c r="M86" s="1657">
        <f t="shared" si="29"/>
        <v>0</v>
      </c>
      <c r="N86" s="1657">
        <f t="shared" si="29"/>
        <v>0</v>
      </c>
      <c r="AC86" s="1386"/>
      <c r="AD86" s="1384"/>
      <c r="AJ86" s="1387"/>
      <c r="AN86" s="1384"/>
    </row>
    <row r="87" spans="1:40" ht="36">
      <c r="A87" s="1576" t="s">
        <v>674</v>
      </c>
      <c r="B87" s="1692" t="str">
        <f>估价对象房地状况!G18</f>
        <v>该园区内是否有污染型企业，绿化情况，卫生条件，整体环境状况判断</v>
      </c>
      <c r="C87" s="1565"/>
      <c r="D87" s="1566">
        <f t="shared" si="25"/>
        <v>0</v>
      </c>
      <c r="E87" s="1691"/>
      <c r="F87" s="1689"/>
      <c r="G87" s="1569"/>
      <c r="H87" s="1570" t="str">
        <f t="shared" si="26"/>
        <v>——</v>
      </c>
      <c r="I87" s="1658">
        <v>0.06</v>
      </c>
      <c r="J87" s="1657">
        <f t="shared" si="27"/>
        <v>0</v>
      </c>
      <c r="K87" s="1657">
        <f t="shared" si="28"/>
        <v>0</v>
      </c>
      <c r="L87" s="1657">
        <v>0</v>
      </c>
      <c r="M87" s="1657">
        <f t="shared" si="29"/>
        <v>0</v>
      </c>
      <c r="N87" s="1657">
        <f t="shared" si="29"/>
        <v>0</v>
      </c>
      <c r="AC87" s="1386"/>
      <c r="AD87" s="1384"/>
      <c r="AJ87" s="1387"/>
      <c r="AN87" s="1384"/>
    </row>
    <row r="90" spans="1:40">
      <c r="A90" s="3370" t="s">
        <v>1253</v>
      </c>
      <c r="B90" s="3370"/>
      <c r="C90" s="3370"/>
      <c r="D90" s="3370"/>
      <c r="E90" s="3370"/>
      <c r="F90" s="3370"/>
      <c r="G90" s="3370"/>
      <c r="H90" s="3370"/>
      <c r="I90" s="3370"/>
      <c r="J90" s="3370"/>
      <c r="K90" s="1381"/>
      <c r="L90" s="1381"/>
      <c r="M90" s="1381"/>
      <c r="N90" s="1381"/>
    </row>
    <row r="91" spans="1:40">
      <c r="A91" s="3379" t="s">
        <v>348</v>
      </c>
      <c r="B91" s="3379" t="s">
        <v>1254</v>
      </c>
      <c r="C91" s="1693" t="s">
        <v>1111</v>
      </c>
      <c r="D91" s="1694"/>
      <c r="E91" s="1694"/>
      <c r="F91" s="1694"/>
      <c r="G91" s="1694"/>
      <c r="H91" s="1694"/>
      <c r="I91" s="1694"/>
      <c r="J91" s="1718"/>
      <c r="K91" s="1367"/>
      <c r="L91" s="1367"/>
      <c r="M91" s="1367"/>
      <c r="N91" s="1367"/>
    </row>
    <row r="92" spans="1:40">
      <c r="A92" s="3379"/>
      <c r="B92" s="3379"/>
      <c r="C92" s="1363" t="s">
        <v>242</v>
      </c>
      <c r="D92" s="1363" t="s">
        <v>255</v>
      </c>
      <c r="E92" s="1363" t="s">
        <v>267</v>
      </c>
      <c r="F92" s="1363" t="s">
        <v>277</v>
      </c>
      <c r="G92" s="1363" t="s">
        <v>286</v>
      </c>
      <c r="H92" s="1363" t="s">
        <v>294</v>
      </c>
      <c r="I92" s="1363" t="s">
        <v>299</v>
      </c>
      <c r="J92" s="1363" t="s">
        <v>304</v>
      </c>
      <c r="K92" s="1363" t="s">
        <v>307</v>
      </c>
      <c r="L92" s="1363" t="s">
        <v>310</v>
      </c>
      <c r="M92" s="1363" t="s">
        <v>313</v>
      </c>
      <c r="N92" s="1363" t="s">
        <v>316</v>
      </c>
    </row>
    <row r="93" spans="1:40">
      <c r="A93" s="3380" t="s">
        <v>1255</v>
      </c>
      <c r="B93" s="1695">
        <v>1</v>
      </c>
      <c r="C93" s="1696">
        <v>1.9361999999999999</v>
      </c>
      <c r="D93" s="1696">
        <v>1.9361999999999999</v>
      </c>
      <c r="E93" s="1696">
        <v>1.8629</v>
      </c>
      <c r="F93" s="1696">
        <v>1.8629</v>
      </c>
      <c r="G93" s="1696">
        <v>1.8629</v>
      </c>
      <c r="H93" s="1696">
        <v>1.8629</v>
      </c>
      <c r="I93" s="1696">
        <v>1.8629</v>
      </c>
      <c r="J93" s="1696">
        <v>1.9419999999999999</v>
      </c>
      <c r="K93" s="1696">
        <v>1.9419999999999999</v>
      </c>
      <c r="L93" s="1696">
        <v>1.9419999999999999</v>
      </c>
      <c r="M93" s="1696">
        <v>1.9419999999999999</v>
      </c>
      <c r="N93" s="1696">
        <v>1.9419999999999999</v>
      </c>
    </row>
    <row r="94" spans="1:40">
      <c r="A94" s="3381"/>
      <c r="B94" s="1695">
        <v>2</v>
      </c>
      <c r="C94" s="1696">
        <v>1.4198</v>
      </c>
      <c r="D94" s="1696">
        <v>1.4198</v>
      </c>
      <c r="E94" s="1696">
        <v>1.3371999999999999</v>
      </c>
      <c r="F94" s="1696">
        <v>1.3371999999999999</v>
      </c>
      <c r="G94" s="1696">
        <v>1.3371999999999999</v>
      </c>
      <c r="H94" s="1696">
        <v>1.3371999999999999</v>
      </c>
      <c r="I94" s="1696">
        <v>1.3371999999999999</v>
      </c>
      <c r="J94" s="1696">
        <v>1.2799</v>
      </c>
      <c r="K94" s="1696">
        <v>1.2799</v>
      </c>
      <c r="L94" s="1696">
        <v>1.2799</v>
      </c>
      <c r="M94" s="1696">
        <v>1.2799</v>
      </c>
      <c r="N94" s="1696">
        <v>1.2799</v>
      </c>
    </row>
    <row r="95" spans="1:40">
      <c r="A95" s="3381"/>
      <c r="B95" s="1695">
        <v>3</v>
      </c>
      <c r="C95" s="1696">
        <v>1.1594</v>
      </c>
      <c r="D95" s="1696">
        <v>1.1594</v>
      </c>
      <c r="E95" s="1696">
        <v>1.0788</v>
      </c>
      <c r="F95" s="1696">
        <v>1.0788</v>
      </c>
      <c r="G95" s="1696">
        <v>1.0788</v>
      </c>
      <c r="H95" s="1696">
        <v>1.0788</v>
      </c>
      <c r="I95" s="1696">
        <v>1.0788</v>
      </c>
      <c r="J95" s="1696">
        <v>1.0072000000000001</v>
      </c>
      <c r="K95" s="1696">
        <v>1.0072000000000001</v>
      </c>
      <c r="L95" s="1696">
        <v>1.0072000000000001</v>
      </c>
      <c r="M95" s="1696">
        <v>1.0072000000000001</v>
      </c>
      <c r="N95" s="1696">
        <v>1.0072000000000001</v>
      </c>
    </row>
    <row r="96" spans="1:40">
      <c r="A96" s="3381"/>
      <c r="B96" s="1695">
        <v>4</v>
      </c>
      <c r="C96" s="1696">
        <v>0.96220000000000006</v>
      </c>
      <c r="D96" s="1696">
        <v>0.96220000000000006</v>
      </c>
      <c r="E96" s="1696">
        <v>0.86560000000000004</v>
      </c>
      <c r="F96" s="1696">
        <v>0.86560000000000004</v>
      </c>
      <c r="G96" s="1696">
        <v>0.86560000000000004</v>
      </c>
      <c r="H96" s="1696">
        <v>0.86560000000000004</v>
      </c>
      <c r="I96" s="1696">
        <v>0.86560000000000004</v>
      </c>
      <c r="J96" s="1696">
        <v>0.75249999999999995</v>
      </c>
      <c r="K96" s="1696">
        <v>0.75249999999999995</v>
      </c>
      <c r="L96" s="1696">
        <v>0.75249999999999995</v>
      </c>
      <c r="M96" s="1696">
        <v>0.75249999999999995</v>
      </c>
      <c r="N96" s="1696">
        <v>0.75249999999999995</v>
      </c>
    </row>
    <row r="97" spans="1:14">
      <c r="A97" s="3381"/>
      <c r="B97" s="1695">
        <v>5</v>
      </c>
      <c r="C97" s="1696">
        <v>0.8417</v>
      </c>
      <c r="D97" s="1696">
        <v>0.8417</v>
      </c>
      <c r="E97" s="1696">
        <v>0.73709999999999998</v>
      </c>
      <c r="F97" s="1696">
        <v>0.73709999999999998</v>
      </c>
      <c r="G97" s="1696">
        <v>0.73709999999999998</v>
      </c>
      <c r="H97" s="1696">
        <v>0.73709999999999998</v>
      </c>
      <c r="I97" s="1696">
        <v>0.73709999999999998</v>
      </c>
      <c r="J97" s="1696">
        <v>0.56589999999999996</v>
      </c>
      <c r="K97" s="1696">
        <v>0.56589999999999996</v>
      </c>
      <c r="L97" s="1696">
        <v>0.56589999999999996</v>
      </c>
      <c r="M97" s="1696">
        <v>0.56589999999999996</v>
      </c>
      <c r="N97" s="1696">
        <v>0.56589999999999996</v>
      </c>
    </row>
    <row r="98" spans="1:14">
      <c r="A98" s="3381"/>
      <c r="B98" s="1695">
        <v>6</v>
      </c>
      <c r="C98" s="1696">
        <v>0.76080000000000003</v>
      </c>
      <c r="D98" s="1696">
        <v>0.76080000000000003</v>
      </c>
      <c r="E98" s="1696">
        <v>0.6482</v>
      </c>
      <c r="F98" s="1696">
        <v>0.6482</v>
      </c>
      <c r="G98" s="1696">
        <v>0.6482</v>
      </c>
      <c r="H98" s="1696">
        <v>0.6482</v>
      </c>
      <c r="I98" s="1696">
        <v>0.6482</v>
      </c>
      <c r="J98" s="1696">
        <v>0.45250000000000001</v>
      </c>
      <c r="K98" s="1696">
        <v>0.45250000000000001</v>
      </c>
      <c r="L98" s="1696">
        <v>0.45250000000000001</v>
      </c>
      <c r="M98" s="1696">
        <v>0.45250000000000001</v>
      </c>
      <c r="N98" s="1696">
        <v>0.45250000000000001</v>
      </c>
    </row>
    <row r="99" spans="1:14">
      <c r="A99" s="3381"/>
      <c r="B99" s="1695" t="s">
        <v>1256</v>
      </c>
      <c r="C99" s="1697">
        <f>$I$3</f>
        <v>8</v>
      </c>
      <c r="D99" s="1697">
        <f t="shared" ref="D99:N99" si="30">$I$3</f>
        <v>8</v>
      </c>
      <c r="E99" s="1697">
        <f t="shared" si="30"/>
        <v>8</v>
      </c>
      <c r="F99" s="1697">
        <f t="shared" si="30"/>
        <v>8</v>
      </c>
      <c r="G99" s="1697">
        <f t="shared" si="30"/>
        <v>8</v>
      </c>
      <c r="H99" s="1697">
        <f t="shared" si="30"/>
        <v>8</v>
      </c>
      <c r="I99" s="1697">
        <f t="shared" si="30"/>
        <v>8</v>
      </c>
      <c r="J99" s="1697">
        <f t="shared" si="30"/>
        <v>8</v>
      </c>
      <c r="K99" s="1697">
        <f t="shared" si="30"/>
        <v>8</v>
      </c>
      <c r="L99" s="1697">
        <f t="shared" si="30"/>
        <v>8</v>
      </c>
      <c r="M99" s="1697">
        <f t="shared" si="30"/>
        <v>8</v>
      </c>
      <c r="N99" s="1697">
        <f t="shared" si="30"/>
        <v>8</v>
      </c>
    </row>
    <row r="100" spans="1:14">
      <c r="A100" s="3382"/>
      <c r="B100" s="1695">
        <v>7</v>
      </c>
      <c r="C100" s="1698">
        <f>(-0.163*(C99^2)-0.59*C99+7617)*(10^(-4))</f>
        <v>0.76018479999999999</v>
      </c>
      <c r="D100" s="1698">
        <f>(-0.163*(D99^2)-0.59*D99+7617)*(10^(-4))</f>
        <v>0.76018479999999999</v>
      </c>
      <c r="E100" s="1698">
        <f>(-0.161*(E99^2)-7.509*E99+6533)*(10^(-4))</f>
        <v>0.64626240000000001</v>
      </c>
      <c r="F100" s="1698">
        <f>(-0.161*(F99^2)-7.509*F99+6533)*(10^(-4))</f>
        <v>0.64626240000000001</v>
      </c>
      <c r="G100" s="1698">
        <f>(-0.161*(G99^2)-7.509*G99+6533)*(10^(-4))</f>
        <v>0.64626240000000001</v>
      </c>
      <c r="H100" s="1698">
        <f>(-0.161*(H99^2)-7.509*H99+6533)*(10^(-4))</f>
        <v>0.64626240000000001</v>
      </c>
      <c r="I100" s="1698">
        <f>(-0.161*(I99^2)-7.509*I99+6533)*(10^(-4))</f>
        <v>0.64626240000000001</v>
      </c>
      <c r="J100" s="1698">
        <f>(-0.214*(J99^2)-21.991*J99+4665)*(10^(-4))</f>
        <v>0.44753760000000004</v>
      </c>
      <c r="K100" s="1698">
        <f>(-0.214*(K99^2)-21.991*K99+4665)*(10^(-4))</f>
        <v>0.44753760000000004</v>
      </c>
      <c r="L100" s="1698">
        <f>(-0.214*(L99^2)-21.991*L99+4665)*(10^(-4))</f>
        <v>0.44753760000000004</v>
      </c>
      <c r="M100" s="1698">
        <f>(-0.214*(M99^2)-21.991*M99+4665)*(10^(-4))</f>
        <v>0.44753760000000004</v>
      </c>
      <c r="N100" s="1698">
        <f>(-0.214*(N99^2)-21.991*N99+4665)*(10^(-4))</f>
        <v>0.44753760000000004</v>
      </c>
    </row>
    <row r="101" spans="1:14">
      <c r="A101" s="3380" t="s">
        <v>1257</v>
      </c>
      <c r="B101" s="1699" t="s">
        <v>105</v>
      </c>
      <c r="C101" s="1700">
        <f>$G$3</f>
        <v>1.1299999999999999</v>
      </c>
      <c r="D101" s="1700">
        <f t="shared" ref="D101:N101" si="31">$G$3</f>
        <v>1.1299999999999999</v>
      </c>
      <c r="E101" s="1700">
        <f t="shared" si="31"/>
        <v>1.1299999999999999</v>
      </c>
      <c r="F101" s="1700">
        <f t="shared" si="31"/>
        <v>1.1299999999999999</v>
      </c>
      <c r="G101" s="1700">
        <f t="shared" si="31"/>
        <v>1.1299999999999999</v>
      </c>
      <c r="H101" s="1700">
        <f t="shared" si="31"/>
        <v>1.1299999999999999</v>
      </c>
      <c r="I101" s="1700">
        <f t="shared" si="31"/>
        <v>1.1299999999999999</v>
      </c>
      <c r="J101" s="1700">
        <f t="shared" si="31"/>
        <v>1.1299999999999999</v>
      </c>
      <c r="K101" s="1700">
        <f t="shared" si="31"/>
        <v>1.1299999999999999</v>
      </c>
      <c r="L101" s="1700">
        <f t="shared" si="31"/>
        <v>1.1299999999999999</v>
      </c>
      <c r="M101" s="1700">
        <f t="shared" si="31"/>
        <v>1.1299999999999999</v>
      </c>
      <c r="N101" s="1700">
        <f t="shared" si="31"/>
        <v>1.1299999999999999</v>
      </c>
    </row>
    <row r="102" spans="1:14">
      <c r="A102" s="3381"/>
      <c r="B102" s="1695">
        <v>1</v>
      </c>
      <c r="C102" s="1696">
        <f>1.9362/C101</f>
        <v>1.7134513274336285</v>
      </c>
      <c r="D102" s="1696">
        <f>1.9362/D101</f>
        <v>1.7134513274336285</v>
      </c>
      <c r="E102" s="1696">
        <f>1.8629/E101</f>
        <v>1.6485840707964603</v>
      </c>
      <c r="F102" s="1696">
        <f>1.8629/F101</f>
        <v>1.6485840707964603</v>
      </c>
      <c r="G102" s="1696">
        <f>1.8629/G101</f>
        <v>1.6485840707964603</v>
      </c>
      <c r="H102" s="1696">
        <f>1.8629/H101</f>
        <v>1.6485840707964603</v>
      </c>
      <c r="I102" s="1696">
        <f>1.8629/I101</f>
        <v>1.6485840707964603</v>
      </c>
      <c r="J102" s="1696">
        <f>1.942/J101</f>
        <v>1.7185840707964604</v>
      </c>
      <c r="K102" s="1696">
        <f>1.942/K101</f>
        <v>1.7185840707964604</v>
      </c>
      <c r="L102" s="1696">
        <f>1.942/L101</f>
        <v>1.7185840707964604</v>
      </c>
      <c r="M102" s="1696">
        <f>1.942/M101</f>
        <v>1.7185840707964604</v>
      </c>
      <c r="N102" s="1696">
        <f>1.942/N101</f>
        <v>1.7185840707964604</v>
      </c>
    </row>
    <row r="103" spans="1:14">
      <c r="A103" s="3381"/>
      <c r="B103" s="1695">
        <v>2</v>
      </c>
      <c r="C103" s="1696">
        <f>1.4198/C101</f>
        <v>1.2564601769911505</v>
      </c>
      <c r="D103" s="1696">
        <f>1.4198/D101</f>
        <v>1.2564601769911505</v>
      </c>
      <c r="E103" s="1696">
        <f>1.3372/E101</f>
        <v>1.1833628318584071</v>
      </c>
      <c r="F103" s="1696">
        <f>1.3372/F101</f>
        <v>1.1833628318584071</v>
      </c>
      <c r="G103" s="1696">
        <f>1.3372/G101</f>
        <v>1.1833628318584071</v>
      </c>
      <c r="H103" s="1696">
        <f>1.3372/H101</f>
        <v>1.1833628318584071</v>
      </c>
      <c r="I103" s="1696">
        <f>1.3372/I101</f>
        <v>1.1833628318584071</v>
      </c>
      <c r="J103" s="1696">
        <f>1.2799/J101</f>
        <v>1.1326548672566372</v>
      </c>
      <c r="K103" s="1696">
        <f>1.2799/K101</f>
        <v>1.1326548672566372</v>
      </c>
      <c r="L103" s="1696">
        <f>1.2799/L101</f>
        <v>1.1326548672566372</v>
      </c>
      <c r="M103" s="1696">
        <f>1.2799/M101</f>
        <v>1.1326548672566372</v>
      </c>
      <c r="N103" s="1696">
        <f>1.2799/N101</f>
        <v>1.1326548672566372</v>
      </c>
    </row>
    <row r="104" spans="1:14">
      <c r="A104" s="3381"/>
      <c r="B104" s="1695">
        <v>3</v>
      </c>
      <c r="C104" s="1696">
        <f>1.1594/C101</f>
        <v>1.0260176991150443</v>
      </c>
      <c r="D104" s="1696">
        <f>1.1594/D101</f>
        <v>1.0260176991150443</v>
      </c>
      <c r="E104" s="1696">
        <f>1.0788/E101</f>
        <v>0.95469026548672575</v>
      </c>
      <c r="F104" s="1696">
        <f>1.0788/F101</f>
        <v>0.95469026548672575</v>
      </c>
      <c r="G104" s="1696">
        <f>1.0788/G101</f>
        <v>0.95469026548672575</v>
      </c>
      <c r="H104" s="1696">
        <f>1.0788/H101</f>
        <v>0.95469026548672575</v>
      </c>
      <c r="I104" s="1696">
        <f>1.0788/I101</f>
        <v>0.95469026548672575</v>
      </c>
      <c r="J104" s="1696">
        <f>1.0072/J101</f>
        <v>0.89132743362831879</v>
      </c>
      <c r="K104" s="1696">
        <f>1.0072/K101</f>
        <v>0.89132743362831879</v>
      </c>
      <c r="L104" s="1696">
        <f>1.0072/L101</f>
        <v>0.89132743362831879</v>
      </c>
      <c r="M104" s="1696">
        <f>1.0072/M101</f>
        <v>0.89132743362831879</v>
      </c>
      <c r="N104" s="1696">
        <f>1.0072/N101</f>
        <v>0.89132743362831879</v>
      </c>
    </row>
    <row r="105" spans="1:14">
      <c r="A105" s="3381"/>
      <c r="B105" s="1695">
        <v>4</v>
      </c>
      <c r="C105" s="1696">
        <f>0.9622/C101</f>
        <v>0.8515044247787612</v>
      </c>
      <c r="D105" s="1696">
        <f>0.9622/D101</f>
        <v>0.8515044247787612</v>
      </c>
      <c r="E105" s="1696">
        <f>0.8656/E101</f>
        <v>0.76601769911504436</v>
      </c>
      <c r="F105" s="1696">
        <f>0.8656/F101</f>
        <v>0.76601769911504436</v>
      </c>
      <c r="G105" s="1696">
        <f>0.8656/G101</f>
        <v>0.76601769911504436</v>
      </c>
      <c r="H105" s="1696">
        <f>0.8656/H101</f>
        <v>0.76601769911504436</v>
      </c>
      <c r="I105" s="1696">
        <f>0.8656/I101</f>
        <v>0.76601769911504436</v>
      </c>
      <c r="J105" s="1696">
        <f>0.7525/J101</f>
        <v>0.66592920353982299</v>
      </c>
      <c r="K105" s="1696">
        <f>0.7525/K101</f>
        <v>0.66592920353982299</v>
      </c>
      <c r="L105" s="1696">
        <f>0.7525/L101</f>
        <v>0.66592920353982299</v>
      </c>
      <c r="M105" s="1696">
        <f>0.7525/M101</f>
        <v>0.66592920353982299</v>
      </c>
      <c r="N105" s="1696">
        <f>0.7525/N101</f>
        <v>0.66592920353982299</v>
      </c>
    </row>
    <row r="106" spans="1:14">
      <c r="A106" s="3381"/>
      <c r="B106" s="1695">
        <v>5</v>
      </c>
      <c r="C106" s="1696">
        <f>0.8417/C101</f>
        <v>0.74486725663716824</v>
      </c>
      <c r="D106" s="1696">
        <f>0.8417/D101</f>
        <v>0.74486725663716824</v>
      </c>
      <c r="E106" s="1696">
        <f>0.7371/E101</f>
        <v>0.65230088495575222</v>
      </c>
      <c r="F106" s="1696">
        <f>0.7371/F101</f>
        <v>0.65230088495575222</v>
      </c>
      <c r="G106" s="1696">
        <f>0.7371/G101</f>
        <v>0.65230088495575222</v>
      </c>
      <c r="H106" s="1696">
        <f>0.7371/H101</f>
        <v>0.65230088495575222</v>
      </c>
      <c r="I106" s="1696">
        <f>0.7371/I101</f>
        <v>0.65230088495575222</v>
      </c>
      <c r="J106" s="1696">
        <f>0.5659/J101</f>
        <v>0.5007964601769912</v>
      </c>
      <c r="K106" s="1696">
        <f>0.5659/K101</f>
        <v>0.5007964601769912</v>
      </c>
      <c r="L106" s="1696">
        <f>0.5659/L101</f>
        <v>0.5007964601769912</v>
      </c>
      <c r="M106" s="1696">
        <f>0.5659/M101</f>
        <v>0.5007964601769912</v>
      </c>
      <c r="N106" s="1696">
        <f>0.5659/N101</f>
        <v>0.5007964601769912</v>
      </c>
    </row>
    <row r="107" spans="1:14">
      <c r="A107" s="3381"/>
      <c r="B107" s="1695">
        <v>6</v>
      </c>
      <c r="C107" s="1696">
        <f>0.7608/C101</f>
        <v>0.67327433628318589</v>
      </c>
      <c r="D107" s="1696">
        <f>0.7608/D101</f>
        <v>0.67327433628318589</v>
      </c>
      <c r="E107" s="1696">
        <f>0.6482/E101</f>
        <v>0.57362831858407082</v>
      </c>
      <c r="F107" s="1696">
        <f>0.6482/F101</f>
        <v>0.57362831858407082</v>
      </c>
      <c r="G107" s="1696">
        <f>0.6482/G101</f>
        <v>0.57362831858407082</v>
      </c>
      <c r="H107" s="1696">
        <f>0.6482/H101</f>
        <v>0.57362831858407082</v>
      </c>
      <c r="I107" s="1696">
        <f>0.6482/I101</f>
        <v>0.57362831858407082</v>
      </c>
      <c r="J107" s="1696">
        <f>0.4525/J101</f>
        <v>0.40044247787610626</v>
      </c>
      <c r="K107" s="1696">
        <f>0.4525/K101</f>
        <v>0.40044247787610626</v>
      </c>
      <c r="L107" s="1696">
        <f>0.4525/L101</f>
        <v>0.40044247787610626</v>
      </c>
      <c r="M107" s="1696">
        <f>0.4525/M101</f>
        <v>0.40044247787610626</v>
      </c>
      <c r="N107" s="1696">
        <f>0.4525/N101</f>
        <v>0.40044247787610626</v>
      </c>
    </row>
    <row r="108" spans="1:14">
      <c r="A108" s="3381"/>
      <c r="B108" s="3383" t="s">
        <v>1258</v>
      </c>
      <c r="C108" s="1697">
        <f>C99</f>
        <v>8</v>
      </c>
      <c r="D108" s="1697">
        <f t="shared" ref="D108:N108" si="32">D99</f>
        <v>8</v>
      </c>
      <c r="E108" s="1697">
        <f t="shared" si="32"/>
        <v>8</v>
      </c>
      <c r="F108" s="1697">
        <f t="shared" si="32"/>
        <v>8</v>
      </c>
      <c r="G108" s="1697">
        <f t="shared" si="32"/>
        <v>8</v>
      </c>
      <c r="H108" s="1697">
        <f t="shared" si="32"/>
        <v>8</v>
      </c>
      <c r="I108" s="1697">
        <f t="shared" si="32"/>
        <v>8</v>
      </c>
      <c r="J108" s="1697">
        <f t="shared" si="32"/>
        <v>8</v>
      </c>
      <c r="K108" s="1697">
        <f t="shared" si="32"/>
        <v>8</v>
      </c>
      <c r="L108" s="1697">
        <f t="shared" si="32"/>
        <v>8</v>
      </c>
      <c r="M108" s="1697">
        <f t="shared" si="32"/>
        <v>8</v>
      </c>
      <c r="N108" s="1697">
        <f t="shared" si="32"/>
        <v>8</v>
      </c>
    </row>
    <row r="109" spans="1:14">
      <c r="A109" s="3382"/>
      <c r="B109" s="3384"/>
      <c r="C109" s="1698">
        <f>(-0.163*(C108^2)-0.59*C108+7617)*(10^(-4))/C101</f>
        <v>0.67272991150442485</v>
      </c>
      <c r="D109" s="1698">
        <f>(-0.163*(D108^2)-0.59*D108+7617)*(10^(-4))/D101</f>
        <v>0.67272991150442485</v>
      </c>
      <c r="E109" s="1698">
        <f>(-0.161*(E108^2)-7.509*E108+6533)*(10^(-4))/E101</f>
        <v>0.57191362831858417</v>
      </c>
      <c r="F109" s="1698">
        <f>(-0.161*(F108^2)-7.509*F108+6533)*(10^(-4))/F101</f>
        <v>0.57191362831858417</v>
      </c>
      <c r="G109" s="1698">
        <f>(-0.161*(G108^2)-7.509*G108+6533)*(10^(-4))/G101</f>
        <v>0.57191362831858417</v>
      </c>
      <c r="H109" s="1698">
        <f>(-0.161*(H108^2)-7.509*H108+6533)*(10^(-4))/H101</f>
        <v>0.57191362831858417</v>
      </c>
      <c r="I109" s="1698">
        <f>(-0.161*(I108^2)-7.509*I108+6533)*(10^(-4))/I101</f>
        <v>0.57191362831858417</v>
      </c>
      <c r="J109" s="1698">
        <f>(-0.214*(J108^2)-21.991*J108+4665)*(10^(-4))/J101</f>
        <v>0.3960509734513275</v>
      </c>
      <c r="K109" s="1698">
        <f>(-0.214*(K108^2)-21.991*K108+4665)*(10^(-4))/K101</f>
        <v>0.3960509734513275</v>
      </c>
      <c r="L109" s="1698">
        <f>(-0.214*(L108^2)-21.991*L108+4665)*(10^(-4))/L101</f>
        <v>0.3960509734513275</v>
      </c>
      <c r="M109" s="1698">
        <f>(-0.214*(M108^2)-21.991*M108+4665)*(10^(-4))/M101</f>
        <v>0.3960509734513275</v>
      </c>
      <c r="N109" s="1698">
        <f>(-0.214*(N108^2)-21.991*N108+4665)*(10^(-4))/N101</f>
        <v>0.3960509734513275</v>
      </c>
    </row>
    <row r="110" spans="1:14">
      <c r="A110" s="3371" t="s">
        <v>1259</v>
      </c>
      <c r="B110" s="3371"/>
      <c r="C110" s="3371"/>
      <c r="D110" s="3371"/>
      <c r="E110" s="3371"/>
      <c r="F110" s="3371"/>
      <c r="G110" s="3371"/>
      <c r="H110" s="3371"/>
      <c r="I110" s="3371"/>
      <c r="J110" s="3371"/>
      <c r="K110" s="1701"/>
      <c r="L110" s="1701"/>
      <c r="M110" s="1701"/>
      <c r="N110" s="1701"/>
    </row>
    <row r="113" spans="1:13" ht="24.75">
      <c r="A113" s="1702" t="s">
        <v>1260</v>
      </c>
      <c r="B113" s="1703">
        <f>G3</f>
        <v>1.1299999999999999</v>
      </c>
      <c r="C113" s="1704" t="s">
        <v>1261</v>
      </c>
      <c r="D113" s="1705">
        <f>SUMPRODUCT((A115:A118=F113)*(B114:M114=H113)*B115:M118)</f>
        <v>0</v>
      </c>
      <c r="E113" s="1706" t="s">
        <v>348</v>
      </c>
      <c r="F113" s="1707">
        <f>E2</f>
        <v>0</v>
      </c>
      <c r="G113" s="1706" t="s">
        <v>219</v>
      </c>
      <c r="H113" s="1707">
        <f>G2</f>
        <v>0</v>
      </c>
      <c r="I113" s="1706"/>
      <c r="J113" s="1292"/>
      <c r="K113" s="1292"/>
      <c r="L113" s="1292"/>
      <c r="M113" s="1292"/>
    </row>
    <row r="114" spans="1:13" ht="12.75">
      <c r="A114" s="1708"/>
      <c r="B114" s="1709" t="s">
        <v>242</v>
      </c>
      <c r="C114" s="1709" t="s">
        <v>255</v>
      </c>
      <c r="D114" s="1709" t="s">
        <v>267</v>
      </c>
      <c r="E114" s="1710" t="s">
        <v>277</v>
      </c>
      <c r="F114" s="1710" t="s">
        <v>286</v>
      </c>
      <c r="G114" s="1710" t="s">
        <v>294</v>
      </c>
      <c r="H114" s="1711" t="s">
        <v>299</v>
      </c>
      <c r="I114" s="1711" t="s">
        <v>304</v>
      </c>
      <c r="J114" s="1719" t="s">
        <v>307</v>
      </c>
      <c r="K114" s="1719" t="s">
        <v>310</v>
      </c>
      <c r="L114" s="1719" t="s">
        <v>313</v>
      </c>
      <c r="M114" s="1720" t="s">
        <v>316</v>
      </c>
    </row>
    <row r="115" spans="1:13" ht="12.75">
      <c r="A115" s="1712" t="s">
        <v>1262</v>
      </c>
      <c r="B115" s="1713">
        <f>ROUND(0.9335-0.0094*B113,4)</f>
        <v>0.92290000000000005</v>
      </c>
      <c r="C115" s="1713">
        <f>B115</f>
        <v>0.92290000000000005</v>
      </c>
      <c r="D115" s="1713">
        <f>ROUND(0.8331-0.0109*B113,4)</f>
        <v>0.82079999999999997</v>
      </c>
      <c r="E115" s="1713">
        <f>D115</f>
        <v>0.82079999999999997</v>
      </c>
      <c r="F115" s="1713">
        <f>E115</f>
        <v>0.82079999999999997</v>
      </c>
      <c r="G115" s="1713">
        <f>F115</f>
        <v>0.82079999999999997</v>
      </c>
      <c r="H115" s="1713">
        <f>G115</f>
        <v>0.82079999999999997</v>
      </c>
      <c r="I115" s="1713">
        <f>ROUND(0.689-0.0155*B113,4)</f>
        <v>0.67149999999999999</v>
      </c>
      <c r="J115" s="1713">
        <f t="shared" ref="J115:M118" si="33">I115</f>
        <v>0.67149999999999999</v>
      </c>
      <c r="K115" s="1713">
        <f t="shared" si="33"/>
        <v>0.67149999999999999</v>
      </c>
      <c r="L115" s="1713">
        <f t="shared" si="33"/>
        <v>0.67149999999999999</v>
      </c>
      <c r="M115" s="1721">
        <f t="shared" si="33"/>
        <v>0.67149999999999999</v>
      </c>
    </row>
    <row r="116" spans="1:13" ht="12.75">
      <c r="A116" s="1712" t="s">
        <v>1263</v>
      </c>
      <c r="B116" s="1713">
        <f>ROUND(0.949-0.012*B113,4)</f>
        <v>0.93540000000000001</v>
      </c>
      <c r="C116" s="1713">
        <f>B116</f>
        <v>0.93540000000000001</v>
      </c>
      <c r="D116" s="1713">
        <f>ROUND(0.8567-0.013*B113,4)</f>
        <v>0.84199999999999997</v>
      </c>
      <c r="E116" s="1713">
        <f t="shared" ref="E116:H117" si="34">D116</f>
        <v>0.84199999999999997</v>
      </c>
      <c r="F116" s="1713">
        <f t="shared" si="34"/>
        <v>0.84199999999999997</v>
      </c>
      <c r="G116" s="1713">
        <f t="shared" si="34"/>
        <v>0.84199999999999997</v>
      </c>
      <c r="H116" s="1713">
        <f t="shared" si="34"/>
        <v>0.84199999999999997</v>
      </c>
      <c r="I116" s="1713">
        <f>ROUND(0.7694-0.014*B113,4)</f>
        <v>0.75360000000000005</v>
      </c>
      <c r="J116" s="1713">
        <f t="shared" si="33"/>
        <v>0.75360000000000005</v>
      </c>
      <c r="K116" s="1713">
        <f t="shared" si="33"/>
        <v>0.75360000000000005</v>
      </c>
      <c r="L116" s="1713">
        <f t="shared" si="33"/>
        <v>0.75360000000000005</v>
      </c>
      <c r="M116" s="1721">
        <f t="shared" si="33"/>
        <v>0.75360000000000005</v>
      </c>
    </row>
    <row r="117" spans="1:13" ht="12.75">
      <c r="A117" s="1714" t="s">
        <v>376</v>
      </c>
      <c r="B117" s="1713">
        <f>ROUND(0.8808-0.006*B113,4)</f>
        <v>0.874</v>
      </c>
      <c r="C117" s="1713">
        <f>B117</f>
        <v>0.874</v>
      </c>
      <c r="D117" s="1713">
        <f>ROUND(0.8748-0.008*B113,4)</f>
        <v>0.86580000000000001</v>
      </c>
      <c r="E117" s="1713">
        <f t="shared" si="34"/>
        <v>0.86580000000000001</v>
      </c>
      <c r="F117" s="1713">
        <f t="shared" si="34"/>
        <v>0.86580000000000001</v>
      </c>
      <c r="G117" s="1713">
        <f t="shared" si="34"/>
        <v>0.86580000000000001</v>
      </c>
      <c r="H117" s="1713">
        <f t="shared" si="34"/>
        <v>0.86580000000000001</v>
      </c>
      <c r="I117" s="1713">
        <f>ROUND(0.7412-0.0095*B113,4)</f>
        <v>0.73050000000000004</v>
      </c>
      <c r="J117" s="1713">
        <f t="shared" si="33"/>
        <v>0.73050000000000004</v>
      </c>
      <c r="K117" s="1713">
        <f t="shared" si="33"/>
        <v>0.73050000000000004</v>
      </c>
      <c r="L117" s="1713">
        <f t="shared" si="33"/>
        <v>0.73050000000000004</v>
      </c>
      <c r="M117" s="1721">
        <f t="shared" si="33"/>
        <v>0.73050000000000004</v>
      </c>
    </row>
    <row r="118" spans="1:13" ht="12.75">
      <c r="A118" s="1715" t="s">
        <v>1264</v>
      </c>
      <c r="B118" s="1716">
        <f>ROUND(0.7275-0.01*B113,4)</f>
        <v>0.71619999999999995</v>
      </c>
      <c r="C118" s="1716">
        <f>B118</f>
        <v>0.71619999999999995</v>
      </c>
      <c r="D118" s="1716">
        <f>ROUND(0.7043-0.012*B113,4)</f>
        <v>0.69069999999999998</v>
      </c>
      <c r="E118" s="1716">
        <f>D118</f>
        <v>0.69069999999999998</v>
      </c>
      <c r="F118" s="1716">
        <f>E118</f>
        <v>0.69069999999999998</v>
      </c>
      <c r="G118" s="1716">
        <f>ROUND(0.6299-0.0122*B113,4)</f>
        <v>0.61609999999999998</v>
      </c>
      <c r="H118" s="1716">
        <f>G118</f>
        <v>0.61609999999999998</v>
      </c>
      <c r="I118" s="1716">
        <f>ROUND(0.5667-0.0136*B113,4)</f>
        <v>0.55130000000000001</v>
      </c>
      <c r="J118" s="1716">
        <f t="shared" si="33"/>
        <v>0.55130000000000001</v>
      </c>
      <c r="K118" s="1716">
        <f t="shared" si="33"/>
        <v>0.55130000000000001</v>
      </c>
      <c r="L118" s="1716">
        <f t="shared" si="33"/>
        <v>0.55130000000000001</v>
      </c>
      <c r="M118" s="1722">
        <f t="shared" si="33"/>
        <v>0.55130000000000001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219</v>
      </c>
      <c r="B1" s="1335" t="s">
        <v>242</v>
      </c>
      <c r="C1" s="1335" t="s">
        <v>255</v>
      </c>
      <c r="D1" s="1335" t="s">
        <v>267</v>
      </c>
      <c r="E1" s="1335" t="s">
        <v>277</v>
      </c>
      <c r="F1" s="1335" t="s">
        <v>286</v>
      </c>
      <c r="G1" s="1335" t="s">
        <v>294</v>
      </c>
      <c r="H1" s="1335" t="s">
        <v>299</v>
      </c>
      <c r="I1" s="1335" t="s">
        <v>304</v>
      </c>
      <c r="J1" s="1335" t="s">
        <v>307</v>
      </c>
      <c r="K1" s="1335" t="s">
        <v>310</v>
      </c>
      <c r="L1" s="1335" t="s">
        <v>313</v>
      </c>
      <c r="M1" s="1337" t="s">
        <v>316</v>
      </c>
    </row>
    <row r="2" spans="1:13" ht="19.5" customHeight="1">
      <c r="A2" s="1342" t="s">
        <v>377</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378</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376</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1265</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1266</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1267</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1268</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1269</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1270</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1271</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417</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1272</v>
      </c>
      <c r="B16" s="1358"/>
      <c r="C16" s="1359"/>
      <c r="D16" s="1359"/>
      <c r="E16" s="1358"/>
      <c r="F16" s="1359"/>
      <c r="G16" s="1359"/>
    </row>
    <row r="17" spans="1:9" ht="19.5" customHeight="1">
      <c r="A17" s="1354" t="s">
        <v>348</v>
      </c>
      <c r="B17" s="1360" t="s">
        <v>1273</v>
      </c>
      <c r="C17" s="1360" t="s">
        <v>1274</v>
      </c>
      <c r="D17" s="1361"/>
      <c r="E17" s="1354" t="s">
        <v>1275</v>
      </c>
      <c r="F17" s="1362"/>
      <c r="G17" s="1362"/>
    </row>
    <row r="18" spans="1:9" s="1340" customFormat="1" ht="19.5" customHeight="1">
      <c r="A18" s="3379" t="s">
        <v>377</v>
      </c>
      <c r="B18" s="1363" t="s">
        <v>1276</v>
      </c>
      <c r="C18" s="1364" t="s">
        <v>1277</v>
      </c>
      <c r="D18" s="1365"/>
      <c r="E18" s="1363">
        <v>1</v>
      </c>
      <c r="F18" s="1366" t="s">
        <v>1278</v>
      </c>
      <c r="G18" s="1367"/>
      <c r="H18" s="1304"/>
      <c r="I18" s="1304"/>
    </row>
    <row r="19" spans="1:9" s="1340" customFormat="1" ht="19.5" customHeight="1">
      <c r="A19" s="3379"/>
      <c r="B19" s="3379" t="s">
        <v>1279</v>
      </c>
      <c r="C19" s="1364" t="s">
        <v>1280</v>
      </c>
      <c r="D19" s="1365"/>
      <c r="E19" s="1363">
        <v>0.9</v>
      </c>
      <c r="F19" s="1366" t="s">
        <v>1281</v>
      </c>
      <c r="G19" s="1367"/>
      <c r="H19" s="1304"/>
      <c r="I19" s="1304"/>
    </row>
    <row r="20" spans="1:9" s="1340" customFormat="1" ht="19.5" customHeight="1">
      <c r="A20" s="3379"/>
      <c r="B20" s="3379"/>
      <c r="C20" s="1364" t="s">
        <v>1282</v>
      </c>
      <c r="D20" s="1365"/>
      <c r="E20" s="1363">
        <v>1.1000000000000001</v>
      </c>
      <c r="F20" s="1366" t="s">
        <v>1283</v>
      </c>
      <c r="G20" s="1367"/>
      <c r="H20" s="1304"/>
      <c r="I20" s="1304"/>
    </row>
    <row r="21" spans="1:9" s="1340" customFormat="1" ht="19.5" customHeight="1">
      <c r="A21" s="3379"/>
      <c r="B21" s="3379"/>
      <c r="C21" s="1364" t="s">
        <v>1284</v>
      </c>
      <c r="D21" s="1365"/>
      <c r="E21" s="1363">
        <v>0.8</v>
      </c>
      <c r="F21" s="1366" t="s">
        <v>1285</v>
      </c>
      <c r="G21" s="1367"/>
      <c r="H21" s="1304"/>
      <c r="I21" s="1304"/>
    </row>
    <row r="22" spans="1:9" s="1340" customFormat="1" ht="19.5" customHeight="1">
      <c r="A22" s="3379"/>
      <c r="B22" s="3379"/>
      <c r="C22" s="1364" t="s">
        <v>1286</v>
      </c>
      <c r="D22" s="1365"/>
      <c r="E22" s="1363">
        <v>0.5</v>
      </c>
      <c r="F22" s="1366"/>
      <c r="G22" s="1367"/>
      <c r="H22" s="1304"/>
      <c r="I22" s="1304"/>
    </row>
    <row r="23" spans="1:9" s="1340" customFormat="1" ht="19.5" customHeight="1">
      <c r="A23" s="3379" t="s">
        <v>378</v>
      </c>
      <c r="B23" s="1363" t="s">
        <v>1276</v>
      </c>
      <c r="C23" s="1364" t="s">
        <v>1287</v>
      </c>
      <c r="D23" s="1365"/>
      <c r="E23" s="1363">
        <v>1</v>
      </c>
      <c r="F23" s="1366" t="s">
        <v>1288</v>
      </c>
      <c r="G23" s="1367"/>
      <c r="H23" s="1304"/>
      <c r="I23" s="1304"/>
    </row>
    <row r="24" spans="1:9" s="1340" customFormat="1" ht="19.5" customHeight="1">
      <c r="A24" s="3379"/>
      <c r="B24" s="3379" t="s">
        <v>1279</v>
      </c>
      <c r="C24" s="1364" t="s">
        <v>1289</v>
      </c>
      <c r="D24" s="1365"/>
      <c r="E24" s="1363">
        <v>0.5</v>
      </c>
      <c r="F24" s="1366"/>
      <c r="G24" s="1367"/>
      <c r="H24" s="1304"/>
      <c r="I24" s="1304"/>
    </row>
    <row r="25" spans="1:9" s="1340" customFormat="1" ht="19.5" customHeight="1">
      <c r="A25" s="3379"/>
      <c r="B25" s="3379"/>
      <c r="C25" s="1364" t="s">
        <v>1290</v>
      </c>
      <c r="D25" s="1365"/>
      <c r="E25" s="1363">
        <v>1.1000000000000001</v>
      </c>
      <c r="F25" s="1366"/>
      <c r="G25" s="1367"/>
      <c r="H25" s="1304"/>
      <c r="I25" s="1304"/>
    </row>
    <row r="26" spans="1:9" s="1340" customFormat="1" ht="19.5" customHeight="1">
      <c r="A26" s="3379"/>
      <c r="B26" s="3379"/>
      <c r="C26" s="1364" t="s">
        <v>1291</v>
      </c>
      <c r="D26" s="1365"/>
      <c r="E26" s="1363">
        <v>1.1000000000000001</v>
      </c>
      <c r="F26" s="1366"/>
      <c r="G26" s="1367"/>
      <c r="H26" s="1304"/>
      <c r="I26" s="1304"/>
    </row>
    <row r="27" spans="1:9" s="1340" customFormat="1" ht="19.5" customHeight="1">
      <c r="A27" s="3379"/>
      <c r="B27" s="3379"/>
      <c r="C27" s="1364" t="s">
        <v>1292</v>
      </c>
      <c r="D27" s="1365"/>
      <c r="E27" s="1363">
        <v>0.9</v>
      </c>
      <c r="F27" s="1366" t="s">
        <v>1293</v>
      </c>
      <c r="G27" s="1367"/>
      <c r="H27" s="1304"/>
      <c r="I27" s="1304"/>
    </row>
    <row r="28" spans="1:9" s="1340" customFormat="1" ht="19.5" customHeight="1">
      <c r="A28" s="3379"/>
      <c r="B28" s="3379"/>
      <c r="C28" s="1364" t="s">
        <v>1294</v>
      </c>
      <c r="D28" s="1365"/>
      <c r="E28" s="1363">
        <v>0.9</v>
      </c>
      <c r="F28" s="1366" t="s">
        <v>1295</v>
      </c>
      <c r="G28" s="1367"/>
      <c r="H28" s="1304"/>
      <c r="I28" s="1304"/>
    </row>
    <row r="29" spans="1:9" s="1340" customFormat="1" ht="19.5" customHeight="1">
      <c r="A29" s="3379"/>
      <c r="B29" s="3379"/>
      <c r="C29" s="1364" t="s">
        <v>1296</v>
      </c>
      <c r="D29" s="1365"/>
      <c r="E29" s="1363">
        <v>0.9</v>
      </c>
      <c r="F29" s="1366" t="s">
        <v>1297</v>
      </c>
      <c r="G29" s="1367"/>
      <c r="H29" s="1304"/>
      <c r="I29" s="1304"/>
    </row>
    <row r="30" spans="1:9" s="1340" customFormat="1" ht="19.5" customHeight="1">
      <c r="A30" s="3379"/>
      <c r="B30" s="3379"/>
      <c r="C30" s="1364" t="s">
        <v>1298</v>
      </c>
      <c r="D30" s="1365"/>
      <c r="E30" s="1363">
        <v>0.9</v>
      </c>
      <c r="F30" s="1366" t="s">
        <v>1299</v>
      </c>
      <c r="G30" s="1367"/>
      <c r="H30" s="1304"/>
      <c r="I30" s="1304"/>
    </row>
    <row r="31" spans="1:9" s="1340" customFormat="1" ht="19.5" customHeight="1">
      <c r="A31" s="3379"/>
      <c r="B31" s="3379"/>
      <c r="C31" s="1364" t="s">
        <v>1300</v>
      </c>
      <c r="D31" s="1365"/>
      <c r="E31" s="1363">
        <v>0.8</v>
      </c>
      <c r="F31" s="1366" t="s">
        <v>1301</v>
      </c>
      <c r="G31" s="1367"/>
      <c r="H31" s="1304"/>
      <c r="I31" s="1304"/>
    </row>
    <row r="32" spans="1:9" s="1340" customFormat="1" ht="19.5" customHeight="1">
      <c r="A32" s="3379"/>
      <c r="B32" s="3379"/>
      <c r="C32" s="1364" t="s">
        <v>1302</v>
      </c>
      <c r="D32" s="1365"/>
      <c r="E32" s="1363">
        <v>0.8</v>
      </c>
      <c r="F32" s="1366" t="s">
        <v>1303</v>
      </c>
      <c r="G32" s="1367"/>
      <c r="H32" s="1304"/>
      <c r="I32" s="1304"/>
    </row>
    <row r="33" spans="1:9" s="1340" customFormat="1" ht="19.5" customHeight="1">
      <c r="A33" s="3379" t="s">
        <v>1304</v>
      </c>
      <c r="B33" s="1363" t="s">
        <v>1276</v>
      </c>
      <c r="C33" s="1364" t="s">
        <v>1305</v>
      </c>
      <c r="D33" s="1365"/>
      <c r="E33" s="1363">
        <v>1</v>
      </c>
      <c r="F33" s="1366" t="s">
        <v>1306</v>
      </c>
      <c r="G33" s="1367"/>
      <c r="H33" s="1304"/>
      <c r="I33" s="1304"/>
    </row>
    <row r="34" spans="1:9" s="1340" customFormat="1" ht="19.5" customHeight="1">
      <c r="A34" s="3379"/>
      <c r="B34" s="1363" t="s">
        <v>1279</v>
      </c>
      <c r="C34" s="1364" t="s">
        <v>1307</v>
      </c>
      <c r="D34" s="1365"/>
      <c r="E34" s="1363">
        <v>1.5</v>
      </c>
      <c r="F34" s="1366" t="s">
        <v>1308</v>
      </c>
      <c r="G34" s="1367"/>
      <c r="H34" s="1304"/>
      <c r="I34" s="1304"/>
    </row>
    <row r="35" spans="1:9" s="1340" customFormat="1" ht="19.5" customHeight="1">
      <c r="A35" s="3379" t="s">
        <v>164</v>
      </c>
      <c r="B35" s="1363" t="s">
        <v>1276</v>
      </c>
      <c r="C35" s="1364" t="s">
        <v>1309</v>
      </c>
      <c r="D35" s="1365"/>
      <c r="E35" s="1363">
        <v>1</v>
      </c>
      <c r="F35" s="1366" t="s">
        <v>1310</v>
      </c>
      <c r="G35" s="1367"/>
      <c r="H35" s="1304"/>
      <c r="I35" s="1304"/>
    </row>
    <row r="36" spans="1:9" s="1340" customFormat="1" ht="19.5" customHeight="1">
      <c r="A36" s="3379"/>
      <c r="B36" s="3379" t="s">
        <v>1279</v>
      </c>
      <c r="C36" s="1364" t="s">
        <v>1311</v>
      </c>
      <c r="D36" s="1365"/>
      <c r="E36" s="1363">
        <v>1</v>
      </c>
      <c r="F36" s="1366" t="s">
        <v>1312</v>
      </c>
      <c r="G36" s="1367"/>
      <c r="H36" s="1304"/>
      <c r="I36" s="1304"/>
    </row>
    <row r="37" spans="1:9" s="1340" customFormat="1" ht="19.5" customHeight="1">
      <c r="A37" s="3379"/>
      <c r="B37" s="3379"/>
      <c r="C37" s="1364" t="s">
        <v>1313</v>
      </c>
      <c r="D37" s="1365"/>
      <c r="E37" s="1363">
        <v>1.5</v>
      </c>
      <c r="F37" s="1366" t="s">
        <v>1314</v>
      </c>
      <c r="G37" s="1367"/>
      <c r="H37" s="1304"/>
      <c r="I37" s="1304"/>
    </row>
    <row r="38" spans="1:9" s="1340" customFormat="1" ht="19.5" customHeight="1">
      <c r="A38" s="3379"/>
      <c r="B38" s="3379"/>
      <c r="C38" s="1364" t="s">
        <v>1315</v>
      </c>
      <c r="D38" s="1365"/>
      <c r="E38" s="1363">
        <v>1</v>
      </c>
      <c r="F38" s="1366" t="s">
        <v>1316</v>
      </c>
      <c r="G38" s="1367"/>
      <c r="H38" s="1304"/>
      <c r="I38" s="1304"/>
    </row>
    <row r="39" spans="1:9" s="1340" customFormat="1" ht="19.5" customHeight="1">
      <c r="A39" s="3379"/>
      <c r="B39" s="3379"/>
      <c r="C39" s="1364" t="s">
        <v>1317</v>
      </c>
      <c r="D39" s="1365"/>
      <c r="E39" s="1363">
        <v>1</v>
      </c>
      <c r="F39" s="1366" t="s">
        <v>1318</v>
      </c>
      <c r="G39" s="1367"/>
      <c r="H39" s="1304"/>
      <c r="I39" s="1304"/>
    </row>
    <row r="40" spans="1:9" s="1340" customFormat="1" ht="19.5" customHeight="1">
      <c r="A40" s="1368" t="s">
        <v>1319</v>
      </c>
      <c r="B40" s="1368"/>
      <c r="C40" s="1368"/>
      <c r="D40" s="1368"/>
      <c r="E40" s="1368"/>
      <c r="F40" s="1366"/>
      <c r="G40" s="1366"/>
      <c r="H40" s="1304"/>
      <c r="I40" s="1304"/>
    </row>
    <row r="42" spans="1:9" ht="19.5" customHeight="1">
      <c r="A42" s="1369"/>
      <c r="B42" s="1354" t="s">
        <v>473</v>
      </c>
      <c r="C42" s="1354" t="s">
        <v>473</v>
      </c>
      <c r="D42" s="1354" t="s">
        <v>473</v>
      </c>
      <c r="E42" s="1356" t="s">
        <v>473</v>
      </c>
      <c r="F42" s="1356" t="s">
        <v>473</v>
      </c>
      <c r="G42" s="1356" t="s">
        <v>1226</v>
      </c>
      <c r="H42" s="1356" t="s">
        <v>473</v>
      </c>
    </row>
    <row r="43" spans="1:9" ht="19.5" customHeight="1">
      <c r="A43" s="1370"/>
      <c r="B43" s="1356" t="s">
        <v>377</v>
      </c>
      <c r="C43" s="1356" t="s">
        <v>377</v>
      </c>
      <c r="D43" s="1356" t="s">
        <v>377</v>
      </c>
      <c r="E43" s="1356" t="s">
        <v>377</v>
      </c>
      <c r="F43" s="1354" t="s">
        <v>378</v>
      </c>
      <c r="G43" s="1354" t="s">
        <v>164</v>
      </c>
      <c r="H43" s="1354" t="s">
        <v>379</v>
      </c>
    </row>
    <row r="44" spans="1:9" ht="19.5" customHeight="1">
      <c r="A44" s="1371"/>
      <c r="B44" s="1354">
        <v>1</v>
      </c>
      <c r="C44" s="1354">
        <v>2</v>
      </c>
      <c r="D44" s="1354">
        <v>3</v>
      </c>
      <c r="E44" s="1356">
        <v>4</v>
      </c>
      <c r="F44" s="1361" t="s">
        <v>1320</v>
      </c>
      <c r="G44" s="1361" t="s">
        <v>1320</v>
      </c>
      <c r="H44" s="1361" t="s">
        <v>1320</v>
      </c>
    </row>
    <row r="45" spans="1:9" ht="19.5" customHeight="1">
      <c r="A45" s="1372" t="s">
        <v>242</v>
      </c>
      <c r="B45" s="1354">
        <v>0.8</v>
      </c>
      <c r="C45" s="1354">
        <v>0.5</v>
      </c>
      <c r="D45" s="1354">
        <v>0.36</v>
      </c>
      <c r="E45" s="1354">
        <v>0.3</v>
      </c>
      <c r="F45" s="1361">
        <v>0.3</v>
      </c>
      <c r="G45" s="1354">
        <v>0.3</v>
      </c>
      <c r="H45" s="1354">
        <v>0.25</v>
      </c>
    </row>
    <row r="46" spans="1:9" ht="19.5" customHeight="1">
      <c r="A46" s="1372" t="s">
        <v>255</v>
      </c>
      <c r="B46" s="1354">
        <v>0.8</v>
      </c>
      <c r="C46" s="1354">
        <v>0.5</v>
      </c>
      <c r="D46" s="1354">
        <v>0.36</v>
      </c>
      <c r="E46" s="1354">
        <v>0.3</v>
      </c>
      <c r="F46" s="1354">
        <v>0.3</v>
      </c>
      <c r="G46" s="1354">
        <v>0.3</v>
      </c>
      <c r="H46" s="1354">
        <v>0.25</v>
      </c>
    </row>
    <row r="47" spans="1:9" ht="19.5" customHeight="1">
      <c r="A47" s="1372" t="s">
        <v>267</v>
      </c>
      <c r="B47" s="1354">
        <v>0.7</v>
      </c>
      <c r="C47" s="1354">
        <v>0.4</v>
      </c>
      <c r="D47" s="1354">
        <v>0.28000000000000003</v>
      </c>
      <c r="E47" s="1354">
        <v>0.25</v>
      </c>
      <c r="F47" s="1354">
        <v>0.25</v>
      </c>
      <c r="G47" s="1354">
        <v>0.25</v>
      </c>
      <c r="H47" s="1354">
        <v>0.2</v>
      </c>
    </row>
    <row r="48" spans="1:9" ht="19.5" customHeight="1">
      <c r="A48" s="1372" t="s">
        <v>277</v>
      </c>
      <c r="B48" s="1354">
        <v>0.7</v>
      </c>
      <c r="C48" s="1354">
        <v>0.4</v>
      </c>
      <c r="D48" s="1354">
        <v>0.28000000000000003</v>
      </c>
      <c r="E48" s="1354">
        <v>0.25</v>
      </c>
      <c r="F48" s="1354">
        <v>0.25</v>
      </c>
      <c r="G48" s="1354">
        <v>0.25</v>
      </c>
      <c r="H48" s="1354">
        <v>0.2</v>
      </c>
    </row>
    <row r="49" spans="1:8" s="1304" customFormat="1" ht="19.5" customHeight="1">
      <c r="A49" s="1372" t="s">
        <v>286</v>
      </c>
      <c r="B49" s="1354">
        <v>0.7</v>
      </c>
      <c r="C49" s="1354">
        <v>0.4</v>
      </c>
      <c r="D49" s="1354">
        <v>0.28000000000000003</v>
      </c>
      <c r="E49" s="1354">
        <v>0.25</v>
      </c>
      <c r="F49" s="1354">
        <v>0.25</v>
      </c>
      <c r="G49" s="1354">
        <v>0.25</v>
      </c>
      <c r="H49" s="1354">
        <v>0.2</v>
      </c>
    </row>
    <row r="50" spans="1:8" s="1304" customFormat="1" ht="19.5" customHeight="1">
      <c r="A50" s="1372" t="s">
        <v>294</v>
      </c>
      <c r="B50" s="1354">
        <v>0.7</v>
      </c>
      <c r="C50" s="1354">
        <v>0.4</v>
      </c>
      <c r="D50" s="1354">
        <v>0.28000000000000003</v>
      </c>
      <c r="E50" s="1354">
        <v>0.25</v>
      </c>
      <c r="F50" s="1354">
        <v>0.25</v>
      </c>
      <c r="G50" s="1354">
        <v>0.25</v>
      </c>
      <c r="H50" s="1354">
        <v>0.2</v>
      </c>
    </row>
    <row r="51" spans="1:8" s="1304" customFormat="1" ht="19.5" customHeight="1">
      <c r="A51" s="1372" t="s">
        <v>299</v>
      </c>
      <c r="B51" s="1354">
        <v>0.7</v>
      </c>
      <c r="C51" s="1354">
        <v>0.4</v>
      </c>
      <c r="D51" s="1354">
        <v>0.28000000000000003</v>
      </c>
      <c r="E51" s="1354">
        <v>0.25</v>
      </c>
      <c r="F51" s="1354">
        <v>0.25</v>
      </c>
      <c r="G51" s="1354">
        <v>0.25</v>
      </c>
      <c r="H51" s="1354">
        <v>0.2</v>
      </c>
    </row>
    <row r="52" spans="1:8" s="1304" customFormat="1" ht="19.5" customHeight="1">
      <c r="A52" s="1372" t="s">
        <v>304</v>
      </c>
      <c r="B52" s="1354">
        <v>0.6</v>
      </c>
      <c r="C52" s="1354">
        <v>0.3</v>
      </c>
      <c r="D52" s="1354">
        <v>0.2</v>
      </c>
      <c r="E52" s="1354">
        <v>0.2</v>
      </c>
      <c r="F52" s="1354">
        <v>0.2</v>
      </c>
      <c r="G52" s="1354">
        <v>0.2</v>
      </c>
      <c r="H52" s="1354">
        <v>0.15</v>
      </c>
    </row>
    <row r="53" spans="1:8" s="1304" customFormat="1" ht="19.5" customHeight="1">
      <c r="A53" s="1372" t="s">
        <v>307</v>
      </c>
      <c r="B53" s="1354">
        <v>0.6</v>
      </c>
      <c r="C53" s="1354">
        <v>0.3</v>
      </c>
      <c r="D53" s="1354">
        <v>0.2</v>
      </c>
      <c r="E53" s="1354">
        <v>0.2</v>
      </c>
      <c r="F53" s="1354">
        <v>0.2</v>
      </c>
      <c r="G53" s="1354">
        <v>0.2</v>
      </c>
      <c r="H53" s="1354">
        <v>0.15</v>
      </c>
    </row>
    <row r="54" spans="1:8" s="1304" customFormat="1" ht="19.5" customHeight="1">
      <c r="A54" s="1372" t="s">
        <v>310</v>
      </c>
      <c r="B54" s="1354">
        <v>0.6</v>
      </c>
      <c r="C54" s="1354">
        <v>0.3</v>
      </c>
      <c r="D54" s="1354">
        <v>0.2</v>
      </c>
      <c r="E54" s="1354">
        <v>0.2</v>
      </c>
      <c r="F54" s="1354">
        <v>0.2</v>
      </c>
      <c r="G54" s="1354">
        <v>0.2</v>
      </c>
      <c r="H54" s="1354">
        <v>0.15</v>
      </c>
    </row>
    <row r="55" spans="1:8" s="1304" customFormat="1" ht="19.5" customHeight="1">
      <c r="A55" s="1372" t="s">
        <v>313</v>
      </c>
      <c r="B55" s="1354">
        <v>0.6</v>
      </c>
      <c r="C55" s="1354">
        <v>0.3</v>
      </c>
      <c r="D55" s="1354">
        <v>0.2</v>
      </c>
      <c r="E55" s="1354">
        <v>0.2</v>
      </c>
      <c r="F55" s="1354">
        <v>0.2</v>
      </c>
      <c r="G55" s="1354">
        <v>0.2</v>
      </c>
      <c r="H55" s="1354">
        <v>0.15</v>
      </c>
    </row>
    <row r="56" spans="1:8" s="1304" customFormat="1" ht="19.5" customHeight="1">
      <c r="A56" s="1372" t="s">
        <v>316</v>
      </c>
      <c r="B56" s="1354">
        <v>0.6</v>
      </c>
      <c r="C56" s="1354">
        <v>0.3</v>
      </c>
      <c r="D56" s="1354">
        <v>0.2</v>
      </c>
      <c r="E56" s="1354">
        <v>0.2</v>
      </c>
      <c r="F56" s="1354">
        <v>0.2</v>
      </c>
      <c r="G56" s="1354">
        <v>0.2</v>
      </c>
      <c r="H56" s="1354">
        <v>0.15</v>
      </c>
    </row>
    <row r="58" spans="1:8" s="1304" customFormat="1" ht="19.5" customHeight="1">
      <c r="A58" s="1373"/>
      <c r="B58" s="1358"/>
      <c r="C58" s="1358"/>
      <c r="D58" s="1358" t="s">
        <v>1321</v>
      </c>
      <c r="E58" s="1358"/>
      <c r="F58" s="1358"/>
    </row>
    <row r="59" spans="1:8" s="1304" customFormat="1" ht="19.5" customHeight="1">
      <c r="A59" s="1363" t="s">
        <v>1322</v>
      </c>
      <c r="B59" s="1363" t="s">
        <v>1323</v>
      </c>
      <c r="C59" s="1363" t="s">
        <v>1324</v>
      </c>
      <c r="D59" s="1363" t="s">
        <v>1325</v>
      </c>
      <c r="E59" s="1363" t="s">
        <v>1151</v>
      </c>
      <c r="F59" s="1363" t="s">
        <v>1326</v>
      </c>
    </row>
    <row r="60" spans="1:8" s="1304" customFormat="1" ht="19.5" customHeight="1">
      <c r="A60" s="1363"/>
      <c r="B60" s="1363"/>
      <c r="C60" s="1363" t="s">
        <v>1327</v>
      </c>
      <c r="D60" s="1363"/>
      <c r="E60" s="1374" t="s">
        <v>138</v>
      </c>
      <c r="F60" s="1363" t="s">
        <v>138</v>
      </c>
    </row>
    <row r="61" spans="1:8" s="1304" customFormat="1" ht="24">
      <c r="A61" s="1363">
        <v>1</v>
      </c>
      <c r="B61" s="3379" t="s">
        <v>1328</v>
      </c>
      <c r="C61" s="1354" t="s">
        <v>1329</v>
      </c>
      <c r="D61" s="1354" t="s">
        <v>1330</v>
      </c>
      <c r="E61" s="1374">
        <v>0.5</v>
      </c>
      <c r="F61" s="1363">
        <v>80</v>
      </c>
      <c r="H61" s="1304">
        <f>SUMIF(C59:C119,基准地价!C8,E59:E119)</f>
        <v>0</v>
      </c>
    </row>
    <row r="62" spans="1:8" s="1304" customFormat="1" ht="24">
      <c r="A62" s="1363">
        <v>2</v>
      </c>
      <c r="B62" s="3379"/>
      <c r="C62" s="1354" t="s">
        <v>1331</v>
      </c>
      <c r="D62" s="1354" t="s">
        <v>1332</v>
      </c>
      <c r="E62" s="1374">
        <v>0.5</v>
      </c>
      <c r="F62" s="1363">
        <v>80</v>
      </c>
    </row>
    <row r="63" spans="1:8" s="1304" customFormat="1" ht="36">
      <c r="A63" s="1363">
        <v>3</v>
      </c>
      <c r="B63" s="3379"/>
      <c r="C63" s="1354" t="s">
        <v>1333</v>
      </c>
      <c r="D63" s="1354" t="s">
        <v>1334</v>
      </c>
      <c r="E63" s="1374">
        <v>0.5</v>
      </c>
      <c r="F63" s="1363">
        <v>80</v>
      </c>
    </row>
    <row r="64" spans="1:8" s="1304" customFormat="1" ht="36">
      <c r="A64" s="1363">
        <v>4</v>
      </c>
      <c r="B64" s="3379"/>
      <c r="C64" s="1354" t="s">
        <v>1335</v>
      </c>
      <c r="D64" s="1354" t="s">
        <v>1336</v>
      </c>
      <c r="E64" s="1374">
        <v>0.4</v>
      </c>
      <c r="F64" s="1363">
        <v>60</v>
      </c>
    </row>
    <row r="65" spans="1:6" s="1304" customFormat="1" ht="36">
      <c r="A65" s="1363">
        <v>5</v>
      </c>
      <c r="B65" s="3379"/>
      <c r="C65" s="1354" t="s">
        <v>1337</v>
      </c>
      <c r="D65" s="1354" t="s">
        <v>1338</v>
      </c>
      <c r="E65" s="1374">
        <v>0.2</v>
      </c>
      <c r="F65" s="1363">
        <v>30</v>
      </c>
    </row>
    <row r="66" spans="1:6" s="1304" customFormat="1" ht="36">
      <c r="A66" s="1363">
        <v>6</v>
      </c>
      <c r="B66" s="3379"/>
      <c r="C66" s="1354" t="s">
        <v>1339</v>
      </c>
      <c r="D66" s="1354" t="s">
        <v>1340</v>
      </c>
      <c r="E66" s="1374">
        <v>0.3</v>
      </c>
      <c r="F66" s="1363">
        <v>50</v>
      </c>
    </row>
    <row r="67" spans="1:6" s="1304" customFormat="1" ht="36">
      <c r="A67" s="1363">
        <v>7</v>
      </c>
      <c r="B67" s="3379"/>
      <c r="C67" s="1354" t="s">
        <v>1341</v>
      </c>
      <c r="D67" s="1354" t="s">
        <v>1342</v>
      </c>
      <c r="E67" s="1374">
        <v>0.2</v>
      </c>
      <c r="F67" s="1363">
        <v>30</v>
      </c>
    </row>
    <row r="68" spans="1:6" s="1304" customFormat="1" ht="36">
      <c r="A68" s="1363">
        <v>8</v>
      </c>
      <c r="B68" s="3379"/>
      <c r="C68" s="1354" t="s">
        <v>1343</v>
      </c>
      <c r="D68" s="1354" t="s">
        <v>1344</v>
      </c>
      <c r="E68" s="1374">
        <v>0.2</v>
      </c>
      <c r="F68" s="1363">
        <v>30</v>
      </c>
    </row>
    <row r="69" spans="1:6" s="1304" customFormat="1" ht="36">
      <c r="A69" s="1363">
        <v>9</v>
      </c>
      <c r="B69" s="3379"/>
      <c r="C69" s="1354" t="s">
        <v>1345</v>
      </c>
      <c r="D69" s="1354" t="s">
        <v>1346</v>
      </c>
      <c r="E69" s="1374">
        <v>0.2</v>
      </c>
      <c r="F69" s="1363">
        <v>30</v>
      </c>
    </row>
    <row r="70" spans="1:6" s="1304" customFormat="1" ht="48">
      <c r="A70" s="1363">
        <v>10</v>
      </c>
      <c r="B70" s="3379"/>
      <c r="C70" s="1354" t="s">
        <v>1347</v>
      </c>
      <c r="D70" s="1354" t="s">
        <v>1348</v>
      </c>
      <c r="E70" s="1374">
        <v>0.2</v>
      </c>
      <c r="F70" s="1363">
        <v>30</v>
      </c>
    </row>
    <row r="71" spans="1:6" s="1304" customFormat="1" ht="48">
      <c r="A71" s="1363">
        <v>11</v>
      </c>
      <c r="B71" s="3379"/>
      <c r="C71" s="1354" t="s">
        <v>1349</v>
      </c>
      <c r="D71" s="1354" t="s">
        <v>1350</v>
      </c>
      <c r="E71" s="1374">
        <v>0.2</v>
      </c>
      <c r="F71" s="1363">
        <v>30</v>
      </c>
    </row>
    <row r="72" spans="1:6" s="1304" customFormat="1" ht="36">
      <c r="A72" s="1363">
        <v>12</v>
      </c>
      <c r="B72" s="3379"/>
      <c r="C72" s="1354" t="s">
        <v>1351</v>
      </c>
      <c r="D72" s="1354" t="s">
        <v>1352</v>
      </c>
      <c r="E72" s="1374">
        <v>0.5</v>
      </c>
      <c r="F72" s="1363">
        <v>80</v>
      </c>
    </row>
    <row r="73" spans="1:6" s="1304" customFormat="1" ht="24">
      <c r="A73" s="1363">
        <v>13</v>
      </c>
      <c r="B73" s="3379"/>
      <c r="C73" s="1354" t="s">
        <v>1353</v>
      </c>
      <c r="D73" s="1354" t="s">
        <v>1354</v>
      </c>
      <c r="E73" s="1374">
        <v>0.4</v>
      </c>
      <c r="F73" s="1363">
        <v>60</v>
      </c>
    </row>
    <row r="74" spans="1:6" s="1304" customFormat="1" ht="24">
      <c r="A74" s="1363">
        <v>14</v>
      </c>
      <c r="B74" s="3379"/>
      <c r="C74" s="1354" t="s">
        <v>1355</v>
      </c>
      <c r="D74" s="1354" t="s">
        <v>1356</v>
      </c>
      <c r="E74" s="1374">
        <v>0.2</v>
      </c>
      <c r="F74" s="1363">
        <v>30</v>
      </c>
    </row>
    <row r="75" spans="1:6" s="1304" customFormat="1" ht="24">
      <c r="A75" s="1363">
        <v>15</v>
      </c>
      <c r="B75" s="3379"/>
      <c r="C75" s="1354" t="s">
        <v>1357</v>
      </c>
      <c r="D75" s="1354" t="s">
        <v>1358</v>
      </c>
      <c r="E75" s="1374">
        <v>0.2</v>
      </c>
      <c r="F75" s="1363">
        <v>30</v>
      </c>
    </row>
    <row r="76" spans="1:6" s="1304" customFormat="1" ht="24">
      <c r="A76" s="1363">
        <v>16</v>
      </c>
      <c r="B76" s="3379" t="s">
        <v>1359</v>
      </c>
      <c r="C76" s="1354" t="s">
        <v>1360</v>
      </c>
      <c r="D76" s="1354" t="s">
        <v>1361</v>
      </c>
      <c r="E76" s="1374">
        <v>0.5</v>
      </c>
      <c r="F76" s="1363">
        <v>80</v>
      </c>
    </row>
    <row r="77" spans="1:6" s="1304" customFormat="1" ht="24">
      <c r="A77" s="1363">
        <v>17</v>
      </c>
      <c r="B77" s="3379"/>
      <c r="C77" s="1354" t="s">
        <v>1362</v>
      </c>
      <c r="D77" s="1354" t="s">
        <v>1363</v>
      </c>
      <c r="E77" s="1374">
        <v>0.5</v>
      </c>
      <c r="F77" s="1363">
        <v>80</v>
      </c>
    </row>
    <row r="78" spans="1:6" s="1304" customFormat="1" ht="24">
      <c r="A78" s="1363">
        <v>18</v>
      </c>
      <c r="B78" s="3379"/>
      <c r="C78" s="1354" t="s">
        <v>1364</v>
      </c>
      <c r="D78" s="1354" t="s">
        <v>1365</v>
      </c>
      <c r="E78" s="1374">
        <v>0.2</v>
      </c>
      <c r="F78" s="1363">
        <v>30</v>
      </c>
    </row>
    <row r="79" spans="1:6" s="1304" customFormat="1" ht="24">
      <c r="A79" s="1363">
        <v>19</v>
      </c>
      <c r="B79" s="3379"/>
      <c r="C79" s="1354" t="s">
        <v>1366</v>
      </c>
      <c r="D79" s="1354" t="s">
        <v>1367</v>
      </c>
      <c r="E79" s="1374">
        <v>0.5</v>
      </c>
      <c r="F79" s="1363">
        <v>80</v>
      </c>
    </row>
    <row r="80" spans="1:6" s="1304" customFormat="1" ht="36">
      <c r="A80" s="1363">
        <v>20</v>
      </c>
      <c r="B80" s="3379"/>
      <c r="C80" s="1354" t="s">
        <v>1368</v>
      </c>
      <c r="D80" s="1354" t="s">
        <v>1369</v>
      </c>
      <c r="E80" s="1374">
        <v>0.2</v>
      </c>
      <c r="F80" s="1363">
        <v>30</v>
      </c>
    </row>
    <row r="81" spans="1:6" s="1304" customFormat="1" ht="36">
      <c r="A81" s="1363">
        <v>21</v>
      </c>
      <c r="B81" s="3379"/>
      <c r="C81" s="1354" t="s">
        <v>1370</v>
      </c>
      <c r="D81" s="1354" t="s">
        <v>1371</v>
      </c>
      <c r="E81" s="1374">
        <v>0.2</v>
      </c>
      <c r="F81" s="1363">
        <v>30</v>
      </c>
    </row>
    <row r="82" spans="1:6" s="1304" customFormat="1" ht="48">
      <c r="A82" s="1363">
        <v>22</v>
      </c>
      <c r="B82" s="3379"/>
      <c r="C82" s="1354" t="s">
        <v>1372</v>
      </c>
      <c r="D82" s="1354" t="s">
        <v>1373</v>
      </c>
      <c r="E82" s="1374">
        <v>0.2</v>
      </c>
      <c r="F82" s="1363">
        <v>30</v>
      </c>
    </row>
    <row r="83" spans="1:6" s="1304" customFormat="1" ht="48">
      <c r="A83" s="1363">
        <v>23</v>
      </c>
      <c r="B83" s="3379"/>
      <c r="C83" s="1354" t="s">
        <v>1374</v>
      </c>
      <c r="D83" s="1354" t="s">
        <v>1375</v>
      </c>
      <c r="E83" s="1374">
        <v>0.2</v>
      </c>
      <c r="F83" s="1363">
        <v>30</v>
      </c>
    </row>
    <row r="84" spans="1:6" s="1304" customFormat="1" ht="36">
      <c r="A84" s="1363">
        <v>24</v>
      </c>
      <c r="B84" s="3379"/>
      <c r="C84" s="1354" t="s">
        <v>1376</v>
      </c>
      <c r="D84" s="1354" t="s">
        <v>1377</v>
      </c>
      <c r="E84" s="1374">
        <v>0.2</v>
      </c>
      <c r="F84" s="1363">
        <v>30</v>
      </c>
    </row>
    <row r="85" spans="1:6" s="1304" customFormat="1" ht="36">
      <c r="A85" s="1363">
        <v>25</v>
      </c>
      <c r="B85" s="3379"/>
      <c r="C85" s="1354" t="s">
        <v>1378</v>
      </c>
      <c r="D85" s="1354" t="s">
        <v>1379</v>
      </c>
      <c r="E85" s="1374">
        <v>0.5</v>
      </c>
      <c r="F85" s="1363">
        <v>80</v>
      </c>
    </row>
    <row r="86" spans="1:6" s="1304" customFormat="1" ht="36">
      <c r="A86" s="1363">
        <v>26</v>
      </c>
      <c r="B86" s="3379"/>
      <c r="C86" s="1354" t="s">
        <v>1380</v>
      </c>
      <c r="D86" s="1354" t="s">
        <v>1381</v>
      </c>
      <c r="E86" s="1374">
        <v>0.2</v>
      </c>
      <c r="F86" s="1363">
        <v>30</v>
      </c>
    </row>
    <row r="87" spans="1:6" s="1304" customFormat="1" ht="36">
      <c r="A87" s="1363">
        <v>27</v>
      </c>
      <c r="B87" s="3379"/>
      <c r="C87" s="1354" t="s">
        <v>1382</v>
      </c>
      <c r="D87" s="1354" t="s">
        <v>1383</v>
      </c>
      <c r="E87" s="1374">
        <v>0.2</v>
      </c>
      <c r="F87" s="1363">
        <v>30</v>
      </c>
    </row>
    <row r="88" spans="1:6" s="1304" customFormat="1" ht="36">
      <c r="A88" s="1363">
        <v>28</v>
      </c>
      <c r="B88" s="3379"/>
      <c r="C88" s="1354" t="s">
        <v>1384</v>
      </c>
      <c r="D88" s="1354" t="s">
        <v>1385</v>
      </c>
      <c r="E88" s="1374">
        <v>0.2</v>
      </c>
      <c r="F88" s="1363">
        <v>30</v>
      </c>
    </row>
    <row r="89" spans="1:6" s="1304" customFormat="1" ht="24">
      <c r="A89" s="1363">
        <v>29</v>
      </c>
      <c r="B89" s="3379"/>
      <c r="C89" s="1354" t="s">
        <v>1386</v>
      </c>
      <c r="D89" s="1354" t="s">
        <v>1387</v>
      </c>
      <c r="E89" s="1374">
        <v>0.2</v>
      </c>
      <c r="F89" s="1363">
        <v>30</v>
      </c>
    </row>
    <row r="90" spans="1:6" s="1304" customFormat="1" ht="24">
      <c r="A90" s="1363">
        <v>30</v>
      </c>
      <c r="B90" s="3379"/>
      <c r="C90" s="1354" t="s">
        <v>1388</v>
      </c>
      <c r="D90" s="1354" t="s">
        <v>1389</v>
      </c>
      <c r="E90" s="1374">
        <v>0.2</v>
      </c>
      <c r="F90" s="1363">
        <v>30</v>
      </c>
    </row>
    <row r="91" spans="1:6" s="1304" customFormat="1" ht="36">
      <c r="A91" s="1363">
        <v>31</v>
      </c>
      <c r="B91" s="3379"/>
      <c r="C91" s="1354" t="s">
        <v>1390</v>
      </c>
      <c r="D91" s="1354" t="s">
        <v>1391</v>
      </c>
      <c r="E91" s="1374">
        <v>0.2</v>
      </c>
      <c r="F91" s="1363">
        <v>30</v>
      </c>
    </row>
    <row r="92" spans="1:6" s="1304" customFormat="1" ht="24">
      <c r="A92" s="1363">
        <v>32</v>
      </c>
      <c r="B92" s="3379" t="s">
        <v>1392</v>
      </c>
      <c r="C92" s="1363" t="s">
        <v>1393</v>
      </c>
      <c r="D92" s="1354" t="s">
        <v>1394</v>
      </c>
      <c r="E92" s="1374">
        <v>0.2</v>
      </c>
      <c r="F92" s="1363">
        <v>30</v>
      </c>
    </row>
    <row r="93" spans="1:6" s="1304" customFormat="1" ht="36">
      <c r="A93" s="1363">
        <v>33</v>
      </c>
      <c r="B93" s="3379"/>
      <c r="C93" s="1363" t="s">
        <v>1395</v>
      </c>
      <c r="D93" s="1354" t="s">
        <v>1396</v>
      </c>
      <c r="E93" s="1374">
        <v>0.2</v>
      </c>
      <c r="F93" s="1363">
        <v>30</v>
      </c>
    </row>
    <row r="94" spans="1:6" s="1304" customFormat="1" ht="48">
      <c r="A94" s="1363">
        <v>34</v>
      </c>
      <c r="B94" s="3379"/>
      <c r="C94" s="1363" t="s">
        <v>1397</v>
      </c>
      <c r="D94" s="1354" t="s">
        <v>1398</v>
      </c>
      <c r="E94" s="1374">
        <v>0.2</v>
      </c>
      <c r="F94" s="1363">
        <v>30</v>
      </c>
    </row>
    <row r="95" spans="1:6" s="1304" customFormat="1" ht="36">
      <c r="A95" s="1363">
        <v>35</v>
      </c>
      <c r="B95" s="3379"/>
      <c r="C95" s="1363" t="s">
        <v>1399</v>
      </c>
      <c r="D95" s="1354" t="s">
        <v>1400</v>
      </c>
      <c r="E95" s="1374">
        <v>0.2</v>
      </c>
      <c r="F95" s="1363">
        <v>30</v>
      </c>
    </row>
    <row r="96" spans="1:6" s="1304" customFormat="1" ht="48">
      <c r="A96" s="1363">
        <v>36</v>
      </c>
      <c r="B96" s="3379"/>
      <c r="C96" s="1354" t="s">
        <v>1401</v>
      </c>
      <c r="D96" s="1354" t="s">
        <v>1402</v>
      </c>
      <c r="E96" s="1374">
        <v>0.2</v>
      </c>
      <c r="F96" s="1363">
        <v>30</v>
      </c>
    </row>
    <row r="97" spans="1:6" s="1304" customFormat="1" ht="36">
      <c r="A97" s="1363">
        <v>37</v>
      </c>
      <c r="B97" s="3379"/>
      <c r="C97" s="1363" t="s">
        <v>1403</v>
      </c>
      <c r="D97" s="1354" t="s">
        <v>1404</v>
      </c>
      <c r="E97" s="1374">
        <v>0.2</v>
      </c>
      <c r="F97" s="1363">
        <v>30</v>
      </c>
    </row>
    <row r="98" spans="1:6" s="1304" customFormat="1" ht="36">
      <c r="A98" s="1363">
        <v>38</v>
      </c>
      <c r="B98" s="3379"/>
      <c r="C98" s="1363" t="s">
        <v>1405</v>
      </c>
      <c r="D98" s="1354" t="s">
        <v>1406</v>
      </c>
      <c r="E98" s="1374">
        <v>0.2</v>
      </c>
      <c r="F98" s="1363">
        <v>30</v>
      </c>
    </row>
    <row r="99" spans="1:6" s="1304" customFormat="1" ht="36">
      <c r="A99" s="1363">
        <v>39</v>
      </c>
      <c r="B99" s="3379" t="s">
        <v>1407</v>
      </c>
      <c r="C99" s="1363" t="s">
        <v>1408</v>
      </c>
      <c r="D99" s="1354" t="s">
        <v>1409</v>
      </c>
      <c r="E99" s="1374">
        <v>0.3</v>
      </c>
      <c r="F99" s="1363">
        <v>50</v>
      </c>
    </row>
    <row r="100" spans="1:6" s="1304" customFormat="1" ht="24">
      <c r="A100" s="1363">
        <v>40</v>
      </c>
      <c r="B100" s="3379"/>
      <c r="C100" s="1363" t="s">
        <v>1410</v>
      </c>
      <c r="D100" s="1354" t="s">
        <v>1411</v>
      </c>
      <c r="E100" s="1374">
        <v>0.2</v>
      </c>
      <c r="F100" s="1363">
        <v>30</v>
      </c>
    </row>
    <row r="101" spans="1:6" s="1304" customFormat="1" ht="36">
      <c r="A101" s="1363">
        <v>41</v>
      </c>
      <c r="B101" s="3379"/>
      <c r="C101" s="1363" t="s">
        <v>1412</v>
      </c>
      <c r="D101" s="1354" t="s">
        <v>1409</v>
      </c>
      <c r="E101" s="1374">
        <v>0.2</v>
      </c>
      <c r="F101" s="1363">
        <v>30</v>
      </c>
    </row>
    <row r="102" spans="1:6" s="1304" customFormat="1" ht="48">
      <c r="A102" s="1363">
        <v>42</v>
      </c>
      <c r="B102" s="1363" t="s">
        <v>1413</v>
      </c>
      <c r="C102" s="1354" t="s">
        <v>1414</v>
      </c>
      <c r="D102" s="1354" t="s">
        <v>1415</v>
      </c>
      <c r="E102" s="1374">
        <v>0.2</v>
      </c>
      <c r="F102" s="1363">
        <v>30</v>
      </c>
    </row>
    <row r="103" spans="1:6" s="1304" customFormat="1" ht="24">
      <c r="A103" s="1363">
        <v>43</v>
      </c>
      <c r="B103" s="1363" t="s">
        <v>1416</v>
      </c>
      <c r="C103" s="1363" t="s">
        <v>1417</v>
      </c>
      <c r="D103" s="1354" t="s">
        <v>1418</v>
      </c>
      <c r="E103" s="1374">
        <v>0.2</v>
      </c>
      <c r="F103" s="1363">
        <v>30</v>
      </c>
    </row>
    <row r="104" spans="1:6" s="1304" customFormat="1" ht="36">
      <c r="A104" s="1363">
        <v>44</v>
      </c>
      <c r="B104" s="1363" t="s">
        <v>1419</v>
      </c>
      <c r="C104" s="1363" t="s">
        <v>1420</v>
      </c>
      <c r="D104" s="1354" t="s">
        <v>1421</v>
      </c>
      <c r="E104" s="1374">
        <v>0.2</v>
      </c>
      <c r="F104" s="1363">
        <v>30</v>
      </c>
    </row>
    <row r="105" spans="1:6" s="1304" customFormat="1" ht="36">
      <c r="A105" s="1363">
        <v>45</v>
      </c>
      <c r="B105" s="3379" t="s">
        <v>1422</v>
      </c>
      <c r="C105" s="1363" t="s">
        <v>1423</v>
      </c>
      <c r="D105" s="1354" t="s">
        <v>1424</v>
      </c>
      <c r="E105" s="1374">
        <v>0.2</v>
      </c>
      <c r="F105" s="1363">
        <v>30</v>
      </c>
    </row>
    <row r="106" spans="1:6" s="1304" customFormat="1" ht="36">
      <c r="A106" s="1363">
        <v>46</v>
      </c>
      <c r="B106" s="3379"/>
      <c r="C106" s="1363" t="s">
        <v>1425</v>
      </c>
      <c r="D106" s="1354" t="s">
        <v>1426</v>
      </c>
      <c r="E106" s="1374">
        <v>0.2</v>
      </c>
      <c r="F106" s="1363">
        <v>30</v>
      </c>
    </row>
    <row r="107" spans="1:6" s="1304" customFormat="1" ht="36">
      <c r="A107" s="1363">
        <v>47</v>
      </c>
      <c r="B107" s="3379" t="s">
        <v>1427</v>
      </c>
      <c r="C107" s="1363" t="s">
        <v>1428</v>
      </c>
      <c r="D107" s="1354" t="s">
        <v>1429</v>
      </c>
      <c r="E107" s="1374">
        <v>0.3</v>
      </c>
      <c r="F107" s="1363">
        <v>50</v>
      </c>
    </row>
    <row r="108" spans="1:6" s="1304" customFormat="1" ht="36">
      <c r="A108" s="1363">
        <v>48</v>
      </c>
      <c r="B108" s="3379"/>
      <c r="C108" s="1363" t="s">
        <v>1430</v>
      </c>
      <c r="D108" s="1354" t="s">
        <v>1431</v>
      </c>
      <c r="E108" s="1374">
        <v>0.2</v>
      </c>
      <c r="F108" s="1363">
        <v>30</v>
      </c>
    </row>
    <row r="109" spans="1:6" s="1304" customFormat="1" ht="36">
      <c r="A109" s="1363">
        <v>49</v>
      </c>
      <c r="B109" s="1363" t="s">
        <v>1432</v>
      </c>
      <c r="C109" s="1363" t="s">
        <v>1433</v>
      </c>
      <c r="D109" s="1354" t="s">
        <v>1434</v>
      </c>
      <c r="E109" s="1374">
        <v>0.2</v>
      </c>
      <c r="F109" s="1363">
        <v>30</v>
      </c>
    </row>
    <row r="110" spans="1:6" s="1304" customFormat="1" ht="36">
      <c r="A110" s="1363">
        <v>50</v>
      </c>
      <c r="B110" s="1363" t="s">
        <v>1435</v>
      </c>
      <c r="C110" s="1363" t="s">
        <v>1436</v>
      </c>
      <c r="D110" s="1354" t="s">
        <v>1437</v>
      </c>
      <c r="E110" s="1374">
        <v>0.2</v>
      </c>
      <c r="F110" s="1363">
        <v>30</v>
      </c>
    </row>
    <row r="111" spans="1:6" s="1304" customFormat="1" ht="36">
      <c r="A111" s="1363">
        <v>51</v>
      </c>
      <c r="B111" s="3379" t="s">
        <v>1438</v>
      </c>
      <c r="C111" s="1363" t="s">
        <v>1439</v>
      </c>
      <c r="D111" s="1354" t="s">
        <v>1440</v>
      </c>
      <c r="E111" s="1374">
        <v>0.2</v>
      </c>
      <c r="F111" s="1363">
        <v>30</v>
      </c>
    </row>
    <row r="112" spans="1:6" s="1304" customFormat="1" ht="24">
      <c r="A112" s="1363">
        <v>52</v>
      </c>
      <c r="B112" s="3379"/>
      <c r="C112" s="1363" t="s">
        <v>1441</v>
      </c>
      <c r="D112" s="1354" t="s">
        <v>1442</v>
      </c>
      <c r="E112" s="1374">
        <v>0.2</v>
      </c>
      <c r="F112" s="1363">
        <v>30</v>
      </c>
    </row>
    <row r="113" spans="1:14" s="1304" customFormat="1" ht="24">
      <c r="A113" s="1363">
        <v>53</v>
      </c>
      <c r="B113" s="3379"/>
      <c r="C113" s="1363" t="s">
        <v>1443</v>
      </c>
      <c r="D113" s="1354" t="s">
        <v>1444</v>
      </c>
      <c r="E113" s="1374">
        <v>0.2</v>
      </c>
      <c r="F113" s="1363">
        <v>30</v>
      </c>
    </row>
    <row r="114" spans="1:14" ht="36">
      <c r="A114" s="1363">
        <v>54</v>
      </c>
      <c r="B114" s="1363" t="s">
        <v>1445</v>
      </c>
      <c r="C114" s="1363" t="s">
        <v>1446</v>
      </c>
      <c r="D114" s="1354" t="s">
        <v>1447</v>
      </c>
      <c r="E114" s="1374">
        <v>0.2</v>
      </c>
      <c r="F114" s="1363">
        <v>30</v>
      </c>
    </row>
    <row r="115" spans="1:14" ht="24">
      <c r="A115" s="1363">
        <v>55</v>
      </c>
      <c r="B115" s="1363" t="s">
        <v>1448</v>
      </c>
      <c r="C115" s="1363" t="s">
        <v>1449</v>
      </c>
      <c r="D115" s="1354" t="s">
        <v>1450</v>
      </c>
      <c r="E115" s="1374">
        <v>0.2</v>
      </c>
      <c r="F115" s="1363">
        <v>30</v>
      </c>
    </row>
    <row r="116" spans="1:14" ht="24">
      <c r="A116" s="1363">
        <v>56</v>
      </c>
      <c r="B116" s="3379" t="s">
        <v>1451</v>
      </c>
      <c r="C116" s="1363" t="s">
        <v>1452</v>
      </c>
      <c r="D116" s="1354" t="s">
        <v>1453</v>
      </c>
      <c r="E116" s="1374">
        <v>0.2</v>
      </c>
      <c r="F116" s="1363">
        <v>30</v>
      </c>
    </row>
    <row r="117" spans="1:14" ht="36">
      <c r="A117" s="1363">
        <v>57</v>
      </c>
      <c r="B117" s="3379"/>
      <c r="C117" s="1363" t="s">
        <v>1454</v>
      </c>
      <c r="D117" s="1354" t="s">
        <v>1455</v>
      </c>
      <c r="E117" s="1374">
        <v>0.2</v>
      </c>
      <c r="F117" s="1363">
        <v>30</v>
      </c>
    </row>
    <row r="118" spans="1:14" ht="36">
      <c r="A118" s="1363">
        <v>58</v>
      </c>
      <c r="B118" s="1363" t="s">
        <v>1456</v>
      </c>
      <c r="C118" s="1363" t="s">
        <v>1457</v>
      </c>
      <c r="D118" s="1354" t="s">
        <v>1458</v>
      </c>
      <c r="E118" s="1374">
        <v>0.2</v>
      </c>
      <c r="F118" s="1363">
        <v>30</v>
      </c>
    </row>
    <row r="119" spans="1:14" ht="13.5">
      <c r="A119" s="1363"/>
      <c r="B119" s="1363"/>
      <c r="C119" s="1363"/>
      <c r="D119" s="1363"/>
      <c r="E119" s="1374"/>
      <c r="F119" s="1363"/>
    </row>
    <row r="121" spans="1:14" ht="19.5" customHeight="1">
      <c r="A121" s="3370" t="s">
        <v>1253</v>
      </c>
      <c r="B121" s="3370"/>
      <c r="C121" s="3370"/>
      <c r="D121" s="3370"/>
      <c r="E121" s="3370"/>
      <c r="F121" s="3370"/>
      <c r="G121" s="3370"/>
      <c r="H121" s="3370"/>
      <c r="I121" s="3370"/>
      <c r="J121" s="3370"/>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386" t="s">
        <v>1459</v>
      </c>
      <c r="B1" s="3386"/>
      <c r="C1" s="3386"/>
      <c r="D1" s="3386"/>
      <c r="E1" s="3386"/>
      <c r="F1" s="3386"/>
      <c r="H1" s="1302"/>
      <c r="I1" s="1334" t="s">
        <v>242</v>
      </c>
      <c r="J1" s="1335" t="s">
        <v>255</v>
      </c>
      <c r="K1" s="1335" t="s">
        <v>267</v>
      </c>
      <c r="L1" s="1335" t="s">
        <v>277</v>
      </c>
      <c r="M1" s="1335" t="s">
        <v>286</v>
      </c>
      <c r="N1" s="1335" t="s">
        <v>294</v>
      </c>
      <c r="O1" s="1335" t="s">
        <v>299</v>
      </c>
      <c r="P1" s="1335" t="s">
        <v>304</v>
      </c>
      <c r="Q1" s="1335" t="s">
        <v>307</v>
      </c>
      <c r="R1" s="1335" t="s">
        <v>310</v>
      </c>
      <c r="S1" s="1335" t="s">
        <v>313</v>
      </c>
      <c r="T1" s="1337" t="s">
        <v>316</v>
      </c>
    </row>
    <row r="2" spans="1:20">
      <c r="A2" s="3387" t="s">
        <v>1460</v>
      </c>
      <c r="B2" s="3387"/>
      <c r="C2" s="3387"/>
      <c r="D2" s="3387"/>
      <c r="E2" s="3387"/>
      <c r="F2" s="3387"/>
      <c r="I2" s="1336" t="s">
        <v>1461</v>
      </c>
      <c r="J2" s="1316" t="s">
        <v>1462</v>
      </c>
      <c r="K2" s="1316" t="s">
        <v>1463</v>
      </c>
      <c r="L2" s="1316" t="s">
        <v>1464</v>
      </c>
      <c r="M2" s="1316" t="s">
        <v>1465</v>
      </c>
      <c r="N2" s="1316" t="s">
        <v>1466</v>
      </c>
      <c r="O2" s="1316" t="s">
        <v>1467</v>
      </c>
      <c r="P2" s="1316" t="s">
        <v>1468</v>
      </c>
      <c r="Q2" s="1316" t="s">
        <v>1469</v>
      </c>
      <c r="R2" s="1316" t="s">
        <v>1470</v>
      </c>
      <c r="S2" s="1316" t="s">
        <v>1471</v>
      </c>
      <c r="T2" s="1316" t="s">
        <v>1472</v>
      </c>
    </row>
    <row r="3" spans="1:20" s="1302" customFormat="1" ht="19.5" customHeight="1">
      <c r="A3" s="3388" t="s">
        <v>1473</v>
      </c>
      <c r="B3" s="1306"/>
      <c r="C3" s="1307" t="s">
        <v>377</v>
      </c>
      <c r="D3" s="1307" t="s">
        <v>378</v>
      </c>
      <c r="E3" s="1307" t="s">
        <v>376</v>
      </c>
      <c r="F3" s="1307" t="s">
        <v>164</v>
      </c>
      <c r="G3" s="1308"/>
      <c r="I3" s="1336" t="s">
        <v>1474</v>
      </c>
      <c r="J3" s="1316" t="s">
        <v>1475</v>
      </c>
      <c r="K3" s="1316" t="s">
        <v>1476</v>
      </c>
      <c r="L3" s="1316" t="s">
        <v>1477</v>
      </c>
      <c r="M3" s="1316" t="s">
        <v>1478</v>
      </c>
      <c r="N3" s="1316" t="s">
        <v>1479</v>
      </c>
      <c r="O3" s="1316" t="s">
        <v>1480</v>
      </c>
      <c r="P3" s="1316" t="s">
        <v>1481</v>
      </c>
      <c r="Q3" s="1316" t="s">
        <v>1482</v>
      </c>
      <c r="R3" s="1316" t="s">
        <v>1483</v>
      </c>
      <c r="S3" s="1316" t="s">
        <v>1484</v>
      </c>
      <c r="T3" s="1316" t="s">
        <v>1485</v>
      </c>
    </row>
    <row r="4" spans="1:20" s="1302" customFormat="1" ht="19.5" customHeight="1">
      <c r="A4" s="3389"/>
      <c r="B4" s="1309" t="s">
        <v>427</v>
      </c>
      <c r="C4" s="1309" t="s">
        <v>1486</v>
      </c>
      <c r="D4" s="1309" t="s">
        <v>1486</v>
      </c>
      <c r="E4" s="1309" t="s">
        <v>1486</v>
      </c>
      <c r="F4" s="1310" t="s">
        <v>1486</v>
      </c>
      <c r="G4" s="1308"/>
      <c r="I4" s="1336" t="s">
        <v>1487</v>
      </c>
      <c r="J4" s="1316" t="s">
        <v>1488</v>
      </c>
      <c r="K4" s="1316" t="s">
        <v>1489</v>
      </c>
      <c r="L4" s="1316" t="s">
        <v>1490</v>
      </c>
      <c r="M4" s="1316" t="s">
        <v>1491</v>
      </c>
      <c r="N4" s="1316" t="s">
        <v>1492</v>
      </c>
      <c r="O4" s="1316" t="s">
        <v>1493</v>
      </c>
      <c r="P4" s="1316" t="s">
        <v>1494</v>
      </c>
      <c r="Q4" s="1316" t="s">
        <v>1495</v>
      </c>
      <c r="R4" s="1316" t="s">
        <v>1496</v>
      </c>
      <c r="S4" s="1316" t="s">
        <v>1497</v>
      </c>
      <c r="T4" s="1316" t="s">
        <v>1498</v>
      </c>
    </row>
    <row r="5" spans="1:20" ht="14.25" customHeight="1">
      <c r="A5" s="1311" t="s">
        <v>242</v>
      </c>
      <c r="B5" s="1312" t="s">
        <v>1461</v>
      </c>
      <c r="C5" s="1312">
        <v>29530</v>
      </c>
      <c r="D5" s="1312">
        <v>28130</v>
      </c>
      <c r="E5" s="1312">
        <v>27930</v>
      </c>
      <c r="F5" s="1313">
        <v>11300</v>
      </c>
      <c r="G5" s="1314" t="s">
        <v>242</v>
      </c>
      <c r="H5" s="1315">
        <f>SUMPRODUCT((B5:B9=基准地价!I2)*(C3:F3=基准地价!E2)*(C5:F9))</f>
        <v>0</v>
      </c>
      <c r="I5" s="1336" t="s">
        <v>1499</v>
      </c>
      <c r="J5" s="1316" t="s">
        <v>1500</v>
      </c>
      <c r="K5" s="1316" t="s">
        <v>1501</v>
      </c>
      <c r="L5" s="1316" t="s">
        <v>1502</v>
      </c>
      <c r="M5" s="1316" t="s">
        <v>1503</v>
      </c>
      <c r="N5" s="1316" t="s">
        <v>1504</v>
      </c>
      <c r="O5" s="1316" t="s">
        <v>1505</v>
      </c>
      <c r="P5" s="1316" t="s">
        <v>1506</v>
      </c>
      <c r="Q5" s="1316" t="s">
        <v>1507</v>
      </c>
      <c r="R5" s="1316" t="s">
        <v>1508</v>
      </c>
      <c r="S5" s="1316" t="s">
        <v>1509</v>
      </c>
      <c r="T5" s="1316" t="s">
        <v>1510</v>
      </c>
    </row>
    <row r="6" spans="1:20" ht="14.25" customHeight="1">
      <c r="A6" s="1311" t="s">
        <v>242</v>
      </c>
      <c r="B6" s="1316" t="s">
        <v>1474</v>
      </c>
      <c r="C6" s="1316">
        <v>30290</v>
      </c>
      <c r="D6" s="1316">
        <v>29210</v>
      </c>
      <c r="E6" s="1316">
        <v>28860</v>
      </c>
      <c r="F6" s="1317">
        <v>12600</v>
      </c>
      <c r="G6" s="1318" t="s">
        <v>255</v>
      </c>
      <c r="H6" s="1319">
        <f>SUMPRODUCT((B10:B28=基准地价!I2)*(C3:F3=基准地价!E2)*(C10:F28))</f>
        <v>0</v>
      </c>
      <c r="I6" s="1336" t="s">
        <v>1511</v>
      </c>
      <c r="J6" s="1316" t="s">
        <v>1512</v>
      </c>
      <c r="K6" s="1316" t="s">
        <v>1513</v>
      </c>
      <c r="L6" s="1316" t="s">
        <v>1514</v>
      </c>
      <c r="M6" s="1316" t="s">
        <v>1515</v>
      </c>
      <c r="N6" s="1316" t="s">
        <v>1516</v>
      </c>
      <c r="O6" s="1316" t="s">
        <v>1517</v>
      </c>
      <c r="P6" s="1316" t="s">
        <v>1518</v>
      </c>
      <c r="Q6" s="1316" t="s">
        <v>1519</v>
      </c>
      <c r="R6" s="1316" t="s">
        <v>1520</v>
      </c>
      <c r="S6" s="1316" t="s">
        <v>1521</v>
      </c>
      <c r="T6" s="1316" t="s">
        <v>1522</v>
      </c>
    </row>
    <row r="7" spans="1:20" ht="14.25" customHeight="1">
      <c r="A7" s="1311" t="s">
        <v>242</v>
      </c>
      <c r="B7" s="1320" t="s">
        <v>1487</v>
      </c>
      <c r="C7" s="1316">
        <v>29350</v>
      </c>
      <c r="D7" s="1316">
        <v>28410</v>
      </c>
      <c r="E7" s="1316">
        <v>27990</v>
      </c>
      <c r="F7" s="1317">
        <v>12300</v>
      </c>
      <c r="G7" s="1318" t="s">
        <v>267</v>
      </c>
      <c r="H7" s="1319">
        <f>SUMPRODUCT((B29:B48=基准地价!I2)*(C3:F3=基准地价!E2)*(C29:F48))</f>
        <v>0</v>
      </c>
      <c r="J7" s="1316" t="s">
        <v>1523</v>
      </c>
      <c r="K7" s="1316" t="s">
        <v>1524</v>
      </c>
      <c r="L7" s="1316" t="s">
        <v>1525</v>
      </c>
      <c r="M7" s="1316" t="s">
        <v>1526</v>
      </c>
      <c r="N7" s="1316" t="s">
        <v>1527</v>
      </c>
      <c r="O7" s="1316" t="s">
        <v>1528</v>
      </c>
      <c r="P7" s="1316" t="s">
        <v>1529</v>
      </c>
      <c r="Q7" s="1316" t="s">
        <v>1530</v>
      </c>
      <c r="R7" s="1316" t="s">
        <v>1531</v>
      </c>
      <c r="S7" s="1316" t="s">
        <v>1532</v>
      </c>
      <c r="T7" s="1320" t="s">
        <v>1533</v>
      </c>
    </row>
    <row r="8" spans="1:20" ht="14.25" customHeight="1">
      <c r="A8" s="1311" t="s">
        <v>242</v>
      </c>
      <c r="B8" s="1316" t="s">
        <v>1499</v>
      </c>
      <c r="C8" s="1316">
        <v>30890</v>
      </c>
      <c r="D8" s="1316">
        <v>29780</v>
      </c>
      <c r="E8" s="1316">
        <v>29270</v>
      </c>
      <c r="F8" s="1317">
        <v>11600</v>
      </c>
      <c r="G8" s="1318" t="s">
        <v>277</v>
      </c>
      <c r="H8" s="1319">
        <f>SUMPRODUCT((B49:B75=基准地价!I2)*(C3:F3=基准地价!E2)*(C49:F75))</f>
        <v>0</v>
      </c>
      <c r="J8" s="1316" t="s">
        <v>1534</v>
      </c>
      <c r="K8" s="1316" t="s">
        <v>1535</v>
      </c>
      <c r="L8" s="1316" t="s">
        <v>1536</v>
      </c>
      <c r="M8" s="1316" t="s">
        <v>1537</v>
      </c>
      <c r="N8" s="1316" t="s">
        <v>1538</v>
      </c>
      <c r="O8" s="1316" t="s">
        <v>1539</v>
      </c>
      <c r="P8" s="1316" t="s">
        <v>1540</v>
      </c>
      <c r="Q8" s="1316" t="s">
        <v>1541</v>
      </c>
      <c r="R8" s="1316" t="s">
        <v>1542</v>
      </c>
      <c r="S8" s="1316" t="s">
        <v>1543</v>
      </c>
      <c r="T8" s="1316" t="s">
        <v>1544</v>
      </c>
    </row>
    <row r="9" spans="1:20" ht="14.25" customHeight="1">
      <c r="A9" s="1311" t="s">
        <v>242</v>
      </c>
      <c r="B9" s="1321" t="s">
        <v>1511</v>
      </c>
      <c r="C9" s="1322">
        <v>28140</v>
      </c>
      <c r="D9" s="1322"/>
      <c r="E9" s="1322"/>
      <c r="F9" s="1323"/>
      <c r="G9" s="1318" t="s">
        <v>286</v>
      </c>
      <c r="H9" s="1319">
        <f>SUMPRODUCT((B76:B109=基准地价!I2)*(C3:F3=基准地价!E2)*(C76:F109))</f>
        <v>0</v>
      </c>
      <c r="J9" s="1316" t="s">
        <v>1545</v>
      </c>
      <c r="K9" s="1316" t="s">
        <v>1546</v>
      </c>
      <c r="L9" s="1316" t="s">
        <v>1547</v>
      </c>
      <c r="M9" s="1316" t="s">
        <v>1548</v>
      </c>
      <c r="N9" s="1316" t="s">
        <v>1549</v>
      </c>
      <c r="O9" s="1316" t="s">
        <v>1550</v>
      </c>
      <c r="P9" s="1316" t="s">
        <v>1551</v>
      </c>
      <c r="Q9" s="1316" t="s">
        <v>1552</v>
      </c>
      <c r="R9" s="1316" t="s">
        <v>1553</v>
      </c>
      <c r="S9" s="1316" t="s">
        <v>1554</v>
      </c>
    </row>
    <row r="10" spans="1:20" ht="14.25" customHeight="1">
      <c r="A10" s="1311" t="s">
        <v>255</v>
      </c>
      <c r="B10" s="1312" t="s">
        <v>1462</v>
      </c>
      <c r="C10" s="1312">
        <v>27450</v>
      </c>
      <c r="D10" s="1312">
        <v>26180</v>
      </c>
      <c r="E10" s="1312">
        <v>25980</v>
      </c>
      <c r="F10" s="1313">
        <v>8910</v>
      </c>
      <c r="G10" s="1318" t="s">
        <v>294</v>
      </c>
      <c r="H10" s="1319">
        <f>SUMPRODUCT((B110:B157=基准地价!I2)*(C3:F3=基准地价!E2)*(C110:F157))</f>
        <v>0</v>
      </c>
      <c r="J10" s="1316" t="s">
        <v>1555</v>
      </c>
      <c r="K10" s="1316" t="s">
        <v>1556</v>
      </c>
      <c r="L10" s="1316" t="s">
        <v>1557</v>
      </c>
      <c r="M10" s="1316" t="s">
        <v>1558</v>
      </c>
      <c r="N10" s="1316" t="s">
        <v>1559</v>
      </c>
      <c r="O10" s="1316" t="s">
        <v>1560</v>
      </c>
      <c r="P10" s="1316" t="s">
        <v>1561</v>
      </c>
      <c r="Q10" s="1316" t="s">
        <v>1562</v>
      </c>
      <c r="R10" s="1316" t="s">
        <v>1563</v>
      </c>
      <c r="S10" s="1316" t="s">
        <v>1564</v>
      </c>
    </row>
    <row r="11" spans="1:20" ht="14.25" customHeight="1">
      <c r="A11" s="1311" t="s">
        <v>255</v>
      </c>
      <c r="B11" s="1320" t="s">
        <v>1475</v>
      </c>
      <c r="C11" s="1316">
        <v>22950</v>
      </c>
      <c r="D11" s="1316">
        <v>22630</v>
      </c>
      <c r="E11" s="1316">
        <v>22030</v>
      </c>
      <c r="F11" s="1324">
        <v>8330</v>
      </c>
      <c r="G11" s="1318" t="s">
        <v>299</v>
      </c>
      <c r="H11" s="1319">
        <f>SUMPRODUCT((B158:B205=基准地价!I2)*(C3:F3=基准地价!E2)*(C158:F205))</f>
        <v>0</v>
      </c>
      <c r="J11" s="1316" t="s">
        <v>1565</v>
      </c>
      <c r="K11" s="1316" t="s">
        <v>1566</v>
      </c>
      <c r="L11" s="1316" t="s">
        <v>1567</v>
      </c>
      <c r="M11" s="1316" t="s">
        <v>1568</v>
      </c>
      <c r="N11" s="1316" t="s">
        <v>1569</v>
      </c>
      <c r="O11" s="1316" t="s">
        <v>1570</v>
      </c>
      <c r="P11" s="1316" t="s">
        <v>1571</v>
      </c>
      <c r="Q11" s="1316" t="s">
        <v>1572</v>
      </c>
      <c r="R11" s="1316" t="s">
        <v>1573</v>
      </c>
      <c r="S11" s="1316" t="s">
        <v>1574</v>
      </c>
    </row>
    <row r="12" spans="1:20" ht="14.25" customHeight="1">
      <c r="A12" s="1311" t="s">
        <v>255</v>
      </c>
      <c r="B12" s="1320" t="s">
        <v>1488</v>
      </c>
      <c r="C12" s="1316">
        <v>24940</v>
      </c>
      <c r="D12" s="1316">
        <v>23180</v>
      </c>
      <c r="E12" s="1316">
        <v>22910</v>
      </c>
      <c r="F12" s="1324">
        <v>7180</v>
      </c>
      <c r="G12" s="1318" t="s">
        <v>304</v>
      </c>
      <c r="H12" s="1319">
        <f>SUMPRODUCT((B206:B244=基准地价!I2)*(C3:F3=基准地价!E2)*(C206:F244))</f>
        <v>0</v>
      </c>
      <c r="J12" s="1316" t="s">
        <v>1575</v>
      </c>
      <c r="K12" s="1316" t="s">
        <v>1576</v>
      </c>
      <c r="L12" s="1316" t="s">
        <v>1577</v>
      </c>
      <c r="M12" s="1316" t="s">
        <v>1578</v>
      </c>
      <c r="N12" s="1316" t="s">
        <v>1579</v>
      </c>
      <c r="O12" s="1316" t="s">
        <v>1580</v>
      </c>
      <c r="P12" s="1316" t="s">
        <v>1581</v>
      </c>
      <c r="Q12" s="1316" t="s">
        <v>1582</v>
      </c>
      <c r="R12" s="1316" t="s">
        <v>1583</v>
      </c>
      <c r="S12" s="1316" t="s">
        <v>1584</v>
      </c>
    </row>
    <row r="13" spans="1:20" ht="14.25" customHeight="1">
      <c r="A13" s="1311" t="s">
        <v>255</v>
      </c>
      <c r="B13" s="1320" t="s">
        <v>1500</v>
      </c>
      <c r="C13" s="1316">
        <v>24140</v>
      </c>
      <c r="D13" s="1316">
        <v>22270</v>
      </c>
      <c r="E13" s="1316">
        <v>21950</v>
      </c>
      <c r="F13" s="1324">
        <v>7600</v>
      </c>
      <c r="G13" s="1318" t="s">
        <v>307</v>
      </c>
      <c r="H13" s="1319">
        <f>SUMPRODUCT((B245:B289=基准地价!I2)*(C3:F3=基准地价!E2)*(C245:F289))</f>
        <v>0</v>
      </c>
      <c r="J13" s="1316" t="s">
        <v>1585</v>
      </c>
      <c r="K13" s="1316" t="s">
        <v>1586</v>
      </c>
      <c r="L13" s="1316" t="s">
        <v>1587</v>
      </c>
      <c r="M13" s="1316" t="s">
        <v>1588</v>
      </c>
      <c r="N13" s="1316" t="s">
        <v>1589</v>
      </c>
      <c r="O13" s="1316" t="s">
        <v>1590</v>
      </c>
      <c r="P13" s="1316" t="s">
        <v>1591</v>
      </c>
      <c r="Q13" s="1316" t="s">
        <v>1592</v>
      </c>
      <c r="R13" s="1316" t="s">
        <v>1593</v>
      </c>
      <c r="S13" s="1316" t="s">
        <v>1594</v>
      </c>
    </row>
    <row r="14" spans="1:20" ht="14.25" customHeight="1">
      <c r="A14" s="1311" t="s">
        <v>255</v>
      </c>
      <c r="B14" s="1320" t="s">
        <v>1512</v>
      </c>
      <c r="C14" s="1316">
        <v>25600</v>
      </c>
      <c r="D14" s="1316">
        <v>22260</v>
      </c>
      <c r="E14" s="1316">
        <v>22110</v>
      </c>
      <c r="F14" s="1324">
        <v>7630</v>
      </c>
      <c r="G14" s="1318" t="s">
        <v>310</v>
      </c>
      <c r="H14" s="1319">
        <f>SUMPRODUCT((B290:B316=基准地价!I2)*(C3:F3=基准地价!E2)*(C290:F316))</f>
        <v>0</v>
      </c>
      <c r="J14" s="1316" t="s">
        <v>1595</v>
      </c>
      <c r="K14" s="1316" t="s">
        <v>1596</v>
      </c>
      <c r="L14" s="1316" t="s">
        <v>1597</v>
      </c>
      <c r="M14" s="1316" t="s">
        <v>1598</v>
      </c>
      <c r="N14" s="1316" t="s">
        <v>1599</v>
      </c>
      <c r="O14" s="1316" t="s">
        <v>1600</v>
      </c>
      <c r="P14" s="1316" t="s">
        <v>1601</v>
      </c>
      <c r="Q14" s="1316" t="s">
        <v>1602</v>
      </c>
      <c r="R14" s="1316" t="s">
        <v>1603</v>
      </c>
      <c r="S14" s="1316" t="s">
        <v>1604</v>
      </c>
    </row>
    <row r="15" spans="1:20" ht="14.25" customHeight="1">
      <c r="A15" s="1311" t="s">
        <v>255</v>
      </c>
      <c r="B15" s="1320" t="s">
        <v>1523</v>
      </c>
      <c r="C15" s="1316">
        <v>24760</v>
      </c>
      <c r="D15" s="1316">
        <v>24440</v>
      </c>
      <c r="E15" s="1316">
        <v>24130</v>
      </c>
      <c r="F15" s="1324">
        <v>9480</v>
      </c>
      <c r="G15" s="1318" t="s">
        <v>313</v>
      </c>
      <c r="H15" s="1319">
        <f>SUMPRODUCT((B317:B337=基准地价!I2)*(C3:F3=基准地价!E2)*(C317:F337))</f>
        <v>0</v>
      </c>
      <c r="J15" s="1316" t="s">
        <v>1605</v>
      </c>
      <c r="K15" s="1316" t="s">
        <v>1606</v>
      </c>
      <c r="L15" s="1316" t="s">
        <v>1607</v>
      </c>
      <c r="M15" s="1316" t="s">
        <v>1608</v>
      </c>
      <c r="N15" s="1316" t="s">
        <v>1609</v>
      </c>
      <c r="O15" s="1316" t="s">
        <v>1610</v>
      </c>
      <c r="P15" s="1316" t="s">
        <v>1611</v>
      </c>
      <c r="Q15" s="1316" t="s">
        <v>1612</v>
      </c>
      <c r="R15" s="1316" t="s">
        <v>1613</v>
      </c>
      <c r="S15" s="1316" t="s">
        <v>1614</v>
      </c>
    </row>
    <row r="16" spans="1:20" ht="14.25" customHeight="1">
      <c r="A16" s="1311" t="s">
        <v>255</v>
      </c>
      <c r="B16" s="1320" t="s">
        <v>1534</v>
      </c>
      <c r="C16" s="1316">
        <v>22220</v>
      </c>
      <c r="D16" s="1316">
        <v>22310</v>
      </c>
      <c r="E16" s="1316">
        <v>22000</v>
      </c>
      <c r="F16" s="1324">
        <v>8900</v>
      </c>
      <c r="G16" s="1325" t="s">
        <v>316</v>
      </c>
      <c r="H16" s="1326">
        <f>SUMPRODUCT((B338:B344=基准地价!I2)*(C3:F3=基准地价!E2)*(C338:F344))</f>
        <v>0</v>
      </c>
      <c r="J16" s="1316" t="s">
        <v>1615</v>
      </c>
      <c r="K16" s="1316" t="s">
        <v>1616</v>
      </c>
      <c r="L16" s="1316" t="s">
        <v>1617</v>
      </c>
      <c r="M16" s="1316" t="s">
        <v>1618</v>
      </c>
      <c r="N16" s="1316" t="s">
        <v>1619</v>
      </c>
      <c r="O16" s="1316" t="s">
        <v>1620</v>
      </c>
      <c r="P16" s="1316" t="s">
        <v>1621</v>
      </c>
      <c r="Q16" s="1316" t="s">
        <v>1622</v>
      </c>
      <c r="R16" s="1316" t="s">
        <v>1623</v>
      </c>
      <c r="S16" s="1316" t="s">
        <v>1624</v>
      </c>
    </row>
    <row r="17" spans="1:19" ht="14.25" customHeight="1">
      <c r="A17" s="1311" t="s">
        <v>255</v>
      </c>
      <c r="B17" s="1320" t="s">
        <v>1545</v>
      </c>
      <c r="C17" s="1316">
        <v>24700</v>
      </c>
      <c r="D17" s="1316">
        <v>25150</v>
      </c>
      <c r="E17" s="1316">
        <v>24700</v>
      </c>
      <c r="F17" s="1327"/>
      <c r="H17" s="1328"/>
      <c r="J17" s="1316" t="s">
        <v>1625</v>
      </c>
      <c r="K17" s="1316" t="s">
        <v>1626</v>
      </c>
      <c r="L17" s="1316" t="s">
        <v>1627</v>
      </c>
      <c r="M17" s="1316" t="s">
        <v>1628</v>
      </c>
      <c r="N17" s="1316" t="s">
        <v>1629</v>
      </c>
      <c r="O17" s="1316" t="s">
        <v>1630</v>
      </c>
      <c r="P17" s="1316" t="s">
        <v>1631</v>
      </c>
      <c r="Q17" s="1316" t="s">
        <v>1632</v>
      </c>
      <c r="R17" s="1316" t="s">
        <v>1633</v>
      </c>
      <c r="S17" s="1316" t="s">
        <v>1634</v>
      </c>
    </row>
    <row r="18" spans="1:19" ht="14.25" customHeight="1">
      <c r="A18" s="1311" t="s">
        <v>255</v>
      </c>
      <c r="B18" s="1320" t="s">
        <v>1555</v>
      </c>
      <c r="C18" s="1316">
        <v>22350</v>
      </c>
      <c r="D18" s="1316">
        <v>24340</v>
      </c>
      <c r="E18" s="1316">
        <v>24100</v>
      </c>
      <c r="F18" s="1327"/>
      <c r="H18" s="1328"/>
      <c r="J18" s="1316" t="s">
        <v>1635</v>
      </c>
      <c r="K18" s="1316" t="s">
        <v>1636</v>
      </c>
      <c r="L18" s="1316" t="s">
        <v>1637</v>
      </c>
      <c r="M18" s="1316" t="s">
        <v>1638</v>
      </c>
      <c r="N18" s="1316" t="s">
        <v>1639</v>
      </c>
      <c r="O18" s="1316" t="s">
        <v>1640</v>
      </c>
      <c r="P18" s="1316" t="s">
        <v>1641</v>
      </c>
      <c r="Q18" s="1316" t="s">
        <v>1642</v>
      </c>
      <c r="R18" s="1316" t="s">
        <v>1643</v>
      </c>
      <c r="S18" s="1316" t="s">
        <v>1644</v>
      </c>
    </row>
    <row r="19" spans="1:19" ht="14.25" customHeight="1">
      <c r="A19" s="1311" t="s">
        <v>255</v>
      </c>
      <c r="B19" s="1320" t="s">
        <v>1565</v>
      </c>
      <c r="C19" s="1316">
        <v>23430</v>
      </c>
      <c r="D19" s="1316">
        <v>21580</v>
      </c>
      <c r="E19" s="1316">
        <v>21350</v>
      </c>
      <c r="F19" s="1327"/>
      <c r="H19" s="1328"/>
      <c r="J19" s="1316" t="s">
        <v>1645</v>
      </c>
      <c r="K19" s="1316" t="s">
        <v>1646</v>
      </c>
      <c r="L19" s="1316" t="s">
        <v>1647</v>
      </c>
      <c r="M19" s="1316" t="s">
        <v>1648</v>
      </c>
      <c r="N19" s="1316" t="s">
        <v>1649</v>
      </c>
      <c r="O19" s="1316" t="s">
        <v>1650</v>
      </c>
      <c r="P19" s="1316" t="s">
        <v>1651</v>
      </c>
      <c r="Q19" s="1316" t="s">
        <v>1652</v>
      </c>
      <c r="R19" s="1316" t="s">
        <v>1653</v>
      </c>
      <c r="S19" s="1316" t="s">
        <v>1654</v>
      </c>
    </row>
    <row r="20" spans="1:19" ht="14.25" customHeight="1">
      <c r="A20" s="1311" t="s">
        <v>255</v>
      </c>
      <c r="B20" s="1320" t="s">
        <v>1575</v>
      </c>
      <c r="C20" s="1316">
        <v>27660</v>
      </c>
      <c r="D20" s="1316">
        <v>24240</v>
      </c>
      <c r="E20" s="1316">
        <v>24020</v>
      </c>
      <c r="F20" s="1327"/>
      <c r="J20" s="1316" t="s">
        <v>1655</v>
      </c>
      <c r="K20" s="1316" t="s">
        <v>1656</v>
      </c>
      <c r="L20" s="1316" t="s">
        <v>1657</v>
      </c>
      <c r="M20" s="1316" t="s">
        <v>1658</v>
      </c>
      <c r="N20" s="1316" t="s">
        <v>1659</v>
      </c>
      <c r="O20" s="1316" t="s">
        <v>1660</v>
      </c>
      <c r="P20" s="1316" t="s">
        <v>1661</v>
      </c>
      <c r="Q20" s="1316" t="s">
        <v>1662</v>
      </c>
      <c r="R20" s="1316" t="s">
        <v>1663</v>
      </c>
      <c r="S20" s="1316" t="s">
        <v>1664</v>
      </c>
    </row>
    <row r="21" spans="1:19" ht="14.25" customHeight="1">
      <c r="A21" s="1311" t="s">
        <v>255</v>
      </c>
      <c r="B21" s="1320" t="s">
        <v>1585</v>
      </c>
      <c r="C21" s="1316">
        <v>24720</v>
      </c>
      <c r="D21" s="1316">
        <v>21670</v>
      </c>
      <c r="E21" s="1316">
        <v>21510</v>
      </c>
      <c r="F21" s="1327"/>
      <c r="K21" s="1316" t="s">
        <v>1665</v>
      </c>
      <c r="L21" s="1316" t="s">
        <v>1666</v>
      </c>
      <c r="M21" s="1316" t="s">
        <v>1667</v>
      </c>
      <c r="N21" s="1316" t="s">
        <v>1668</v>
      </c>
      <c r="O21" s="1316" t="s">
        <v>1669</v>
      </c>
      <c r="P21" s="1316" t="s">
        <v>1670</v>
      </c>
      <c r="Q21" s="1316" t="s">
        <v>1671</v>
      </c>
      <c r="R21" s="1316" t="s">
        <v>1672</v>
      </c>
      <c r="S21" s="1316" t="s">
        <v>1673</v>
      </c>
    </row>
    <row r="22" spans="1:19" ht="14.25" customHeight="1">
      <c r="A22" s="1311" t="s">
        <v>255</v>
      </c>
      <c r="B22" s="1320" t="s">
        <v>1595</v>
      </c>
      <c r="C22" s="1316">
        <v>26530</v>
      </c>
      <c r="D22" s="1316">
        <v>22980</v>
      </c>
      <c r="E22" s="1316">
        <v>22650</v>
      </c>
      <c r="F22" s="1327"/>
      <c r="L22" s="1316" t="s">
        <v>1674</v>
      </c>
      <c r="M22" s="1316" t="s">
        <v>1675</v>
      </c>
      <c r="N22" s="1316" t="s">
        <v>1676</v>
      </c>
      <c r="O22" s="1316" t="s">
        <v>1677</v>
      </c>
      <c r="P22" s="1316" t="s">
        <v>1678</v>
      </c>
      <c r="Q22" s="1316" t="s">
        <v>1679</v>
      </c>
      <c r="R22" s="1316" t="s">
        <v>1680</v>
      </c>
      <c r="S22" s="1320" t="s">
        <v>1681</v>
      </c>
    </row>
    <row r="23" spans="1:19" ht="14.25" customHeight="1">
      <c r="A23" s="1311" t="s">
        <v>255</v>
      </c>
      <c r="B23" s="1320" t="s">
        <v>1605</v>
      </c>
      <c r="C23" s="1316">
        <v>24700</v>
      </c>
      <c r="D23" s="1316">
        <v>27290</v>
      </c>
      <c r="E23" s="1316">
        <v>26710</v>
      </c>
      <c r="F23" s="1327"/>
      <c r="L23" s="1316" t="s">
        <v>1682</v>
      </c>
      <c r="M23" s="1316" t="s">
        <v>1683</v>
      </c>
      <c r="N23" s="1316" t="s">
        <v>1684</v>
      </c>
      <c r="O23" s="1316" t="s">
        <v>1685</v>
      </c>
      <c r="P23" s="1316" t="s">
        <v>1686</v>
      </c>
      <c r="Q23" s="1316" t="s">
        <v>1687</v>
      </c>
      <c r="R23" s="1316" t="s">
        <v>1688</v>
      </c>
    </row>
    <row r="24" spans="1:19" ht="14.25" customHeight="1">
      <c r="A24" s="1311" t="s">
        <v>255</v>
      </c>
      <c r="B24" s="1320" t="s">
        <v>1615</v>
      </c>
      <c r="C24" s="1316">
        <v>23070</v>
      </c>
      <c r="D24" s="1316">
        <v>24130</v>
      </c>
      <c r="E24" s="1316">
        <v>23860</v>
      </c>
      <c r="F24" s="1327"/>
      <c r="L24" s="1316" t="s">
        <v>1689</v>
      </c>
      <c r="M24" s="1316" t="s">
        <v>1690</v>
      </c>
      <c r="N24" s="1316" t="s">
        <v>1691</v>
      </c>
      <c r="O24" s="1316" t="s">
        <v>1692</v>
      </c>
      <c r="P24" s="1316" t="s">
        <v>1693</v>
      </c>
      <c r="Q24" s="1316" t="s">
        <v>1694</v>
      </c>
      <c r="R24" s="1316" t="s">
        <v>1695</v>
      </c>
    </row>
    <row r="25" spans="1:19" ht="14.25" customHeight="1">
      <c r="A25" s="1311" t="s">
        <v>255</v>
      </c>
      <c r="B25" s="1320" t="s">
        <v>1625</v>
      </c>
      <c r="C25" s="1316">
        <v>27550</v>
      </c>
      <c r="D25" s="1316">
        <v>25850</v>
      </c>
      <c r="E25" s="1316">
        <v>25340</v>
      </c>
      <c r="F25" s="1327"/>
      <c r="L25" s="1316" t="s">
        <v>1696</v>
      </c>
      <c r="M25" s="1316" t="s">
        <v>1697</v>
      </c>
      <c r="N25" s="1316" t="s">
        <v>1698</v>
      </c>
      <c r="O25" s="1316" t="s">
        <v>1699</v>
      </c>
      <c r="P25" s="1316" t="s">
        <v>1700</v>
      </c>
      <c r="Q25" s="1316" t="s">
        <v>1701</v>
      </c>
      <c r="R25" s="1316" t="s">
        <v>1702</v>
      </c>
    </row>
    <row r="26" spans="1:19" ht="14.25" customHeight="1">
      <c r="A26" s="1311" t="s">
        <v>255</v>
      </c>
      <c r="B26" s="1320" t="s">
        <v>1635</v>
      </c>
      <c r="C26" s="1316"/>
      <c r="D26" s="1316">
        <v>23900</v>
      </c>
      <c r="E26" s="1316">
        <v>23590</v>
      </c>
      <c r="F26" s="1327"/>
      <c r="L26" s="1316" t="s">
        <v>1703</v>
      </c>
      <c r="M26" s="1316" t="s">
        <v>1704</v>
      </c>
      <c r="N26" s="1316" t="s">
        <v>1705</v>
      </c>
      <c r="O26" s="1316" t="s">
        <v>1706</v>
      </c>
      <c r="P26" s="1316" t="s">
        <v>1707</v>
      </c>
      <c r="Q26" s="1316" t="s">
        <v>1708</v>
      </c>
      <c r="R26" s="1316" t="s">
        <v>1709</v>
      </c>
    </row>
    <row r="27" spans="1:19" ht="14.25" customHeight="1">
      <c r="A27" s="1311" t="s">
        <v>255</v>
      </c>
      <c r="B27" s="1320" t="s">
        <v>1645</v>
      </c>
      <c r="C27" s="1316"/>
      <c r="D27" s="1316">
        <v>22850</v>
      </c>
      <c r="E27" s="1316">
        <v>21920</v>
      </c>
      <c r="F27" s="1327"/>
      <c r="L27" s="1316" t="s">
        <v>1710</v>
      </c>
      <c r="M27" s="1316" t="s">
        <v>1711</v>
      </c>
      <c r="N27" s="1316" t="s">
        <v>1712</v>
      </c>
      <c r="O27" s="1316" t="s">
        <v>1713</v>
      </c>
      <c r="P27" s="1316" t="s">
        <v>1714</v>
      </c>
      <c r="Q27" s="1316" t="s">
        <v>1715</v>
      </c>
      <c r="R27" s="1316" t="s">
        <v>1716</v>
      </c>
    </row>
    <row r="28" spans="1:19" ht="14.25" customHeight="1">
      <c r="A28" s="1329" t="s">
        <v>255</v>
      </c>
      <c r="B28" s="1321" t="s">
        <v>1655</v>
      </c>
      <c r="C28" s="1322"/>
      <c r="D28" s="1322">
        <v>26610</v>
      </c>
      <c r="E28" s="1322">
        <v>26370</v>
      </c>
      <c r="F28" s="1323"/>
      <c r="L28" s="1316" t="s">
        <v>1717</v>
      </c>
      <c r="M28" s="1316" t="s">
        <v>1718</v>
      </c>
      <c r="N28" s="1316" t="s">
        <v>1719</v>
      </c>
      <c r="O28" s="1316" t="s">
        <v>1720</v>
      </c>
      <c r="P28" s="1316" t="s">
        <v>1721</v>
      </c>
      <c r="Q28" s="1316" t="s">
        <v>1722</v>
      </c>
    </row>
    <row r="29" spans="1:19" ht="14.25" customHeight="1">
      <c r="A29" s="1311" t="s">
        <v>267</v>
      </c>
      <c r="B29" s="1312" t="s">
        <v>1463</v>
      </c>
      <c r="C29" s="1312">
        <v>22090</v>
      </c>
      <c r="D29" s="1312">
        <v>21860</v>
      </c>
      <c r="E29" s="1312">
        <v>19380</v>
      </c>
      <c r="F29" s="1313">
        <v>6610</v>
      </c>
      <c r="M29" s="1316" t="s">
        <v>1723</v>
      </c>
      <c r="N29" s="1316" t="s">
        <v>1724</v>
      </c>
      <c r="O29" s="1316" t="s">
        <v>1725</v>
      </c>
      <c r="P29" s="1316" t="s">
        <v>1726</v>
      </c>
      <c r="Q29" s="1316" t="s">
        <v>1727</v>
      </c>
    </row>
    <row r="30" spans="1:19" ht="14.25" customHeight="1">
      <c r="A30" s="1311" t="s">
        <v>267</v>
      </c>
      <c r="B30" s="1320" t="s">
        <v>1476</v>
      </c>
      <c r="C30" s="1316">
        <v>21380</v>
      </c>
      <c r="D30" s="1316">
        <v>19930</v>
      </c>
      <c r="E30" s="1316">
        <v>19860</v>
      </c>
      <c r="F30" s="1324">
        <v>6010</v>
      </c>
      <c r="H30" s="1328"/>
      <c r="M30" s="1316" t="s">
        <v>1728</v>
      </c>
      <c r="N30" s="1316" t="s">
        <v>1729</v>
      </c>
      <c r="O30" s="1316" t="s">
        <v>1730</v>
      </c>
      <c r="P30" s="1316" t="s">
        <v>1731</v>
      </c>
      <c r="Q30" s="1316" t="s">
        <v>1732</v>
      </c>
    </row>
    <row r="31" spans="1:19" ht="14.25" customHeight="1">
      <c r="A31" s="1311" t="s">
        <v>267</v>
      </c>
      <c r="B31" s="1320" t="s">
        <v>1489</v>
      </c>
      <c r="C31" s="1316">
        <v>21670</v>
      </c>
      <c r="D31" s="1316">
        <v>20660</v>
      </c>
      <c r="E31" s="1316">
        <v>20290</v>
      </c>
      <c r="F31" s="1324">
        <v>5840</v>
      </c>
      <c r="H31" s="1328"/>
      <c r="M31" s="1316" t="s">
        <v>1733</v>
      </c>
      <c r="N31" s="1316" t="s">
        <v>1734</v>
      </c>
      <c r="O31" s="1316" t="s">
        <v>1735</v>
      </c>
      <c r="P31" s="1316" t="s">
        <v>1736</v>
      </c>
      <c r="Q31" s="1316" t="s">
        <v>1737</v>
      </c>
    </row>
    <row r="32" spans="1:19" ht="14.25" customHeight="1">
      <c r="A32" s="1311" t="s">
        <v>267</v>
      </c>
      <c r="B32" s="1320" t="s">
        <v>1501</v>
      </c>
      <c r="C32" s="1316">
        <v>22280</v>
      </c>
      <c r="D32" s="1316">
        <v>21800</v>
      </c>
      <c r="E32" s="1316">
        <v>17650</v>
      </c>
      <c r="F32" s="1324">
        <v>4690</v>
      </c>
      <c r="H32" s="1328"/>
      <c r="M32" s="1316" t="s">
        <v>1738</v>
      </c>
      <c r="N32" s="1316" t="s">
        <v>1739</v>
      </c>
      <c r="O32" s="1316" t="s">
        <v>1740</v>
      </c>
      <c r="P32" s="1316" t="s">
        <v>1741</v>
      </c>
      <c r="Q32" s="1316" t="s">
        <v>1742</v>
      </c>
    </row>
    <row r="33" spans="1:17" ht="14.25" customHeight="1">
      <c r="A33" s="1311" t="s">
        <v>267</v>
      </c>
      <c r="B33" s="1320" t="s">
        <v>1513</v>
      </c>
      <c r="C33" s="1316">
        <v>22130</v>
      </c>
      <c r="D33" s="1316">
        <v>20460</v>
      </c>
      <c r="E33" s="1316">
        <v>18500</v>
      </c>
      <c r="F33" s="1324">
        <v>5340</v>
      </c>
      <c r="H33" s="1328"/>
      <c r="M33" s="1316" t="s">
        <v>1743</v>
      </c>
      <c r="N33" s="1316" t="s">
        <v>1744</v>
      </c>
      <c r="O33" s="1316" t="s">
        <v>1745</v>
      </c>
      <c r="P33" s="1316" t="s">
        <v>1746</v>
      </c>
      <c r="Q33" s="1316" t="s">
        <v>1747</v>
      </c>
    </row>
    <row r="34" spans="1:17" ht="14.25" customHeight="1">
      <c r="A34" s="1311" t="s">
        <v>267</v>
      </c>
      <c r="B34" s="1320" t="s">
        <v>1524</v>
      </c>
      <c r="C34" s="1316">
        <v>22070</v>
      </c>
      <c r="D34" s="1316">
        <v>20110</v>
      </c>
      <c r="E34" s="1316">
        <v>18830</v>
      </c>
      <c r="F34" s="1324">
        <v>5190</v>
      </c>
      <c r="H34" s="1328"/>
      <c r="M34" s="1316" t="s">
        <v>1748</v>
      </c>
      <c r="N34" s="1316" t="s">
        <v>1749</v>
      </c>
      <c r="O34" s="1316" t="s">
        <v>1750</v>
      </c>
      <c r="P34" s="1316" t="s">
        <v>1751</v>
      </c>
      <c r="Q34" s="1316" t="s">
        <v>1752</v>
      </c>
    </row>
    <row r="35" spans="1:17" ht="14.25" customHeight="1">
      <c r="A35" s="1311" t="s">
        <v>267</v>
      </c>
      <c r="B35" s="1320" t="s">
        <v>1535</v>
      </c>
      <c r="C35" s="1316">
        <v>22240</v>
      </c>
      <c r="D35" s="1316">
        <v>19550</v>
      </c>
      <c r="E35" s="1316">
        <v>19220</v>
      </c>
      <c r="F35" s="1324">
        <v>5800</v>
      </c>
      <c r="H35" s="1328"/>
      <c r="M35" s="1316" t="s">
        <v>1753</v>
      </c>
      <c r="N35" s="1316" t="s">
        <v>1754</v>
      </c>
      <c r="O35" s="1316" t="s">
        <v>1755</v>
      </c>
      <c r="P35" s="1316" t="s">
        <v>1756</v>
      </c>
      <c r="Q35" s="1316" t="s">
        <v>1757</v>
      </c>
    </row>
    <row r="36" spans="1:17" ht="14.25" customHeight="1">
      <c r="A36" s="1311" t="s">
        <v>267</v>
      </c>
      <c r="B36" s="1320" t="s">
        <v>1546</v>
      </c>
      <c r="C36" s="1316">
        <v>19750</v>
      </c>
      <c r="D36" s="1316">
        <v>19790</v>
      </c>
      <c r="E36" s="1316">
        <v>18510</v>
      </c>
      <c r="F36" s="1324">
        <v>6520</v>
      </c>
      <c r="H36" s="1328"/>
      <c r="N36" s="1316" t="s">
        <v>1758</v>
      </c>
      <c r="O36" s="1316" t="s">
        <v>1759</v>
      </c>
      <c r="P36" s="1316" t="s">
        <v>1760</v>
      </c>
      <c r="Q36" s="1316" t="s">
        <v>1761</v>
      </c>
    </row>
    <row r="37" spans="1:17" ht="14.25" customHeight="1">
      <c r="A37" s="1311" t="s">
        <v>267</v>
      </c>
      <c r="B37" s="1320" t="s">
        <v>1556</v>
      </c>
      <c r="C37" s="1316">
        <v>22380</v>
      </c>
      <c r="D37" s="1316">
        <v>18530</v>
      </c>
      <c r="E37" s="1316">
        <v>17930</v>
      </c>
      <c r="F37" s="1324">
        <v>6270</v>
      </c>
      <c r="H37" s="1330"/>
      <c r="N37" s="1316" t="s">
        <v>1762</v>
      </c>
      <c r="O37" s="1316" t="s">
        <v>1763</v>
      </c>
      <c r="P37" s="1316" t="s">
        <v>1764</v>
      </c>
      <c r="Q37" s="1316" t="s">
        <v>1765</v>
      </c>
    </row>
    <row r="38" spans="1:17" ht="14.25" customHeight="1">
      <c r="A38" s="1311" t="s">
        <v>267</v>
      </c>
      <c r="B38" s="1320" t="s">
        <v>1566</v>
      </c>
      <c r="C38" s="1316">
        <v>20200</v>
      </c>
      <c r="D38" s="1316">
        <v>20070</v>
      </c>
      <c r="E38" s="1316">
        <v>19950</v>
      </c>
      <c r="F38" s="1324"/>
      <c r="H38" s="1331"/>
      <c r="N38" s="1316" t="s">
        <v>1766</v>
      </c>
      <c r="O38" s="1316" t="s">
        <v>1767</v>
      </c>
      <c r="P38" s="1316" t="s">
        <v>1768</v>
      </c>
      <c r="Q38" s="1316" t="s">
        <v>1769</v>
      </c>
    </row>
    <row r="39" spans="1:17" ht="14.25" customHeight="1">
      <c r="A39" s="1311" t="s">
        <v>267</v>
      </c>
      <c r="B39" s="1320" t="s">
        <v>1576</v>
      </c>
      <c r="C39" s="1316">
        <v>19300</v>
      </c>
      <c r="D39" s="1316">
        <v>20360</v>
      </c>
      <c r="E39" s="1316">
        <v>20230</v>
      </c>
      <c r="F39" s="1324"/>
      <c r="H39" s="1331"/>
      <c r="N39" s="1316" t="s">
        <v>1770</v>
      </c>
      <c r="O39" s="1316" t="s">
        <v>1771</v>
      </c>
      <c r="P39" s="1316" t="s">
        <v>1772</v>
      </c>
      <c r="Q39" s="1316" t="s">
        <v>1773</v>
      </c>
    </row>
    <row r="40" spans="1:17" ht="14.25" customHeight="1">
      <c r="A40" s="1311" t="s">
        <v>267</v>
      </c>
      <c r="B40" s="1320" t="s">
        <v>1586</v>
      </c>
      <c r="C40" s="1316">
        <v>20210</v>
      </c>
      <c r="D40" s="1316">
        <v>19060</v>
      </c>
      <c r="E40" s="1316">
        <v>18890</v>
      </c>
      <c r="F40" s="1324"/>
      <c r="H40" s="1331"/>
      <c r="N40" s="1316" t="s">
        <v>1774</v>
      </c>
      <c r="O40" s="1316" t="s">
        <v>1775</v>
      </c>
      <c r="P40" s="1316" t="s">
        <v>1776</v>
      </c>
      <c r="Q40" s="1316" t="s">
        <v>1777</v>
      </c>
    </row>
    <row r="41" spans="1:17" ht="14.25" customHeight="1">
      <c r="A41" s="1311" t="s">
        <v>267</v>
      </c>
      <c r="B41" s="1320" t="s">
        <v>1596</v>
      </c>
      <c r="C41" s="1316">
        <v>20560</v>
      </c>
      <c r="D41" s="1316">
        <v>21040</v>
      </c>
      <c r="E41" s="1316">
        <v>20740</v>
      </c>
      <c r="F41" s="1324"/>
      <c r="H41" s="1331"/>
      <c r="N41" s="1320" t="s">
        <v>1778</v>
      </c>
      <c r="O41" s="1320" t="s">
        <v>1779</v>
      </c>
      <c r="Q41" s="1320" t="s">
        <v>1780</v>
      </c>
    </row>
    <row r="42" spans="1:17" ht="14.25" customHeight="1">
      <c r="A42" s="1311" t="s">
        <v>267</v>
      </c>
      <c r="B42" s="1320" t="s">
        <v>1606</v>
      </c>
      <c r="C42" s="1316">
        <v>19280</v>
      </c>
      <c r="D42" s="1316">
        <v>22940</v>
      </c>
      <c r="E42" s="1316">
        <v>22500</v>
      </c>
      <c r="F42" s="1324"/>
      <c r="H42" s="1331"/>
      <c r="N42" s="1316" t="s">
        <v>1781</v>
      </c>
      <c r="O42" s="1316" t="s">
        <v>1782</v>
      </c>
      <c r="Q42" s="1316" t="s">
        <v>1783</v>
      </c>
    </row>
    <row r="43" spans="1:17" ht="14.25" customHeight="1">
      <c r="A43" s="1311" t="s">
        <v>267</v>
      </c>
      <c r="B43" s="1320" t="s">
        <v>1616</v>
      </c>
      <c r="C43" s="1316">
        <v>21520</v>
      </c>
      <c r="D43" s="1316">
        <v>19230</v>
      </c>
      <c r="E43" s="1316">
        <v>18540</v>
      </c>
      <c r="F43" s="1324"/>
      <c r="H43" s="1331"/>
      <c r="N43" s="1316" t="s">
        <v>1784</v>
      </c>
      <c r="O43" s="1316" t="s">
        <v>1785</v>
      </c>
      <c r="Q43" s="1316" t="s">
        <v>1786</v>
      </c>
    </row>
    <row r="44" spans="1:17" ht="14.25" customHeight="1">
      <c r="A44" s="1311" t="s">
        <v>267</v>
      </c>
      <c r="B44" s="1320" t="s">
        <v>1626</v>
      </c>
      <c r="C44" s="1316">
        <v>23260</v>
      </c>
      <c r="D44" s="1316">
        <v>21180</v>
      </c>
      <c r="E44" s="1316">
        <v>20730</v>
      </c>
      <c r="F44" s="1324"/>
      <c r="H44" s="1331"/>
      <c r="N44" s="1316" t="s">
        <v>1787</v>
      </c>
      <c r="O44" s="1316" t="s">
        <v>1788</v>
      </c>
      <c r="Q44" s="1316" t="s">
        <v>1789</v>
      </c>
    </row>
    <row r="45" spans="1:17" ht="14.25" customHeight="1">
      <c r="A45" s="1311" t="s">
        <v>267</v>
      </c>
      <c r="B45" s="1320" t="s">
        <v>1636</v>
      </c>
      <c r="C45" s="1316">
        <v>19610</v>
      </c>
      <c r="D45" s="1316">
        <v>18090</v>
      </c>
      <c r="E45" s="1316">
        <v>17970</v>
      </c>
      <c r="F45" s="1324"/>
      <c r="H45" s="1328"/>
      <c r="N45" s="1316" t="s">
        <v>1790</v>
      </c>
      <c r="O45" s="1316" t="s">
        <v>1791</v>
      </c>
      <c r="Q45" s="1316" t="s">
        <v>1792</v>
      </c>
    </row>
    <row r="46" spans="1:17" ht="14.25" customHeight="1">
      <c r="A46" s="1311" t="s">
        <v>267</v>
      </c>
      <c r="B46" s="1320" t="s">
        <v>1646</v>
      </c>
      <c r="C46" s="1316">
        <v>21660</v>
      </c>
      <c r="D46" s="1316">
        <v>19190</v>
      </c>
      <c r="E46" s="1316">
        <v>19790</v>
      </c>
      <c r="F46" s="1324"/>
      <c r="H46" s="1331"/>
      <c r="N46" s="1316" t="s">
        <v>1793</v>
      </c>
      <c r="O46" s="1316" t="s">
        <v>1794</v>
      </c>
      <c r="Q46" s="1316" t="s">
        <v>1795</v>
      </c>
    </row>
    <row r="47" spans="1:17" ht="14.25" customHeight="1">
      <c r="A47" s="1311" t="s">
        <v>267</v>
      </c>
      <c r="B47" s="1320" t="s">
        <v>1656</v>
      </c>
      <c r="C47" s="1316">
        <v>18220</v>
      </c>
      <c r="D47" s="1316"/>
      <c r="E47" s="1316">
        <v>17220</v>
      </c>
      <c r="F47" s="1324"/>
      <c r="H47" s="1331"/>
      <c r="N47" s="1316" t="s">
        <v>1796</v>
      </c>
      <c r="O47" s="1316" t="s">
        <v>1797</v>
      </c>
    </row>
    <row r="48" spans="1:17" ht="14.25" customHeight="1">
      <c r="A48" s="1311" t="s">
        <v>267</v>
      </c>
      <c r="B48" s="1321" t="s">
        <v>1665</v>
      </c>
      <c r="C48" s="1322">
        <v>19430</v>
      </c>
      <c r="D48" s="1322"/>
      <c r="E48" s="1322">
        <v>17830</v>
      </c>
      <c r="F48" s="1332"/>
      <c r="H48" s="1328"/>
      <c r="N48" s="1316" t="s">
        <v>1798</v>
      </c>
      <c r="O48" s="1316" t="s">
        <v>1799</v>
      </c>
    </row>
    <row r="49" spans="1:15" ht="14.25" customHeight="1">
      <c r="A49" s="1311" t="s">
        <v>277</v>
      </c>
      <c r="B49" s="1312" t="s">
        <v>1464</v>
      </c>
      <c r="C49" s="1312">
        <v>17090</v>
      </c>
      <c r="D49" s="1312">
        <v>16950</v>
      </c>
      <c r="E49" s="1312">
        <v>16310</v>
      </c>
      <c r="F49" s="1313">
        <v>4540</v>
      </c>
      <c r="H49" s="1331"/>
      <c r="N49" s="1316" t="s">
        <v>1800</v>
      </c>
      <c r="O49" s="1316" t="s">
        <v>1801</v>
      </c>
    </row>
    <row r="50" spans="1:15" ht="14.25" customHeight="1">
      <c r="A50" s="1311" t="s">
        <v>277</v>
      </c>
      <c r="B50" s="1316" t="s">
        <v>1477</v>
      </c>
      <c r="C50" s="1316">
        <v>19040</v>
      </c>
      <c r="D50" s="1316">
        <v>16960</v>
      </c>
      <c r="E50" s="1316">
        <v>14800</v>
      </c>
      <c r="F50" s="1324">
        <v>3940</v>
      </c>
      <c r="H50" s="1331"/>
    </row>
    <row r="51" spans="1:15" ht="14.25" customHeight="1">
      <c r="A51" s="1311" t="s">
        <v>277</v>
      </c>
      <c r="B51" s="1316" t="s">
        <v>1490</v>
      </c>
      <c r="C51" s="1316">
        <v>17040</v>
      </c>
      <c r="D51" s="1316">
        <v>16930</v>
      </c>
      <c r="E51" s="1316">
        <v>15030</v>
      </c>
      <c r="F51" s="1324">
        <v>4120</v>
      </c>
      <c r="H51" s="1331"/>
    </row>
    <row r="52" spans="1:15" ht="14.25" customHeight="1">
      <c r="A52" s="1311" t="s">
        <v>277</v>
      </c>
      <c r="B52" s="1316" t="s">
        <v>1502</v>
      </c>
      <c r="C52" s="1316">
        <v>17110</v>
      </c>
      <c r="D52" s="1316">
        <v>17750</v>
      </c>
      <c r="E52" s="1316">
        <v>17310</v>
      </c>
      <c r="F52" s="1324">
        <v>3220</v>
      </c>
      <c r="H52" s="1331"/>
    </row>
    <row r="53" spans="1:15" ht="14.25" customHeight="1">
      <c r="A53" s="1311" t="s">
        <v>277</v>
      </c>
      <c r="B53" s="1316" t="s">
        <v>1514</v>
      </c>
      <c r="C53" s="1316">
        <v>17810</v>
      </c>
      <c r="D53" s="1316">
        <v>17260</v>
      </c>
      <c r="E53" s="1316">
        <v>17090</v>
      </c>
      <c r="F53" s="1324">
        <v>3520</v>
      </c>
      <c r="H53" s="1331"/>
    </row>
    <row r="54" spans="1:15" ht="14.25" customHeight="1">
      <c r="A54" s="1311" t="s">
        <v>277</v>
      </c>
      <c r="B54" s="1316" t="s">
        <v>1525</v>
      </c>
      <c r="C54" s="1316">
        <v>17410</v>
      </c>
      <c r="D54" s="1316">
        <v>16780</v>
      </c>
      <c r="E54" s="1316">
        <v>16370</v>
      </c>
      <c r="F54" s="1324">
        <v>3410</v>
      </c>
      <c r="H54" s="1331"/>
    </row>
    <row r="55" spans="1:15" ht="14.25" customHeight="1">
      <c r="A55" s="1311" t="s">
        <v>277</v>
      </c>
      <c r="B55" s="1316" t="s">
        <v>1536</v>
      </c>
      <c r="C55" s="1316">
        <v>16930</v>
      </c>
      <c r="D55" s="1316">
        <v>14720</v>
      </c>
      <c r="E55" s="1316">
        <v>15000</v>
      </c>
      <c r="F55" s="1324">
        <v>3710</v>
      </c>
      <c r="H55" s="1331"/>
    </row>
    <row r="56" spans="1:15" ht="14.25" customHeight="1">
      <c r="A56" s="1311" t="s">
        <v>277</v>
      </c>
      <c r="B56" s="1316" t="s">
        <v>1547</v>
      </c>
      <c r="C56" s="1316">
        <v>14930</v>
      </c>
      <c r="D56" s="1316">
        <v>15850</v>
      </c>
      <c r="E56" s="1316">
        <v>14320</v>
      </c>
      <c r="F56" s="1324">
        <v>3960</v>
      </c>
      <c r="H56" s="1331"/>
    </row>
    <row r="57" spans="1:15" ht="14.25" customHeight="1">
      <c r="A57" s="1311" t="s">
        <v>277</v>
      </c>
      <c r="B57" s="1316" t="s">
        <v>1557</v>
      </c>
      <c r="C57" s="1316">
        <v>16160</v>
      </c>
      <c r="D57" s="1316">
        <v>16190</v>
      </c>
      <c r="E57" s="1316">
        <v>15650</v>
      </c>
      <c r="F57" s="1324">
        <v>4200</v>
      </c>
      <c r="H57" s="1331"/>
    </row>
    <row r="58" spans="1:15" ht="14.25" customHeight="1">
      <c r="A58" s="1311" t="s">
        <v>277</v>
      </c>
      <c r="B58" s="1316" t="s">
        <v>1567</v>
      </c>
      <c r="C58" s="1316">
        <v>16360</v>
      </c>
      <c r="D58" s="1316">
        <v>14050</v>
      </c>
      <c r="E58" s="1316">
        <v>16070</v>
      </c>
      <c r="F58" s="1324">
        <v>3990</v>
      </c>
      <c r="H58" s="1331"/>
    </row>
    <row r="59" spans="1:15" ht="14.25" customHeight="1">
      <c r="A59" s="1311" t="s">
        <v>277</v>
      </c>
      <c r="B59" s="1316" t="s">
        <v>1577</v>
      </c>
      <c r="C59" s="1316">
        <v>14160</v>
      </c>
      <c r="D59" s="1316">
        <v>16620</v>
      </c>
      <c r="E59" s="1316">
        <v>13940</v>
      </c>
      <c r="F59" s="1324">
        <v>4260</v>
      </c>
      <c r="H59" s="1331"/>
    </row>
    <row r="60" spans="1:15" ht="14.25" customHeight="1">
      <c r="A60" s="1311" t="s">
        <v>277</v>
      </c>
      <c r="B60" s="1316" t="s">
        <v>1587</v>
      </c>
      <c r="C60" s="1316">
        <v>16750</v>
      </c>
      <c r="D60" s="1316">
        <v>13910</v>
      </c>
      <c r="E60" s="1316">
        <v>16550</v>
      </c>
      <c r="F60" s="1324">
        <v>4550</v>
      </c>
      <c r="H60" s="1331"/>
    </row>
    <row r="61" spans="1:15" ht="14.25" customHeight="1">
      <c r="A61" s="1311" t="s">
        <v>277</v>
      </c>
      <c r="B61" s="1316" t="s">
        <v>1597</v>
      </c>
      <c r="C61" s="1316">
        <v>14000</v>
      </c>
      <c r="D61" s="1316">
        <v>14550</v>
      </c>
      <c r="E61" s="1316">
        <v>13860</v>
      </c>
      <c r="F61" s="1333"/>
      <c r="H61" s="1331"/>
    </row>
    <row r="62" spans="1:15" ht="14.25" customHeight="1">
      <c r="A62" s="1311" t="s">
        <v>277</v>
      </c>
      <c r="B62" s="1316" t="s">
        <v>1607</v>
      </c>
      <c r="C62" s="1316">
        <v>14660</v>
      </c>
      <c r="D62" s="1316">
        <v>17450</v>
      </c>
      <c r="E62" s="1316">
        <v>14470</v>
      </c>
      <c r="F62" s="1333"/>
      <c r="H62" s="1331"/>
    </row>
    <row r="63" spans="1:15" ht="14.25" customHeight="1">
      <c r="A63" s="1311" t="s">
        <v>277</v>
      </c>
      <c r="B63" s="1316" t="s">
        <v>1617</v>
      </c>
      <c r="C63" s="1316">
        <v>17610</v>
      </c>
      <c r="D63" s="1316">
        <v>16500</v>
      </c>
      <c r="E63" s="1316">
        <v>17330</v>
      </c>
      <c r="F63" s="1333"/>
      <c r="H63" s="1331"/>
    </row>
    <row r="64" spans="1:15" ht="14.25" customHeight="1">
      <c r="A64" s="1311" t="s">
        <v>277</v>
      </c>
      <c r="B64" s="1316" t="s">
        <v>1627</v>
      </c>
      <c r="C64" s="1316">
        <v>16590</v>
      </c>
      <c r="D64" s="1316">
        <v>15130</v>
      </c>
      <c r="E64" s="1316">
        <v>16420</v>
      </c>
      <c r="F64" s="1333"/>
      <c r="H64" s="1331"/>
    </row>
    <row r="65" spans="1:8" s="1303" customFormat="1" ht="14.25" customHeight="1">
      <c r="A65" s="1311" t="s">
        <v>277</v>
      </c>
      <c r="B65" s="1316" t="s">
        <v>1637</v>
      </c>
      <c r="C65" s="1316">
        <v>15220</v>
      </c>
      <c r="D65" s="1316">
        <v>14660</v>
      </c>
      <c r="E65" s="1316">
        <v>15060</v>
      </c>
      <c r="F65" s="1324"/>
      <c r="H65" s="1331"/>
    </row>
    <row r="66" spans="1:8" s="1303" customFormat="1" ht="14.25" customHeight="1">
      <c r="A66" s="1311" t="s">
        <v>277</v>
      </c>
      <c r="B66" s="1316" t="s">
        <v>1647</v>
      </c>
      <c r="C66" s="1316">
        <v>14720</v>
      </c>
      <c r="D66" s="1316">
        <v>15970</v>
      </c>
      <c r="E66" s="1316">
        <v>14610</v>
      </c>
      <c r="F66" s="1324"/>
      <c r="H66" s="1331"/>
    </row>
    <row r="67" spans="1:8" s="1303" customFormat="1" ht="14.25" customHeight="1">
      <c r="A67" s="1311" t="s">
        <v>277</v>
      </c>
      <c r="B67" s="1316" t="s">
        <v>1657</v>
      </c>
      <c r="C67" s="1316">
        <v>16080</v>
      </c>
      <c r="D67" s="1316">
        <v>14840</v>
      </c>
      <c r="E67" s="1316">
        <v>15630</v>
      </c>
      <c r="F67" s="1324"/>
      <c r="H67" s="1331"/>
    </row>
    <row r="68" spans="1:8" s="1303" customFormat="1" ht="14.25" customHeight="1">
      <c r="A68" s="1311" t="s">
        <v>277</v>
      </c>
      <c r="B68" s="1316" t="s">
        <v>1666</v>
      </c>
      <c r="C68" s="1316">
        <v>14940</v>
      </c>
      <c r="D68" s="1316">
        <v>18000</v>
      </c>
      <c r="E68" s="1316">
        <v>14040</v>
      </c>
      <c r="F68" s="1324"/>
      <c r="H68" s="1331"/>
    </row>
    <row r="69" spans="1:8" s="1303" customFormat="1" ht="14.25" customHeight="1">
      <c r="A69" s="1311" t="s">
        <v>277</v>
      </c>
      <c r="B69" s="1316" t="s">
        <v>1674</v>
      </c>
      <c r="C69" s="1316">
        <v>18810</v>
      </c>
      <c r="D69" s="1316">
        <v>15100</v>
      </c>
      <c r="E69" s="1316">
        <v>14710</v>
      </c>
      <c r="F69" s="1324"/>
      <c r="H69" s="1331"/>
    </row>
    <row r="70" spans="1:8" s="1303" customFormat="1" ht="14.25" customHeight="1">
      <c r="A70" s="1311" t="s">
        <v>277</v>
      </c>
      <c r="B70" s="1316" t="s">
        <v>1682</v>
      </c>
      <c r="C70" s="1316">
        <v>18270</v>
      </c>
      <c r="D70" s="1316"/>
      <c r="E70" s="1316"/>
      <c r="F70" s="1324"/>
      <c r="H70" s="1331"/>
    </row>
    <row r="71" spans="1:8" s="1303" customFormat="1" ht="14.25" customHeight="1">
      <c r="A71" s="1311" t="s">
        <v>277</v>
      </c>
      <c r="B71" s="1316" t="s">
        <v>1689</v>
      </c>
      <c r="C71" s="1316">
        <v>15230</v>
      </c>
      <c r="D71" s="1316"/>
      <c r="E71" s="1316"/>
      <c r="F71" s="1324"/>
      <c r="H71" s="1331"/>
    </row>
    <row r="72" spans="1:8" s="1303" customFormat="1" ht="14.25" customHeight="1">
      <c r="A72" s="1311" t="s">
        <v>277</v>
      </c>
      <c r="B72" s="1316" t="s">
        <v>1696</v>
      </c>
      <c r="C72" s="1316"/>
      <c r="D72" s="1316"/>
      <c r="E72" s="1316"/>
      <c r="F72" s="1324">
        <v>4120</v>
      </c>
      <c r="H72" s="1331"/>
    </row>
    <row r="73" spans="1:8" s="1303" customFormat="1" ht="14.25" customHeight="1">
      <c r="A73" s="1311" t="s">
        <v>277</v>
      </c>
      <c r="B73" s="1316" t="s">
        <v>1703</v>
      </c>
      <c r="C73" s="1316"/>
      <c r="D73" s="1316"/>
      <c r="E73" s="1316"/>
      <c r="F73" s="1324">
        <v>3930</v>
      </c>
      <c r="H73" s="1331"/>
    </row>
    <row r="74" spans="1:8" s="1303" customFormat="1" ht="14.25" customHeight="1">
      <c r="A74" s="1311" t="s">
        <v>277</v>
      </c>
      <c r="B74" s="1316" t="s">
        <v>1710</v>
      </c>
      <c r="C74" s="1316"/>
      <c r="D74" s="1316"/>
      <c r="E74" s="1316"/>
      <c r="F74" s="1324">
        <v>4060</v>
      </c>
      <c r="H74" s="1331"/>
    </row>
    <row r="75" spans="1:8" s="1303" customFormat="1" ht="14.25" customHeight="1">
      <c r="A75" s="1311" t="s">
        <v>277</v>
      </c>
      <c r="B75" s="1322" t="s">
        <v>1717</v>
      </c>
      <c r="C75" s="1322"/>
      <c r="D75" s="1322"/>
      <c r="E75" s="1322"/>
      <c r="F75" s="1332">
        <v>3750</v>
      </c>
      <c r="H75" s="1331"/>
    </row>
    <row r="76" spans="1:8" s="1303" customFormat="1" ht="14.25" customHeight="1">
      <c r="A76" s="1311" t="s">
        <v>286</v>
      </c>
      <c r="B76" s="1312" t="s">
        <v>1465</v>
      </c>
      <c r="C76" s="1312">
        <v>14690</v>
      </c>
      <c r="D76" s="1312">
        <v>14640</v>
      </c>
      <c r="E76" s="1312">
        <v>14590</v>
      </c>
      <c r="F76" s="1313">
        <v>3060</v>
      </c>
      <c r="H76" s="1331"/>
    </row>
    <row r="77" spans="1:8" s="1303" customFormat="1" ht="14.25" customHeight="1">
      <c r="A77" s="1311" t="s">
        <v>286</v>
      </c>
      <c r="B77" s="1316" t="s">
        <v>1478</v>
      </c>
      <c r="C77" s="1316">
        <v>12550</v>
      </c>
      <c r="D77" s="1316">
        <v>12480</v>
      </c>
      <c r="E77" s="1316">
        <v>12450</v>
      </c>
      <c r="F77" s="1324">
        <v>2590</v>
      </c>
      <c r="H77" s="1331"/>
    </row>
    <row r="78" spans="1:8" s="1303" customFormat="1" ht="14.25" customHeight="1">
      <c r="A78" s="1311" t="s">
        <v>286</v>
      </c>
      <c r="B78" s="1316" t="s">
        <v>1491</v>
      </c>
      <c r="C78" s="1316">
        <v>14360</v>
      </c>
      <c r="D78" s="1316">
        <v>14320</v>
      </c>
      <c r="E78" s="1316">
        <v>12510</v>
      </c>
      <c r="F78" s="1324">
        <v>2700</v>
      </c>
      <c r="H78" s="1331"/>
    </row>
    <row r="79" spans="1:8" s="1303" customFormat="1" ht="14.25" customHeight="1">
      <c r="A79" s="1311" t="s">
        <v>286</v>
      </c>
      <c r="B79" s="1316" t="s">
        <v>1503</v>
      </c>
      <c r="C79" s="1316">
        <v>12590</v>
      </c>
      <c r="D79" s="1316">
        <v>12540</v>
      </c>
      <c r="E79" s="1316">
        <v>12350</v>
      </c>
      <c r="F79" s="1324">
        <v>2740</v>
      </c>
      <c r="H79" s="1331"/>
    </row>
    <row r="80" spans="1:8" s="1303" customFormat="1" ht="14.25" customHeight="1">
      <c r="A80" s="1311" t="s">
        <v>286</v>
      </c>
      <c r="B80" s="1316" t="s">
        <v>1515</v>
      </c>
      <c r="C80" s="1316">
        <v>12450</v>
      </c>
      <c r="D80" s="1316">
        <v>12370</v>
      </c>
      <c r="E80" s="1316">
        <v>10790</v>
      </c>
      <c r="F80" s="1324">
        <v>2290</v>
      </c>
      <c r="H80" s="1331"/>
    </row>
    <row r="81" spans="1:8" s="1303" customFormat="1" ht="14.25" customHeight="1">
      <c r="A81" s="1311" t="s">
        <v>286</v>
      </c>
      <c r="B81" s="1316" t="s">
        <v>1526</v>
      </c>
      <c r="C81" s="1316">
        <v>14210</v>
      </c>
      <c r="D81" s="1316">
        <v>14150</v>
      </c>
      <c r="E81" s="1316">
        <v>12730</v>
      </c>
      <c r="F81" s="1324">
        <v>2240</v>
      </c>
      <c r="H81" s="1331"/>
    </row>
    <row r="82" spans="1:8" s="1303" customFormat="1" ht="14.25" customHeight="1">
      <c r="A82" s="1311" t="s">
        <v>286</v>
      </c>
      <c r="B82" s="1316" t="s">
        <v>1537</v>
      </c>
      <c r="C82" s="1316">
        <v>10860</v>
      </c>
      <c r="D82" s="1316">
        <v>10820</v>
      </c>
      <c r="E82" s="1316">
        <v>14720</v>
      </c>
      <c r="F82" s="1324">
        <v>2490</v>
      </c>
      <c r="H82" s="1331"/>
    </row>
    <row r="83" spans="1:8" s="1303" customFormat="1" ht="14.25" customHeight="1">
      <c r="A83" s="1311" t="s">
        <v>286</v>
      </c>
      <c r="B83" s="1316" t="s">
        <v>1548</v>
      </c>
      <c r="C83" s="1316">
        <v>12810</v>
      </c>
      <c r="D83" s="1316">
        <v>12760</v>
      </c>
      <c r="E83" s="1316">
        <v>14830</v>
      </c>
      <c r="F83" s="1324">
        <v>2450</v>
      </c>
      <c r="H83" s="1331"/>
    </row>
    <row r="84" spans="1:8" s="1303" customFormat="1" ht="14.25" customHeight="1">
      <c r="A84" s="1311" t="s">
        <v>286</v>
      </c>
      <c r="B84" s="1316" t="s">
        <v>1558</v>
      </c>
      <c r="C84" s="1316">
        <v>14950</v>
      </c>
      <c r="D84" s="1316">
        <v>14810</v>
      </c>
      <c r="E84" s="1316">
        <v>12590</v>
      </c>
      <c r="F84" s="1324">
        <v>2540</v>
      </c>
      <c r="H84" s="1331"/>
    </row>
    <row r="85" spans="1:8" s="1303" customFormat="1" ht="14.25" customHeight="1">
      <c r="A85" s="1311" t="s">
        <v>286</v>
      </c>
      <c r="B85" s="1316" t="s">
        <v>1568</v>
      </c>
      <c r="C85" s="1316">
        <v>14960</v>
      </c>
      <c r="D85" s="1316">
        <v>14890</v>
      </c>
      <c r="E85" s="1316">
        <v>12840</v>
      </c>
      <c r="F85" s="1324">
        <v>2840</v>
      </c>
      <c r="H85" s="1331"/>
    </row>
    <row r="86" spans="1:8" s="1303" customFormat="1" ht="14.25" customHeight="1">
      <c r="A86" s="1311" t="s">
        <v>286</v>
      </c>
      <c r="B86" s="1316" t="s">
        <v>1578</v>
      </c>
      <c r="C86" s="1316">
        <v>12730</v>
      </c>
      <c r="D86" s="1316">
        <v>12660</v>
      </c>
      <c r="E86" s="1316">
        <v>13310</v>
      </c>
      <c r="F86" s="1324">
        <v>3140</v>
      </c>
      <c r="H86" s="1331"/>
    </row>
    <row r="87" spans="1:8" s="1303" customFormat="1" ht="14.25" customHeight="1">
      <c r="A87" s="1311" t="s">
        <v>286</v>
      </c>
      <c r="B87" s="1316" t="s">
        <v>1588</v>
      </c>
      <c r="C87" s="1316">
        <v>12940</v>
      </c>
      <c r="D87" s="1316">
        <v>12890</v>
      </c>
      <c r="E87" s="1316">
        <v>11580</v>
      </c>
      <c r="F87" s="1333"/>
      <c r="H87" s="1331"/>
    </row>
    <row r="88" spans="1:8" s="1303" customFormat="1" ht="14.25" customHeight="1">
      <c r="A88" s="1311" t="s">
        <v>286</v>
      </c>
      <c r="B88" s="1316" t="s">
        <v>1598</v>
      </c>
      <c r="C88" s="1316">
        <v>13430</v>
      </c>
      <c r="D88" s="1316">
        <v>13360</v>
      </c>
      <c r="E88" s="1316">
        <v>12790</v>
      </c>
      <c r="F88" s="1333"/>
      <c r="H88" s="1331"/>
    </row>
    <row r="89" spans="1:8" s="1303" customFormat="1" ht="14.25" customHeight="1">
      <c r="A89" s="1311" t="s">
        <v>286</v>
      </c>
      <c r="B89" s="1316" t="s">
        <v>1608</v>
      </c>
      <c r="C89" s="1316">
        <v>11680</v>
      </c>
      <c r="D89" s="1316">
        <v>11630</v>
      </c>
      <c r="E89" s="1316">
        <v>11320</v>
      </c>
      <c r="F89" s="1333"/>
      <c r="H89" s="1331"/>
    </row>
    <row r="90" spans="1:8" s="1303" customFormat="1" ht="14.25" customHeight="1">
      <c r="A90" s="1311" t="s">
        <v>286</v>
      </c>
      <c r="B90" s="1316" t="s">
        <v>1618</v>
      </c>
      <c r="C90" s="1316">
        <v>12890</v>
      </c>
      <c r="D90" s="1316">
        <v>12820</v>
      </c>
      <c r="E90" s="1316">
        <v>12710</v>
      </c>
      <c r="F90" s="1333"/>
      <c r="H90" s="1331"/>
    </row>
    <row r="91" spans="1:8" s="1303" customFormat="1" ht="14.25" customHeight="1">
      <c r="A91" s="1311" t="s">
        <v>286</v>
      </c>
      <c r="B91" s="1316" t="s">
        <v>1628</v>
      </c>
      <c r="C91" s="1316">
        <v>11410</v>
      </c>
      <c r="D91" s="1316">
        <v>11360</v>
      </c>
      <c r="E91" s="1316">
        <v>12670</v>
      </c>
      <c r="F91" s="1333"/>
      <c r="H91" s="1331"/>
    </row>
    <row r="92" spans="1:8" s="1303" customFormat="1" ht="14.25" customHeight="1">
      <c r="A92" s="1311" t="s">
        <v>286</v>
      </c>
      <c r="B92" s="1316" t="s">
        <v>1638</v>
      </c>
      <c r="C92" s="1316">
        <v>12770</v>
      </c>
      <c r="D92" s="1316">
        <v>12740</v>
      </c>
      <c r="E92" s="1316">
        <v>11970</v>
      </c>
      <c r="F92" s="1333"/>
      <c r="H92" s="1331"/>
    </row>
    <row r="93" spans="1:8" s="1303" customFormat="1" ht="14.25" customHeight="1">
      <c r="A93" s="1311" t="s">
        <v>286</v>
      </c>
      <c r="B93" s="1316" t="s">
        <v>1648</v>
      </c>
      <c r="C93" s="1316">
        <v>12740</v>
      </c>
      <c r="D93" s="1316">
        <v>12700</v>
      </c>
      <c r="E93" s="1316">
        <v>12540</v>
      </c>
      <c r="F93" s="1333"/>
      <c r="H93" s="1331"/>
    </row>
    <row r="94" spans="1:8" s="1303" customFormat="1" ht="14.25" customHeight="1">
      <c r="A94" s="1311" t="s">
        <v>286</v>
      </c>
      <c r="B94" s="1316" t="s">
        <v>1658</v>
      </c>
      <c r="C94" s="1316">
        <v>12020</v>
      </c>
      <c r="D94" s="1316">
        <v>11990</v>
      </c>
      <c r="E94" s="1316">
        <v>13110</v>
      </c>
      <c r="F94" s="1333"/>
      <c r="H94" s="1331"/>
    </row>
    <row r="95" spans="1:8" s="1303" customFormat="1" ht="14.25" customHeight="1">
      <c r="A95" s="1311" t="s">
        <v>286</v>
      </c>
      <c r="B95" s="1316" t="s">
        <v>1667</v>
      </c>
      <c r="C95" s="1316">
        <v>12620</v>
      </c>
      <c r="D95" s="1316">
        <v>12580</v>
      </c>
      <c r="E95" s="1316">
        <v>13160</v>
      </c>
      <c r="F95" s="1324"/>
      <c r="H95" s="1331"/>
    </row>
    <row r="96" spans="1:8" s="1303" customFormat="1" ht="14.25" customHeight="1">
      <c r="A96" s="1311" t="s">
        <v>286</v>
      </c>
      <c r="B96" s="1316" t="s">
        <v>1675</v>
      </c>
      <c r="C96" s="1316">
        <v>13200</v>
      </c>
      <c r="D96" s="1316">
        <v>13150</v>
      </c>
      <c r="E96" s="1316">
        <v>12900</v>
      </c>
      <c r="F96" s="1324"/>
      <c r="H96" s="1331"/>
    </row>
    <row r="97" spans="1:8" s="1303" customFormat="1" ht="14.25" customHeight="1">
      <c r="A97" s="1311" t="s">
        <v>286</v>
      </c>
      <c r="B97" s="1316" t="s">
        <v>1683</v>
      </c>
      <c r="C97" s="1316">
        <v>13270</v>
      </c>
      <c r="D97" s="1316">
        <v>13210</v>
      </c>
      <c r="E97" s="1316">
        <v>11080</v>
      </c>
      <c r="F97" s="1324"/>
      <c r="H97" s="1331"/>
    </row>
    <row r="98" spans="1:8" s="1303" customFormat="1" ht="14.25" customHeight="1">
      <c r="A98" s="1311" t="s">
        <v>286</v>
      </c>
      <c r="B98" s="1316" t="s">
        <v>1690</v>
      </c>
      <c r="C98" s="1316">
        <v>13010</v>
      </c>
      <c r="D98" s="1316">
        <v>12930</v>
      </c>
      <c r="E98" s="1316">
        <v>12840</v>
      </c>
      <c r="F98" s="1324"/>
      <c r="H98" s="1331"/>
    </row>
    <row r="99" spans="1:8" s="1303" customFormat="1" ht="14.25" customHeight="1">
      <c r="A99" s="1311" t="s">
        <v>286</v>
      </c>
      <c r="B99" s="1316" t="s">
        <v>1697</v>
      </c>
      <c r="C99" s="1316">
        <v>11190</v>
      </c>
      <c r="D99" s="1316">
        <v>11130</v>
      </c>
      <c r="E99" s="1316"/>
      <c r="F99" s="1324"/>
      <c r="H99" s="1331"/>
    </row>
    <row r="100" spans="1:8" s="1303" customFormat="1" ht="14.25" customHeight="1">
      <c r="A100" s="1311" t="s">
        <v>286</v>
      </c>
      <c r="B100" s="1316" t="s">
        <v>1704</v>
      </c>
      <c r="C100" s="1316">
        <v>14280</v>
      </c>
      <c r="D100" s="1316">
        <v>14180</v>
      </c>
      <c r="E100" s="1316"/>
      <c r="F100" s="1324"/>
      <c r="H100" s="1331"/>
    </row>
    <row r="101" spans="1:8" s="1303" customFormat="1" ht="14.25" customHeight="1">
      <c r="A101" s="1311" t="s">
        <v>286</v>
      </c>
      <c r="B101" s="1316" t="s">
        <v>1711</v>
      </c>
      <c r="C101" s="1316">
        <v>12960</v>
      </c>
      <c r="D101" s="1316">
        <v>12890</v>
      </c>
      <c r="E101" s="1316"/>
      <c r="F101" s="1324"/>
      <c r="H101" s="1331"/>
    </row>
    <row r="102" spans="1:8" s="1303" customFormat="1" ht="14.25" customHeight="1">
      <c r="A102" s="1311" t="s">
        <v>286</v>
      </c>
      <c r="B102" s="1316" t="s">
        <v>1718</v>
      </c>
      <c r="C102" s="1316"/>
      <c r="D102" s="1316"/>
      <c r="E102" s="1316"/>
      <c r="F102" s="1324">
        <v>3100</v>
      </c>
      <c r="H102" s="1331"/>
    </row>
    <row r="103" spans="1:8" s="1303" customFormat="1" ht="14.25" customHeight="1">
      <c r="A103" s="1311" t="s">
        <v>286</v>
      </c>
      <c r="B103" s="1316" t="s">
        <v>1723</v>
      </c>
      <c r="C103" s="1316"/>
      <c r="D103" s="1316"/>
      <c r="E103" s="1316"/>
      <c r="F103" s="1324">
        <v>2320</v>
      </c>
      <c r="H103" s="1331"/>
    </row>
    <row r="104" spans="1:8" s="1303" customFormat="1" ht="14.25" customHeight="1">
      <c r="A104" s="1311" t="s">
        <v>286</v>
      </c>
      <c r="B104" s="1316" t="s">
        <v>1728</v>
      </c>
      <c r="C104" s="1316"/>
      <c r="D104" s="1316"/>
      <c r="E104" s="1316"/>
      <c r="F104" s="1324">
        <v>2320</v>
      </c>
      <c r="H104" s="1331"/>
    </row>
    <row r="105" spans="1:8" s="1303" customFormat="1" ht="14.25" customHeight="1">
      <c r="A105" s="1311" t="s">
        <v>286</v>
      </c>
      <c r="B105" s="1316" t="s">
        <v>1733</v>
      </c>
      <c r="C105" s="1316"/>
      <c r="D105" s="1316"/>
      <c r="E105" s="1316"/>
      <c r="F105" s="1324">
        <v>2320</v>
      </c>
      <c r="H105" s="1331"/>
    </row>
    <row r="106" spans="1:8" s="1303" customFormat="1" ht="14.25" customHeight="1">
      <c r="A106" s="1311" t="s">
        <v>286</v>
      </c>
      <c r="B106" s="1316" t="s">
        <v>1738</v>
      </c>
      <c r="C106" s="1316"/>
      <c r="D106" s="1316"/>
      <c r="E106" s="1316"/>
      <c r="F106" s="1324">
        <v>2320</v>
      </c>
      <c r="H106" s="1331"/>
    </row>
    <row r="107" spans="1:8" s="1303" customFormat="1" ht="14.25" customHeight="1">
      <c r="A107" s="1311" t="s">
        <v>286</v>
      </c>
      <c r="B107" s="1316" t="s">
        <v>1743</v>
      </c>
      <c r="C107" s="1316"/>
      <c r="D107" s="1316"/>
      <c r="E107" s="1316"/>
      <c r="F107" s="1324">
        <v>2280</v>
      </c>
      <c r="H107" s="1331"/>
    </row>
    <row r="108" spans="1:8" s="1303" customFormat="1" ht="14.25" customHeight="1">
      <c r="A108" s="1311" t="s">
        <v>286</v>
      </c>
      <c r="B108" s="1316" t="s">
        <v>1748</v>
      </c>
      <c r="C108" s="1316"/>
      <c r="D108" s="1316"/>
      <c r="E108" s="1316"/>
      <c r="F108" s="1324">
        <v>2280</v>
      </c>
      <c r="H108" s="1331"/>
    </row>
    <row r="109" spans="1:8" s="1303" customFormat="1" ht="14.25" customHeight="1">
      <c r="A109" s="1311" t="s">
        <v>286</v>
      </c>
      <c r="B109" s="1322" t="s">
        <v>1753</v>
      </c>
      <c r="C109" s="1322"/>
      <c r="D109" s="1322"/>
      <c r="E109" s="1322"/>
      <c r="F109" s="1332">
        <v>2280</v>
      </c>
      <c r="H109" s="1331"/>
    </row>
    <row r="110" spans="1:8" s="1303" customFormat="1" ht="14.25" customHeight="1">
      <c r="A110" s="1311" t="s">
        <v>294</v>
      </c>
      <c r="B110" s="1312" t="s">
        <v>1466</v>
      </c>
      <c r="C110" s="1312">
        <v>10520</v>
      </c>
      <c r="D110" s="1312">
        <v>10490</v>
      </c>
      <c r="E110" s="1312">
        <v>10760</v>
      </c>
      <c r="F110" s="1313">
        <v>2160</v>
      </c>
      <c r="H110" s="1331"/>
    </row>
    <row r="111" spans="1:8" s="1303" customFormat="1" ht="14.25" customHeight="1">
      <c r="A111" s="1311" t="s">
        <v>294</v>
      </c>
      <c r="B111" s="1316" t="s">
        <v>1479</v>
      </c>
      <c r="C111" s="1316">
        <v>10090</v>
      </c>
      <c r="D111" s="1316">
        <v>10060</v>
      </c>
      <c r="E111" s="1316">
        <v>10300</v>
      </c>
      <c r="F111" s="1324">
        <v>2010</v>
      </c>
      <c r="H111" s="1331"/>
    </row>
    <row r="112" spans="1:8" s="1303" customFormat="1" ht="14.25" customHeight="1">
      <c r="A112" s="1311" t="s">
        <v>294</v>
      </c>
      <c r="B112" s="1316" t="s">
        <v>1492</v>
      </c>
      <c r="C112" s="1316">
        <v>9910</v>
      </c>
      <c r="D112" s="1316">
        <v>9850</v>
      </c>
      <c r="E112" s="1316">
        <v>9960</v>
      </c>
      <c r="F112" s="1324">
        <v>2090</v>
      </c>
      <c r="H112" s="1331"/>
    </row>
    <row r="113" spans="1:8" s="1303" customFormat="1" ht="14.25" customHeight="1">
      <c r="A113" s="1311" t="s">
        <v>294</v>
      </c>
      <c r="B113" s="1316" t="s">
        <v>1504</v>
      </c>
      <c r="C113" s="1316">
        <v>11430</v>
      </c>
      <c r="D113" s="1316">
        <v>11400</v>
      </c>
      <c r="E113" s="1316">
        <v>11710</v>
      </c>
      <c r="F113" s="1324">
        <v>2050</v>
      </c>
      <c r="H113" s="1331"/>
    </row>
    <row r="114" spans="1:8" s="1303" customFormat="1" ht="14.25" customHeight="1">
      <c r="A114" s="1311" t="s">
        <v>294</v>
      </c>
      <c r="B114" s="1316" t="s">
        <v>1516</v>
      </c>
      <c r="C114" s="1316">
        <v>11390</v>
      </c>
      <c r="D114" s="1316">
        <v>11350</v>
      </c>
      <c r="E114" s="1316">
        <v>11640</v>
      </c>
      <c r="F114" s="1324">
        <v>1620</v>
      </c>
      <c r="H114" s="1331"/>
    </row>
    <row r="115" spans="1:8" s="1303" customFormat="1" ht="14.25" customHeight="1">
      <c r="A115" s="1311" t="s">
        <v>294</v>
      </c>
      <c r="B115" s="1316" t="s">
        <v>1527</v>
      </c>
      <c r="C115" s="1316">
        <v>9930</v>
      </c>
      <c r="D115" s="1316">
        <v>9900</v>
      </c>
      <c r="E115" s="1316">
        <v>10160</v>
      </c>
      <c r="F115" s="1324">
        <v>1580</v>
      </c>
      <c r="H115" s="1331"/>
    </row>
    <row r="116" spans="1:8" s="1303" customFormat="1" ht="14.25" customHeight="1">
      <c r="A116" s="1311" t="s">
        <v>294</v>
      </c>
      <c r="B116" s="1316" t="s">
        <v>1538</v>
      </c>
      <c r="C116" s="1316">
        <v>9150</v>
      </c>
      <c r="D116" s="1316">
        <v>9120</v>
      </c>
      <c r="E116" s="1316">
        <v>9380</v>
      </c>
      <c r="F116" s="1324">
        <v>1750</v>
      </c>
      <c r="H116" s="1331"/>
    </row>
    <row r="117" spans="1:8" s="1303" customFormat="1" ht="14.25" customHeight="1">
      <c r="A117" s="1311" t="s">
        <v>294</v>
      </c>
      <c r="B117" s="1316" t="s">
        <v>1549</v>
      </c>
      <c r="C117" s="1316">
        <v>10680</v>
      </c>
      <c r="D117" s="1316">
        <v>10650</v>
      </c>
      <c r="E117" s="1316">
        <v>10970</v>
      </c>
      <c r="F117" s="1324">
        <v>1730</v>
      </c>
      <c r="H117" s="1331"/>
    </row>
    <row r="118" spans="1:8" s="1303" customFormat="1" ht="14.25" customHeight="1">
      <c r="A118" s="1311" t="s">
        <v>294</v>
      </c>
      <c r="B118" s="1316" t="s">
        <v>1559</v>
      </c>
      <c r="C118" s="1316">
        <v>10080</v>
      </c>
      <c r="D118" s="1316">
        <v>10050</v>
      </c>
      <c r="E118" s="1316">
        <v>10350</v>
      </c>
      <c r="F118" s="1324">
        <v>1920</v>
      </c>
      <c r="H118" s="1331"/>
    </row>
    <row r="119" spans="1:8" s="1303" customFormat="1" ht="14.25" customHeight="1">
      <c r="A119" s="1311" t="s">
        <v>294</v>
      </c>
      <c r="B119" s="1316" t="s">
        <v>1569</v>
      </c>
      <c r="C119" s="1316">
        <v>9450</v>
      </c>
      <c r="D119" s="1316">
        <v>9410</v>
      </c>
      <c r="E119" s="1316">
        <v>9680</v>
      </c>
      <c r="F119" s="1324">
        <v>1880</v>
      </c>
      <c r="H119" s="1331"/>
    </row>
    <row r="120" spans="1:8" s="1303" customFormat="1" ht="14.25" customHeight="1">
      <c r="A120" s="1311" t="s">
        <v>294</v>
      </c>
      <c r="B120" s="1316" t="s">
        <v>1579</v>
      </c>
      <c r="C120" s="1316">
        <v>8730</v>
      </c>
      <c r="D120" s="1316">
        <v>8700</v>
      </c>
      <c r="E120" s="1316">
        <v>8950</v>
      </c>
      <c r="F120" s="1324">
        <v>1830</v>
      </c>
      <c r="H120" s="1331"/>
    </row>
    <row r="121" spans="1:8" s="1303" customFormat="1" ht="14.25" customHeight="1">
      <c r="A121" s="1311" t="s">
        <v>294</v>
      </c>
      <c r="B121" s="1316" t="s">
        <v>1589</v>
      </c>
      <c r="C121" s="1316">
        <v>10070</v>
      </c>
      <c r="D121" s="1316">
        <v>10040</v>
      </c>
      <c r="E121" s="1316">
        <v>10270</v>
      </c>
      <c r="F121" s="1324">
        <v>1960</v>
      </c>
      <c r="H121" s="1331"/>
    </row>
    <row r="122" spans="1:8" s="1303" customFormat="1" ht="14.25" customHeight="1">
      <c r="A122" s="1311" t="s">
        <v>294</v>
      </c>
      <c r="B122" s="1316" t="s">
        <v>1599</v>
      </c>
      <c r="C122" s="1316">
        <v>10500</v>
      </c>
      <c r="D122" s="1316">
        <v>10470</v>
      </c>
      <c r="E122" s="1316">
        <v>10780</v>
      </c>
      <c r="F122" s="1324">
        <v>2180</v>
      </c>
      <c r="H122" s="1331"/>
    </row>
    <row r="123" spans="1:8" s="1303" customFormat="1" ht="14.25" customHeight="1">
      <c r="A123" s="1311" t="s">
        <v>294</v>
      </c>
      <c r="B123" s="1316" t="s">
        <v>1609</v>
      </c>
      <c r="C123" s="1316">
        <v>10390</v>
      </c>
      <c r="D123" s="1316">
        <v>10360</v>
      </c>
      <c r="E123" s="1316">
        <v>10660</v>
      </c>
      <c r="F123" s="1324">
        <v>2040</v>
      </c>
      <c r="H123" s="1331"/>
    </row>
    <row r="124" spans="1:8" s="1303" customFormat="1" ht="14.25" customHeight="1">
      <c r="A124" s="1311" t="s">
        <v>294</v>
      </c>
      <c r="B124" s="1316" t="s">
        <v>1619</v>
      </c>
      <c r="C124" s="1316">
        <v>10390</v>
      </c>
      <c r="D124" s="1316">
        <v>10360</v>
      </c>
      <c r="E124" s="1316">
        <v>10680</v>
      </c>
      <c r="F124" s="1333"/>
      <c r="H124" s="1331"/>
    </row>
    <row r="125" spans="1:8" s="1303" customFormat="1" ht="14.25" customHeight="1">
      <c r="A125" s="1311" t="s">
        <v>294</v>
      </c>
      <c r="B125" s="1316" t="s">
        <v>1629</v>
      </c>
      <c r="C125" s="1316">
        <v>10440</v>
      </c>
      <c r="D125" s="1316">
        <v>10410</v>
      </c>
      <c r="E125" s="1316">
        <v>10710</v>
      </c>
      <c r="F125" s="1333"/>
      <c r="H125" s="1331"/>
    </row>
    <row r="126" spans="1:8" s="1303" customFormat="1" ht="14.25" customHeight="1">
      <c r="A126" s="1311" t="s">
        <v>294</v>
      </c>
      <c r="B126" s="1316" t="s">
        <v>1639</v>
      </c>
      <c r="C126" s="1316">
        <v>10780</v>
      </c>
      <c r="D126" s="1316">
        <v>10750</v>
      </c>
      <c r="E126" s="1316">
        <v>11080</v>
      </c>
      <c r="F126" s="1333"/>
      <c r="H126" s="1331"/>
    </row>
    <row r="127" spans="1:8" s="1303" customFormat="1" ht="14.25" customHeight="1">
      <c r="A127" s="1311" t="s">
        <v>294</v>
      </c>
      <c r="B127" s="1316" t="s">
        <v>1649</v>
      </c>
      <c r="C127" s="1316">
        <v>10100</v>
      </c>
      <c r="D127" s="1316">
        <v>10070</v>
      </c>
      <c r="E127" s="1316">
        <v>10350</v>
      </c>
      <c r="F127" s="1333"/>
      <c r="H127" s="1331"/>
    </row>
    <row r="128" spans="1:8" s="1303" customFormat="1" ht="14.25" customHeight="1">
      <c r="A128" s="1311" t="s">
        <v>294</v>
      </c>
      <c r="B128" s="1316" t="s">
        <v>1659</v>
      </c>
      <c r="C128" s="1316">
        <v>9200</v>
      </c>
      <c r="D128" s="1316">
        <v>9160</v>
      </c>
      <c r="E128" s="1316">
        <v>9660</v>
      </c>
      <c r="F128" s="1333"/>
      <c r="H128" s="1331"/>
    </row>
    <row r="129" spans="1:8" s="1303" customFormat="1" ht="14.25" customHeight="1">
      <c r="A129" s="1311" t="s">
        <v>294</v>
      </c>
      <c r="B129" s="1316" t="s">
        <v>1668</v>
      </c>
      <c r="C129" s="1316">
        <v>10340</v>
      </c>
      <c r="D129" s="1316">
        <v>10310</v>
      </c>
      <c r="E129" s="1316">
        <v>10580</v>
      </c>
      <c r="F129" s="1333"/>
      <c r="H129" s="1331"/>
    </row>
    <row r="130" spans="1:8" s="1303" customFormat="1" ht="14.25" customHeight="1">
      <c r="A130" s="1311" t="s">
        <v>294</v>
      </c>
      <c r="B130" s="1316" t="s">
        <v>1676</v>
      </c>
      <c r="C130" s="1316">
        <v>9680</v>
      </c>
      <c r="D130" s="1316">
        <v>9660</v>
      </c>
      <c r="E130" s="1316">
        <v>9950</v>
      </c>
      <c r="F130" s="1333"/>
      <c r="H130" s="1331"/>
    </row>
    <row r="131" spans="1:8" s="1303" customFormat="1" ht="14.25" customHeight="1">
      <c r="A131" s="1311" t="s">
        <v>294</v>
      </c>
      <c r="B131" s="1316" t="s">
        <v>1684</v>
      </c>
      <c r="C131" s="1316">
        <v>9540</v>
      </c>
      <c r="D131" s="1316">
        <v>9510</v>
      </c>
      <c r="E131" s="1316">
        <v>9790</v>
      </c>
      <c r="F131" s="1333"/>
      <c r="H131" s="1331"/>
    </row>
    <row r="132" spans="1:8" s="1303" customFormat="1" ht="14.25" customHeight="1">
      <c r="A132" s="1311" t="s">
        <v>294</v>
      </c>
      <c r="B132" s="1316" t="s">
        <v>1691</v>
      </c>
      <c r="C132" s="1316">
        <v>9320</v>
      </c>
      <c r="D132" s="1316">
        <v>9290</v>
      </c>
      <c r="E132" s="1316">
        <v>9570</v>
      </c>
      <c r="F132" s="1333"/>
      <c r="H132" s="1331"/>
    </row>
    <row r="133" spans="1:8" s="1303" customFormat="1" ht="14.25" customHeight="1">
      <c r="A133" s="1311" t="s">
        <v>294</v>
      </c>
      <c r="B133" s="1316" t="s">
        <v>1698</v>
      </c>
      <c r="C133" s="1316">
        <v>10310</v>
      </c>
      <c r="D133" s="1316">
        <v>10280</v>
      </c>
      <c r="E133" s="1316">
        <v>10530</v>
      </c>
      <c r="F133" s="1333"/>
      <c r="H133" s="1331"/>
    </row>
    <row r="134" spans="1:8" s="1303" customFormat="1" ht="14.25" customHeight="1">
      <c r="A134" s="1311" t="s">
        <v>294</v>
      </c>
      <c r="B134" s="1316" t="s">
        <v>1705</v>
      </c>
      <c r="C134" s="1316">
        <v>10370</v>
      </c>
      <c r="D134" s="1316">
        <v>10310</v>
      </c>
      <c r="E134" s="1316">
        <v>10240</v>
      </c>
      <c r="F134" s="1324">
        <v>2060</v>
      </c>
      <c r="H134" s="1331"/>
    </row>
    <row r="135" spans="1:8" s="1303" customFormat="1" ht="14.25" customHeight="1">
      <c r="A135" s="1311" t="s">
        <v>294</v>
      </c>
      <c r="B135" s="1316" t="s">
        <v>1712</v>
      </c>
      <c r="C135" s="1316">
        <v>9300</v>
      </c>
      <c r="D135" s="1316">
        <v>9270</v>
      </c>
      <c r="E135" s="1316">
        <v>9350</v>
      </c>
      <c r="F135" s="1333"/>
      <c r="H135" s="1331"/>
    </row>
    <row r="136" spans="1:8" s="1303" customFormat="1" ht="14.25" customHeight="1">
      <c r="A136" s="1311" t="s">
        <v>294</v>
      </c>
      <c r="B136" s="1316" t="s">
        <v>1719</v>
      </c>
      <c r="C136" s="1316">
        <v>10160</v>
      </c>
      <c r="D136" s="1316">
        <v>10110</v>
      </c>
      <c r="E136" s="1316">
        <v>10080</v>
      </c>
      <c r="F136" s="1333"/>
      <c r="H136" s="1331"/>
    </row>
    <row r="137" spans="1:8" s="1303" customFormat="1" ht="14.25" customHeight="1">
      <c r="A137" s="1311" t="s">
        <v>294</v>
      </c>
      <c r="B137" s="1316" t="s">
        <v>1724</v>
      </c>
      <c r="C137" s="1316">
        <v>9200</v>
      </c>
      <c r="D137" s="1316">
        <v>9170</v>
      </c>
      <c r="E137" s="1316">
        <v>9450</v>
      </c>
      <c r="F137" s="1333"/>
      <c r="H137" s="1331"/>
    </row>
    <row r="138" spans="1:8" s="1303" customFormat="1" ht="14.25" customHeight="1">
      <c r="A138" s="1311" t="s">
        <v>294</v>
      </c>
      <c r="B138" s="1316" t="s">
        <v>1729</v>
      </c>
      <c r="C138" s="1316">
        <v>9690</v>
      </c>
      <c r="D138" s="1316">
        <v>9660</v>
      </c>
      <c r="E138" s="1316">
        <v>9840</v>
      </c>
      <c r="F138" s="1333"/>
      <c r="H138" s="1331"/>
    </row>
    <row r="139" spans="1:8" s="1303" customFormat="1" ht="14.25" customHeight="1">
      <c r="A139" s="1311" t="s">
        <v>294</v>
      </c>
      <c r="B139" s="1316" t="s">
        <v>1734</v>
      </c>
      <c r="C139" s="1316">
        <v>10290</v>
      </c>
      <c r="D139" s="1316">
        <v>10260</v>
      </c>
      <c r="E139" s="1316">
        <v>10550</v>
      </c>
      <c r="F139" s="1324">
        <v>1700</v>
      </c>
      <c r="H139" s="1331"/>
    </row>
    <row r="140" spans="1:8" s="1303" customFormat="1" ht="14.25" customHeight="1">
      <c r="A140" s="1311" t="s">
        <v>294</v>
      </c>
      <c r="B140" s="1316" t="s">
        <v>1739</v>
      </c>
      <c r="C140" s="1316">
        <v>9740</v>
      </c>
      <c r="D140" s="1316">
        <v>9710</v>
      </c>
      <c r="E140" s="1316">
        <v>10000</v>
      </c>
      <c r="F140" s="1324">
        <v>2000</v>
      </c>
      <c r="H140" s="1331"/>
    </row>
    <row r="141" spans="1:8" s="1303" customFormat="1" ht="14.25" customHeight="1">
      <c r="A141" s="1311" t="s">
        <v>294</v>
      </c>
      <c r="B141" s="1316" t="s">
        <v>1744</v>
      </c>
      <c r="C141" s="1316">
        <v>9810</v>
      </c>
      <c r="D141" s="1316">
        <v>9770</v>
      </c>
      <c r="E141" s="1316">
        <v>10060</v>
      </c>
      <c r="F141" s="1333"/>
      <c r="H141" s="1331"/>
    </row>
    <row r="142" spans="1:8" s="1303" customFormat="1" ht="14.25" customHeight="1">
      <c r="A142" s="1311" t="s">
        <v>294</v>
      </c>
      <c r="B142" s="1316" t="s">
        <v>1749</v>
      </c>
      <c r="C142" s="1316">
        <v>9300</v>
      </c>
      <c r="D142" s="1316">
        <v>9270</v>
      </c>
      <c r="E142" s="1316">
        <v>9530</v>
      </c>
      <c r="F142" s="1333"/>
      <c r="H142" s="1331"/>
    </row>
    <row r="143" spans="1:8" s="1303" customFormat="1" ht="14.25" customHeight="1">
      <c r="A143" s="1311" t="s">
        <v>294</v>
      </c>
      <c r="B143" s="1316" t="s">
        <v>1754</v>
      </c>
      <c r="C143" s="1316">
        <v>10080</v>
      </c>
      <c r="D143" s="1316">
        <v>10050</v>
      </c>
      <c r="E143" s="1316">
        <v>10340</v>
      </c>
      <c r="F143" s="1333"/>
      <c r="H143" s="1331"/>
    </row>
    <row r="144" spans="1:8" s="1303" customFormat="1" ht="14.25" customHeight="1">
      <c r="A144" s="1311" t="s">
        <v>294</v>
      </c>
      <c r="B144" s="1316" t="s">
        <v>1758</v>
      </c>
      <c r="C144" s="1316">
        <v>9820</v>
      </c>
      <c r="D144" s="1316">
        <v>9750</v>
      </c>
      <c r="E144" s="1316">
        <v>9900</v>
      </c>
      <c r="F144" s="1333"/>
      <c r="H144" s="1331"/>
    </row>
    <row r="145" spans="1:8" s="1303" customFormat="1" ht="14.25" customHeight="1">
      <c r="A145" s="1311" t="s">
        <v>294</v>
      </c>
      <c r="B145" s="1316" t="s">
        <v>1762</v>
      </c>
      <c r="C145" s="1316"/>
      <c r="D145" s="1316"/>
      <c r="E145" s="1316"/>
      <c r="F145" s="1324">
        <v>1740</v>
      </c>
      <c r="H145" s="1331"/>
    </row>
    <row r="146" spans="1:8" s="1303" customFormat="1" ht="14.25" customHeight="1">
      <c r="A146" s="1311" t="s">
        <v>294</v>
      </c>
      <c r="B146" s="1316" t="s">
        <v>1766</v>
      </c>
      <c r="C146" s="1316"/>
      <c r="D146" s="1316"/>
      <c r="E146" s="1316"/>
      <c r="F146" s="1324">
        <v>1740</v>
      </c>
      <c r="H146" s="1331"/>
    </row>
    <row r="147" spans="1:8" s="1303" customFormat="1" ht="14.25" customHeight="1">
      <c r="A147" s="1311" t="s">
        <v>294</v>
      </c>
      <c r="B147" s="1316" t="s">
        <v>1770</v>
      </c>
      <c r="C147" s="1316"/>
      <c r="D147" s="1316"/>
      <c r="E147" s="1316"/>
      <c r="F147" s="1324">
        <v>1740</v>
      </c>
      <c r="H147" s="1331"/>
    </row>
    <row r="148" spans="1:8" s="1303" customFormat="1" ht="14.25" customHeight="1">
      <c r="A148" s="1311" t="s">
        <v>294</v>
      </c>
      <c r="B148" s="1316" t="s">
        <v>1774</v>
      </c>
      <c r="C148" s="1316"/>
      <c r="D148" s="1316"/>
      <c r="E148" s="1316"/>
      <c r="F148" s="1324">
        <v>1740</v>
      </c>
      <c r="H148" s="1331"/>
    </row>
    <row r="149" spans="1:8" s="1303" customFormat="1" ht="14.25" customHeight="1">
      <c r="A149" s="1311" t="s">
        <v>294</v>
      </c>
      <c r="B149" s="1316" t="s">
        <v>1778</v>
      </c>
      <c r="C149" s="1316"/>
      <c r="D149" s="1316"/>
      <c r="E149" s="1316"/>
      <c r="F149" s="1324">
        <v>1740</v>
      </c>
      <c r="H149" s="1331"/>
    </row>
    <row r="150" spans="1:8" s="1303" customFormat="1" ht="14.25" customHeight="1">
      <c r="A150" s="1311" t="s">
        <v>294</v>
      </c>
      <c r="B150" s="1316" t="s">
        <v>1781</v>
      </c>
      <c r="C150" s="1316"/>
      <c r="D150" s="1316"/>
      <c r="E150" s="1316"/>
      <c r="F150" s="1324">
        <v>1610</v>
      </c>
      <c r="H150" s="1331"/>
    </row>
    <row r="151" spans="1:8" s="1303" customFormat="1" ht="14.25" customHeight="1">
      <c r="A151" s="1311" t="s">
        <v>294</v>
      </c>
      <c r="B151" s="1316" t="s">
        <v>1784</v>
      </c>
      <c r="C151" s="1316"/>
      <c r="D151" s="1316"/>
      <c r="E151" s="1316"/>
      <c r="F151" s="1324">
        <v>1610</v>
      </c>
      <c r="H151" s="1331"/>
    </row>
    <row r="152" spans="1:8" s="1303" customFormat="1" ht="14.25" customHeight="1">
      <c r="A152" s="1311" t="s">
        <v>294</v>
      </c>
      <c r="B152" s="1316" t="s">
        <v>1787</v>
      </c>
      <c r="C152" s="1316"/>
      <c r="D152" s="1316"/>
      <c r="E152" s="1316"/>
      <c r="F152" s="1324">
        <v>1610</v>
      </c>
      <c r="H152" s="1331"/>
    </row>
    <row r="153" spans="1:8" s="1303" customFormat="1" ht="14.25" customHeight="1">
      <c r="A153" s="1311" t="s">
        <v>294</v>
      </c>
      <c r="B153" s="1316" t="s">
        <v>1790</v>
      </c>
      <c r="C153" s="1316"/>
      <c r="D153" s="1316"/>
      <c r="E153" s="1316"/>
      <c r="F153" s="1324">
        <v>1610</v>
      </c>
      <c r="H153" s="1331"/>
    </row>
    <row r="154" spans="1:8" s="1303" customFormat="1" ht="14.25" customHeight="1">
      <c r="A154" s="1311" t="s">
        <v>294</v>
      </c>
      <c r="B154" s="1316" t="s">
        <v>1793</v>
      </c>
      <c r="C154" s="1316"/>
      <c r="D154" s="1316"/>
      <c r="E154" s="1316"/>
      <c r="F154" s="1324">
        <v>1610</v>
      </c>
      <c r="H154" s="1331"/>
    </row>
    <row r="155" spans="1:8" s="1303" customFormat="1" ht="14.25" customHeight="1">
      <c r="A155" s="1311" t="s">
        <v>294</v>
      </c>
      <c r="B155" s="1316" t="s">
        <v>1796</v>
      </c>
      <c r="C155" s="1316"/>
      <c r="D155" s="1316"/>
      <c r="E155" s="1316"/>
      <c r="F155" s="1324">
        <v>1800</v>
      </c>
      <c r="H155" s="1331"/>
    </row>
    <row r="156" spans="1:8" s="1303" customFormat="1" ht="14.25" customHeight="1">
      <c r="A156" s="1311" t="s">
        <v>294</v>
      </c>
      <c r="B156" s="1316" t="s">
        <v>1798</v>
      </c>
      <c r="C156" s="1316"/>
      <c r="D156" s="1316"/>
      <c r="E156" s="1316"/>
      <c r="F156" s="1324">
        <v>1910</v>
      </c>
      <c r="H156" s="1331"/>
    </row>
    <row r="157" spans="1:8" s="1303" customFormat="1" ht="14.25" customHeight="1">
      <c r="A157" s="1311" t="s">
        <v>294</v>
      </c>
      <c r="B157" s="1322" t="s">
        <v>1800</v>
      </c>
      <c r="C157" s="1322"/>
      <c r="D157" s="1322"/>
      <c r="E157" s="1322"/>
      <c r="F157" s="1332">
        <v>1500</v>
      </c>
      <c r="H157" s="1331"/>
    </row>
    <row r="158" spans="1:8" s="1303" customFormat="1" ht="14.25" customHeight="1">
      <c r="A158" s="1311" t="s">
        <v>299</v>
      </c>
      <c r="B158" s="1312" t="s">
        <v>1467</v>
      </c>
      <c r="C158" s="1312">
        <v>8170</v>
      </c>
      <c r="D158" s="1312">
        <v>8140</v>
      </c>
      <c r="E158" s="1312">
        <v>8590</v>
      </c>
      <c r="F158" s="1313">
        <v>1450</v>
      </c>
      <c r="H158" s="1331"/>
    </row>
    <row r="159" spans="1:8" s="1303" customFormat="1" ht="14.25" customHeight="1">
      <c r="A159" s="1311" t="s">
        <v>299</v>
      </c>
      <c r="B159" s="1316" t="s">
        <v>1480</v>
      </c>
      <c r="C159" s="1316">
        <v>7410</v>
      </c>
      <c r="D159" s="1316">
        <v>7370</v>
      </c>
      <c r="E159" s="1316">
        <v>8030</v>
      </c>
      <c r="F159" s="1324">
        <v>1510</v>
      </c>
      <c r="H159" s="1331"/>
    </row>
    <row r="160" spans="1:8" s="1303" customFormat="1" ht="14.25" customHeight="1">
      <c r="A160" s="1311" t="s">
        <v>299</v>
      </c>
      <c r="B160" s="1316" t="s">
        <v>1493</v>
      </c>
      <c r="C160" s="1316">
        <v>7240</v>
      </c>
      <c r="D160" s="1316">
        <v>7210</v>
      </c>
      <c r="E160" s="1316">
        <v>7860</v>
      </c>
      <c r="F160" s="1324">
        <v>1370</v>
      </c>
      <c r="H160" s="1331"/>
    </row>
    <row r="161" spans="1:8" s="1303" customFormat="1" ht="14.25" customHeight="1">
      <c r="A161" s="1311" t="s">
        <v>299</v>
      </c>
      <c r="B161" s="1316" t="s">
        <v>1505</v>
      </c>
      <c r="C161" s="1316">
        <v>7720</v>
      </c>
      <c r="D161" s="1316">
        <v>7690</v>
      </c>
      <c r="E161" s="1316">
        <v>8200</v>
      </c>
      <c r="F161" s="1324">
        <v>1190</v>
      </c>
      <c r="H161" s="1331"/>
    </row>
    <row r="162" spans="1:8" s="1303" customFormat="1" ht="14.25" customHeight="1">
      <c r="A162" s="1311" t="s">
        <v>299</v>
      </c>
      <c r="B162" s="1316" t="s">
        <v>1517</v>
      </c>
      <c r="C162" s="1316">
        <v>6900</v>
      </c>
      <c r="D162" s="1316">
        <v>6870</v>
      </c>
      <c r="E162" s="1316">
        <v>7500</v>
      </c>
      <c r="F162" s="1324">
        <v>1390</v>
      </c>
      <c r="H162" s="1331"/>
    </row>
    <row r="163" spans="1:8" s="1303" customFormat="1" ht="14.25" customHeight="1">
      <c r="A163" s="1311" t="s">
        <v>299</v>
      </c>
      <c r="B163" s="1316" t="s">
        <v>1528</v>
      </c>
      <c r="C163" s="1316">
        <v>7120</v>
      </c>
      <c r="D163" s="1316">
        <v>7090</v>
      </c>
      <c r="E163" s="1316">
        <v>7690</v>
      </c>
      <c r="F163" s="1324">
        <v>1230</v>
      </c>
      <c r="H163" s="1331"/>
    </row>
    <row r="164" spans="1:8" s="1303" customFormat="1" ht="14.25" customHeight="1">
      <c r="A164" s="1311" t="s">
        <v>299</v>
      </c>
      <c r="B164" s="1316" t="s">
        <v>1539</v>
      </c>
      <c r="C164" s="1316">
        <v>6560</v>
      </c>
      <c r="D164" s="1316">
        <v>6530</v>
      </c>
      <c r="E164" s="1316">
        <v>7110</v>
      </c>
      <c r="F164" s="1324">
        <v>1340</v>
      </c>
      <c r="H164" s="1331"/>
    </row>
    <row r="165" spans="1:8" s="1303" customFormat="1" ht="14.25" customHeight="1">
      <c r="A165" s="1311" t="s">
        <v>299</v>
      </c>
      <c r="B165" s="1316" t="s">
        <v>1550</v>
      </c>
      <c r="C165" s="1316">
        <v>7450</v>
      </c>
      <c r="D165" s="1316">
        <v>7430</v>
      </c>
      <c r="E165" s="1316">
        <v>8110</v>
      </c>
      <c r="F165" s="1324">
        <v>1290</v>
      </c>
      <c r="H165" s="1331"/>
    </row>
    <row r="166" spans="1:8" s="1303" customFormat="1" ht="14.25" customHeight="1">
      <c r="A166" s="1311" t="s">
        <v>299</v>
      </c>
      <c r="B166" s="1316" t="s">
        <v>1560</v>
      </c>
      <c r="C166" s="1316">
        <v>7490</v>
      </c>
      <c r="D166" s="1316">
        <v>7460</v>
      </c>
      <c r="E166" s="1316">
        <v>8150</v>
      </c>
      <c r="F166" s="1324">
        <v>1350</v>
      </c>
      <c r="H166" s="1331"/>
    </row>
    <row r="167" spans="1:8" s="1303" customFormat="1" ht="14.25" customHeight="1">
      <c r="A167" s="1311" t="s">
        <v>299</v>
      </c>
      <c r="B167" s="1316" t="s">
        <v>1570</v>
      </c>
      <c r="C167" s="1316">
        <v>7540</v>
      </c>
      <c r="D167" s="1316">
        <v>7510</v>
      </c>
      <c r="E167" s="1316">
        <v>8030</v>
      </c>
      <c r="F167" s="1333"/>
      <c r="H167" s="1331"/>
    </row>
    <row r="168" spans="1:8" s="1303" customFormat="1" ht="14.25" customHeight="1">
      <c r="A168" s="1311" t="s">
        <v>299</v>
      </c>
      <c r="B168" s="1316" t="s">
        <v>1580</v>
      </c>
      <c r="C168" s="1316">
        <v>7210</v>
      </c>
      <c r="D168" s="1316">
        <v>7180</v>
      </c>
      <c r="E168" s="1316">
        <v>7830</v>
      </c>
      <c r="F168" s="1333"/>
      <c r="H168" s="1331"/>
    </row>
    <row r="169" spans="1:8" s="1303" customFormat="1" ht="14.25" customHeight="1">
      <c r="A169" s="1311" t="s">
        <v>299</v>
      </c>
      <c r="B169" s="1316" t="s">
        <v>1590</v>
      </c>
      <c r="C169" s="1316">
        <v>7040</v>
      </c>
      <c r="D169" s="1316">
        <v>7020</v>
      </c>
      <c r="E169" s="1316">
        <v>7670</v>
      </c>
      <c r="F169" s="1333"/>
      <c r="H169" s="1331"/>
    </row>
    <row r="170" spans="1:8" s="1303" customFormat="1" ht="14.25" customHeight="1">
      <c r="A170" s="1311" t="s">
        <v>299</v>
      </c>
      <c r="B170" s="1316" t="s">
        <v>1600</v>
      </c>
      <c r="C170" s="1316">
        <v>8040</v>
      </c>
      <c r="D170" s="1316">
        <v>7190</v>
      </c>
      <c r="E170" s="1316">
        <v>7850</v>
      </c>
      <c r="F170" s="1333"/>
      <c r="H170" s="1331"/>
    </row>
    <row r="171" spans="1:8" s="1303" customFormat="1" ht="14.25" customHeight="1">
      <c r="A171" s="1311" t="s">
        <v>299</v>
      </c>
      <c r="B171" s="1316" t="s">
        <v>1610</v>
      </c>
      <c r="C171" s="1316">
        <v>7860</v>
      </c>
      <c r="D171" s="1316">
        <v>7720</v>
      </c>
      <c r="E171" s="1316">
        <v>8150</v>
      </c>
      <c r="F171" s="1324">
        <v>1110</v>
      </c>
      <c r="H171" s="1331"/>
    </row>
    <row r="172" spans="1:8" s="1303" customFormat="1" ht="14.25" customHeight="1">
      <c r="A172" s="1311" t="s">
        <v>299</v>
      </c>
      <c r="B172" s="1316" t="s">
        <v>1620</v>
      </c>
      <c r="C172" s="1316">
        <v>7210</v>
      </c>
      <c r="D172" s="1316">
        <v>7170</v>
      </c>
      <c r="E172" s="1316">
        <v>7320</v>
      </c>
      <c r="F172" s="1333"/>
      <c r="H172" s="1331"/>
    </row>
    <row r="173" spans="1:8" s="1303" customFormat="1" ht="14.25" customHeight="1">
      <c r="A173" s="1311" t="s">
        <v>299</v>
      </c>
      <c r="B173" s="1316" t="s">
        <v>1630</v>
      </c>
      <c r="C173" s="1316">
        <v>6860</v>
      </c>
      <c r="D173" s="1316">
        <v>6810</v>
      </c>
      <c r="E173" s="1316">
        <v>7440</v>
      </c>
      <c r="F173" s="1333"/>
      <c r="H173" s="1331"/>
    </row>
    <row r="174" spans="1:8" s="1303" customFormat="1" ht="14.25" customHeight="1">
      <c r="A174" s="1311" t="s">
        <v>299</v>
      </c>
      <c r="B174" s="1316" t="s">
        <v>1640</v>
      </c>
      <c r="C174" s="1316">
        <v>7120</v>
      </c>
      <c r="D174" s="1316">
        <v>7090</v>
      </c>
      <c r="E174" s="1316">
        <v>7500</v>
      </c>
      <c r="F174" s="1324">
        <v>1490</v>
      </c>
      <c r="H174" s="1331"/>
    </row>
    <row r="175" spans="1:8" s="1303" customFormat="1" ht="14.25" customHeight="1">
      <c r="A175" s="1311" t="s">
        <v>299</v>
      </c>
      <c r="B175" s="1316" t="s">
        <v>1650</v>
      </c>
      <c r="C175" s="1316">
        <v>7850</v>
      </c>
      <c r="D175" s="1316">
        <v>7820</v>
      </c>
      <c r="E175" s="1316">
        <v>8120</v>
      </c>
      <c r="F175" s="1324">
        <v>1530</v>
      </c>
      <c r="H175" s="1331"/>
    </row>
    <row r="176" spans="1:8" s="1303" customFormat="1" ht="14.25" customHeight="1">
      <c r="A176" s="1311" t="s">
        <v>299</v>
      </c>
      <c r="B176" s="1316" t="s">
        <v>1660</v>
      </c>
      <c r="C176" s="1316">
        <v>7620</v>
      </c>
      <c r="D176" s="1316">
        <v>7570</v>
      </c>
      <c r="E176" s="1316">
        <v>7990</v>
      </c>
      <c r="F176" s="1324">
        <v>1480</v>
      </c>
      <c r="H176" s="1331"/>
    </row>
    <row r="177" spans="1:8" s="1303" customFormat="1" ht="14.25" customHeight="1">
      <c r="A177" s="1311" t="s">
        <v>299</v>
      </c>
      <c r="B177" s="1316" t="s">
        <v>1669</v>
      </c>
      <c r="C177" s="1316">
        <v>8590</v>
      </c>
      <c r="D177" s="1316">
        <v>8570</v>
      </c>
      <c r="E177" s="1316">
        <v>8740</v>
      </c>
      <c r="F177" s="1324">
        <v>1540</v>
      </c>
      <c r="H177" s="1331"/>
    </row>
    <row r="178" spans="1:8" s="1303" customFormat="1" ht="14.25" customHeight="1">
      <c r="A178" s="1311" t="s">
        <v>299</v>
      </c>
      <c r="B178" s="1316" t="s">
        <v>1677</v>
      </c>
      <c r="C178" s="1316">
        <v>7510</v>
      </c>
      <c r="D178" s="1316">
        <v>7470</v>
      </c>
      <c r="E178" s="1316">
        <v>8090</v>
      </c>
      <c r="F178" s="1324">
        <v>1320</v>
      </c>
      <c r="H178" s="1331"/>
    </row>
    <row r="179" spans="1:8" s="1303" customFormat="1" ht="14.25" customHeight="1">
      <c r="A179" s="1311" t="s">
        <v>299</v>
      </c>
      <c r="B179" s="1316" t="s">
        <v>1685</v>
      </c>
      <c r="C179" s="1316">
        <v>6380</v>
      </c>
      <c r="D179" s="1316">
        <v>6340</v>
      </c>
      <c r="E179" s="1316">
        <v>6810</v>
      </c>
      <c r="F179" s="1333"/>
      <c r="H179" s="1331"/>
    </row>
    <row r="180" spans="1:8" s="1303" customFormat="1" ht="14.25" customHeight="1">
      <c r="A180" s="1311" t="s">
        <v>299</v>
      </c>
      <c r="B180" s="1316" t="s">
        <v>1692</v>
      </c>
      <c r="C180" s="1316">
        <v>7830</v>
      </c>
      <c r="D180" s="1316">
        <v>7800</v>
      </c>
      <c r="E180" s="1316">
        <v>7780</v>
      </c>
      <c r="F180" s="1324">
        <v>1440</v>
      </c>
      <c r="H180" s="1331"/>
    </row>
    <row r="181" spans="1:8" s="1303" customFormat="1" ht="14.25" customHeight="1">
      <c r="A181" s="1311" t="s">
        <v>299</v>
      </c>
      <c r="B181" s="1316" t="s">
        <v>1699</v>
      </c>
      <c r="C181" s="1316">
        <v>7110</v>
      </c>
      <c r="D181" s="1316">
        <v>7080</v>
      </c>
      <c r="E181" s="1316">
        <v>7730</v>
      </c>
      <c r="F181" s="1324">
        <v>1350</v>
      </c>
      <c r="H181" s="1331"/>
    </row>
    <row r="182" spans="1:8" s="1303" customFormat="1" ht="14.25" customHeight="1">
      <c r="A182" s="1311" t="s">
        <v>299</v>
      </c>
      <c r="B182" s="1316" t="s">
        <v>1706</v>
      </c>
      <c r="C182" s="1316">
        <v>7310</v>
      </c>
      <c r="D182" s="1316">
        <v>7280</v>
      </c>
      <c r="E182" s="1316">
        <v>7950</v>
      </c>
      <c r="F182" s="1324">
        <v>1220</v>
      </c>
      <c r="H182" s="1331"/>
    </row>
    <row r="183" spans="1:8" s="1303" customFormat="1" ht="14.25" customHeight="1">
      <c r="A183" s="1311" t="s">
        <v>299</v>
      </c>
      <c r="B183" s="1316" t="s">
        <v>1713</v>
      </c>
      <c r="C183" s="1316">
        <v>7470</v>
      </c>
      <c r="D183" s="1316">
        <v>7440</v>
      </c>
      <c r="E183" s="1316">
        <v>7880</v>
      </c>
      <c r="F183" s="1333"/>
      <c r="H183" s="1331"/>
    </row>
    <row r="184" spans="1:8" s="1303" customFormat="1" ht="14.25" customHeight="1">
      <c r="A184" s="1311" t="s">
        <v>299</v>
      </c>
      <c r="B184" s="1316" t="s">
        <v>1720</v>
      </c>
      <c r="C184" s="1316">
        <v>6960</v>
      </c>
      <c r="D184" s="1316">
        <v>6930</v>
      </c>
      <c r="E184" s="1316">
        <v>7570</v>
      </c>
      <c r="F184" s="1333"/>
      <c r="H184" s="1331"/>
    </row>
    <row r="185" spans="1:8" s="1303" customFormat="1" ht="14.25" customHeight="1">
      <c r="A185" s="1311" t="s">
        <v>299</v>
      </c>
      <c r="B185" s="1316" t="s">
        <v>1725</v>
      </c>
      <c r="C185" s="1316">
        <v>7260</v>
      </c>
      <c r="D185" s="1316">
        <v>7230</v>
      </c>
      <c r="E185" s="1316">
        <v>7710</v>
      </c>
      <c r="F185" s="1324">
        <v>1360</v>
      </c>
      <c r="H185" s="1331"/>
    </row>
    <row r="186" spans="1:8" s="1303" customFormat="1" ht="14.25" customHeight="1">
      <c r="A186" s="1311" t="s">
        <v>299</v>
      </c>
      <c r="B186" s="1316" t="s">
        <v>1730</v>
      </c>
      <c r="C186" s="1316"/>
      <c r="D186" s="1316"/>
      <c r="E186" s="1316"/>
      <c r="F186" s="1324">
        <v>1560</v>
      </c>
      <c r="H186" s="1331"/>
    </row>
    <row r="187" spans="1:8" s="1303" customFormat="1" ht="14.25" customHeight="1">
      <c r="A187" s="1311" t="s">
        <v>299</v>
      </c>
      <c r="B187" s="1316" t="s">
        <v>1735</v>
      </c>
      <c r="C187" s="1316"/>
      <c r="D187" s="1316"/>
      <c r="E187" s="1316"/>
      <c r="F187" s="1324">
        <v>1560</v>
      </c>
      <c r="H187" s="1331"/>
    </row>
    <row r="188" spans="1:8" s="1303" customFormat="1" ht="14.25" customHeight="1">
      <c r="A188" s="1311" t="s">
        <v>299</v>
      </c>
      <c r="B188" s="1316" t="s">
        <v>1740</v>
      </c>
      <c r="C188" s="1316"/>
      <c r="D188" s="1316"/>
      <c r="E188" s="1316"/>
      <c r="F188" s="1324">
        <v>1560</v>
      </c>
      <c r="H188" s="1331"/>
    </row>
    <row r="189" spans="1:8" s="1303" customFormat="1" ht="14.25" customHeight="1">
      <c r="A189" s="1311" t="s">
        <v>299</v>
      </c>
      <c r="B189" s="1316" t="s">
        <v>1745</v>
      </c>
      <c r="C189" s="1316"/>
      <c r="D189" s="1316"/>
      <c r="E189" s="1316"/>
      <c r="F189" s="1324">
        <v>1320</v>
      </c>
      <c r="H189" s="1331"/>
    </row>
    <row r="190" spans="1:8" s="1303" customFormat="1" ht="14.25" customHeight="1">
      <c r="A190" s="1311" t="s">
        <v>299</v>
      </c>
      <c r="B190" s="1316" t="s">
        <v>1750</v>
      </c>
      <c r="C190" s="1316"/>
      <c r="D190" s="1316"/>
      <c r="E190" s="1316"/>
      <c r="F190" s="1324">
        <v>1320</v>
      </c>
      <c r="H190" s="1331"/>
    </row>
    <row r="191" spans="1:8" s="1303" customFormat="1" ht="14.25" customHeight="1">
      <c r="A191" s="1311" t="s">
        <v>299</v>
      </c>
      <c r="B191" s="1316" t="s">
        <v>1755</v>
      </c>
      <c r="C191" s="1316"/>
      <c r="D191" s="1316"/>
      <c r="E191" s="1316"/>
      <c r="F191" s="1324">
        <v>1320</v>
      </c>
      <c r="H191" s="1331"/>
    </row>
    <row r="192" spans="1:8" s="1303" customFormat="1" ht="14.25" customHeight="1">
      <c r="A192" s="1311" t="s">
        <v>299</v>
      </c>
      <c r="B192" s="1316" t="s">
        <v>1759</v>
      </c>
      <c r="C192" s="1316"/>
      <c r="D192" s="1316"/>
      <c r="E192" s="1316"/>
      <c r="F192" s="1324">
        <v>1100</v>
      </c>
      <c r="H192" s="1331"/>
    </row>
    <row r="193" spans="1:8" s="1303" customFormat="1" ht="14.25" customHeight="1">
      <c r="A193" s="1311" t="s">
        <v>299</v>
      </c>
      <c r="B193" s="1316" t="s">
        <v>1763</v>
      </c>
      <c r="C193" s="1316"/>
      <c r="D193" s="1316"/>
      <c r="E193" s="1316"/>
      <c r="F193" s="1324">
        <v>1100</v>
      </c>
      <c r="H193" s="1331"/>
    </row>
    <row r="194" spans="1:8" s="1303" customFormat="1" ht="14.25" customHeight="1">
      <c r="A194" s="1311" t="s">
        <v>299</v>
      </c>
      <c r="B194" s="1316" t="s">
        <v>1767</v>
      </c>
      <c r="C194" s="1316"/>
      <c r="D194" s="1316"/>
      <c r="E194" s="1316"/>
      <c r="F194" s="1324">
        <v>1080</v>
      </c>
      <c r="H194" s="1331"/>
    </row>
    <row r="195" spans="1:8" s="1303" customFormat="1" ht="14.25" customHeight="1">
      <c r="A195" s="1311" t="s">
        <v>299</v>
      </c>
      <c r="B195" s="1316" t="s">
        <v>1771</v>
      </c>
      <c r="C195" s="1316"/>
      <c r="D195" s="1316"/>
      <c r="E195" s="1316"/>
      <c r="F195" s="1324">
        <v>1270</v>
      </c>
      <c r="H195" s="1331"/>
    </row>
    <row r="196" spans="1:8" s="1303" customFormat="1" ht="14.25" customHeight="1">
      <c r="A196" s="1311" t="s">
        <v>299</v>
      </c>
      <c r="B196" s="1316" t="s">
        <v>1775</v>
      </c>
      <c r="C196" s="1316"/>
      <c r="D196" s="1316"/>
      <c r="E196" s="1316"/>
      <c r="F196" s="1324">
        <v>1150</v>
      </c>
      <c r="H196" s="1331"/>
    </row>
    <row r="197" spans="1:8" s="1303" customFormat="1" ht="14.25" customHeight="1">
      <c r="A197" s="1311" t="s">
        <v>299</v>
      </c>
      <c r="B197" s="1316" t="s">
        <v>1779</v>
      </c>
      <c r="C197" s="1316"/>
      <c r="D197" s="1316"/>
      <c r="E197" s="1316"/>
      <c r="F197" s="1324">
        <v>1330</v>
      </c>
      <c r="H197" s="1331"/>
    </row>
    <row r="198" spans="1:8" s="1303" customFormat="1" ht="14.25" customHeight="1">
      <c r="A198" s="1311" t="s">
        <v>299</v>
      </c>
      <c r="B198" s="1316" t="s">
        <v>1782</v>
      </c>
      <c r="C198" s="1316"/>
      <c r="D198" s="1316"/>
      <c r="E198" s="1316"/>
      <c r="F198" s="1324">
        <v>1170</v>
      </c>
      <c r="H198" s="1331"/>
    </row>
    <row r="199" spans="1:8" s="1303" customFormat="1" ht="14.25" customHeight="1">
      <c r="A199" s="1311" t="s">
        <v>299</v>
      </c>
      <c r="B199" s="1316" t="s">
        <v>1785</v>
      </c>
      <c r="C199" s="1316"/>
      <c r="D199" s="1316"/>
      <c r="E199" s="1316"/>
      <c r="F199" s="1324">
        <v>1120</v>
      </c>
      <c r="H199" s="1331"/>
    </row>
    <row r="200" spans="1:8" s="1303" customFormat="1" ht="14.25" customHeight="1">
      <c r="A200" s="1311" t="s">
        <v>299</v>
      </c>
      <c r="B200" s="1316" t="s">
        <v>1788</v>
      </c>
      <c r="C200" s="1316"/>
      <c r="D200" s="1316"/>
      <c r="E200" s="1316"/>
      <c r="F200" s="1324">
        <v>1120</v>
      </c>
      <c r="H200" s="1331"/>
    </row>
    <row r="201" spans="1:8" s="1303" customFormat="1" ht="14.25" customHeight="1">
      <c r="A201" s="1311" t="s">
        <v>299</v>
      </c>
      <c r="B201" s="1316" t="s">
        <v>1791</v>
      </c>
      <c r="C201" s="1316"/>
      <c r="D201" s="1316"/>
      <c r="E201" s="1316"/>
      <c r="F201" s="1324">
        <v>1540</v>
      </c>
      <c r="H201" s="1331"/>
    </row>
    <row r="202" spans="1:8" s="1303" customFormat="1" ht="14.25" customHeight="1">
      <c r="A202" s="1311" t="s">
        <v>299</v>
      </c>
      <c r="B202" s="1316" t="s">
        <v>1794</v>
      </c>
      <c r="C202" s="1316"/>
      <c r="D202" s="1316"/>
      <c r="E202" s="1316"/>
      <c r="F202" s="1324">
        <v>1310</v>
      </c>
      <c r="H202" s="1331"/>
    </row>
    <row r="203" spans="1:8" s="1303" customFormat="1" ht="14.25" customHeight="1">
      <c r="A203" s="1311" t="s">
        <v>299</v>
      </c>
      <c r="B203" s="1316" t="s">
        <v>1797</v>
      </c>
      <c r="C203" s="1316"/>
      <c r="D203" s="1316"/>
      <c r="E203" s="1316"/>
      <c r="F203" s="1324">
        <v>1310</v>
      </c>
      <c r="H203" s="1331"/>
    </row>
    <row r="204" spans="1:8" s="1303" customFormat="1" ht="14.25" customHeight="1">
      <c r="A204" s="1311" t="s">
        <v>299</v>
      </c>
      <c r="B204" s="1316" t="s">
        <v>1799</v>
      </c>
      <c r="C204" s="1316"/>
      <c r="D204" s="1316"/>
      <c r="E204" s="1316"/>
      <c r="F204" s="1324">
        <v>1080</v>
      </c>
      <c r="H204" s="1331"/>
    </row>
    <row r="205" spans="1:8" s="1303" customFormat="1" ht="14.25" customHeight="1">
      <c r="A205" s="1311" t="s">
        <v>299</v>
      </c>
      <c r="B205" s="1316" t="s">
        <v>1801</v>
      </c>
      <c r="C205" s="1316"/>
      <c r="D205" s="1316"/>
      <c r="E205" s="1316"/>
      <c r="F205" s="1324">
        <v>1080</v>
      </c>
      <c r="H205" s="1331"/>
    </row>
    <row r="206" spans="1:8" s="1303" customFormat="1" ht="14.25" customHeight="1">
      <c r="A206" s="1311" t="s">
        <v>304</v>
      </c>
      <c r="B206" s="1312" t="s">
        <v>1468</v>
      </c>
      <c r="C206" s="1312">
        <v>5450</v>
      </c>
      <c r="D206" s="1312">
        <v>5430</v>
      </c>
      <c r="E206" s="1312">
        <v>5700</v>
      </c>
      <c r="F206" s="1313">
        <v>1020</v>
      </c>
      <c r="H206" s="1331"/>
    </row>
    <row r="207" spans="1:8" s="1303" customFormat="1" ht="14.25" customHeight="1">
      <c r="A207" s="1311" t="s">
        <v>304</v>
      </c>
      <c r="B207" s="1316" t="s">
        <v>1481</v>
      </c>
      <c r="C207" s="1316">
        <v>5860</v>
      </c>
      <c r="D207" s="1316">
        <v>5820</v>
      </c>
      <c r="E207" s="1316">
        <v>6050</v>
      </c>
      <c r="F207" s="1324">
        <v>1080</v>
      </c>
      <c r="H207" s="1331"/>
    </row>
    <row r="208" spans="1:8" s="1303" customFormat="1" ht="14.25" customHeight="1">
      <c r="A208" s="1311" t="s">
        <v>304</v>
      </c>
      <c r="B208" s="1316" t="s">
        <v>1494</v>
      </c>
      <c r="C208" s="1316">
        <v>4630</v>
      </c>
      <c r="D208" s="1316">
        <v>4600</v>
      </c>
      <c r="E208" s="1316">
        <v>4840</v>
      </c>
      <c r="F208" s="1324">
        <v>900</v>
      </c>
      <c r="H208" s="1331"/>
    </row>
    <row r="209" spans="1:8" s="1303" customFormat="1" ht="14.25" customHeight="1">
      <c r="A209" s="1311" t="s">
        <v>304</v>
      </c>
      <c r="B209" s="1316" t="s">
        <v>1506</v>
      </c>
      <c r="C209" s="1316">
        <v>5320</v>
      </c>
      <c r="D209" s="1316">
        <v>5270</v>
      </c>
      <c r="E209" s="1316">
        <v>5540</v>
      </c>
      <c r="F209" s="1324">
        <v>980</v>
      </c>
      <c r="H209" s="1331"/>
    </row>
    <row r="210" spans="1:8" s="1303" customFormat="1" ht="14.25" customHeight="1">
      <c r="A210" s="1311" t="s">
        <v>304</v>
      </c>
      <c r="B210" s="1316" t="s">
        <v>1518</v>
      </c>
      <c r="C210" s="1316">
        <v>5760</v>
      </c>
      <c r="D210" s="1316">
        <v>5710</v>
      </c>
      <c r="E210" s="1316">
        <v>6010</v>
      </c>
      <c r="F210" s="1324">
        <v>870</v>
      </c>
      <c r="H210" s="1331"/>
    </row>
    <row r="211" spans="1:8" s="1303" customFormat="1" ht="14.25" customHeight="1">
      <c r="A211" s="1311" t="s">
        <v>304</v>
      </c>
      <c r="B211" s="1316" t="s">
        <v>1529</v>
      </c>
      <c r="C211" s="1316">
        <v>4160</v>
      </c>
      <c r="D211" s="1316">
        <v>4100</v>
      </c>
      <c r="E211" s="1316">
        <v>4270</v>
      </c>
      <c r="F211" s="1324">
        <v>790</v>
      </c>
      <c r="H211" s="1331"/>
    </row>
    <row r="212" spans="1:8" s="1303" customFormat="1" ht="14.25" customHeight="1">
      <c r="A212" s="1311" t="s">
        <v>304</v>
      </c>
      <c r="B212" s="1316" t="s">
        <v>1540</v>
      </c>
      <c r="C212" s="1316">
        <v>4880</v>
      </c>
      <c r="D212" s="1316">
        <v>4850</v>
      </c>
      <c r="E212" s="1316">
        <v>5110</v>
      </c>
      <c r="F212" s="1324">
        <v>940</v>
      </c>
      <c r="H212" s="1331"/>
    </row>
    <row r="213" spans="1:8" s="1303" customFormat="1" ht="14.25" customHeight="1">
      <c r="A213" s="1311" t="s">
        <v>304</v>
      </c>
      <c r="B213" s="1316" t="s">
        <v>1551</v>
      </c>
      <c r="C213" s="1316">
        <v>4640</v>
      </c>
      <c r="D213" s="1316">
        <v>4590</v>
      </c>
      <c r="E213" s="1316">
        <v>4700</v>
      </c>
      <c r="F213" s="1324">
        <v>1030</v>
      </c>
      <c r="H213" s="1331"/>
    </row>
    <row r="214" spans="1:8" s="1303" customFormat="1" ht="14.25" customHeight="1">
      <c r="A214" s="1311" t="s">
        <v>304</v>
      </c>
      <c r="B214" s="1316" t="s">
        <v>1561</v>
      </c>
      <c r="C214" s="1316">
        <v>4540</v>
      </c>
      <c r="D214" s="1316">
        <v>4490</v>
      </c>
      <c r="E214" s="1316">
        <v>4610</v>
      </c>
      <c r="F214" s="1333"/>
      <c r="H214" s="1331"/>
    </row>
    <row r="215" spans="1:8" s="1303" customFormat="1" ht="14.25" customHeight="1">
      <c r="A215" s="1311" t="s">
        <v>304</v>
      </c>
      <c r="B215" s="1316" t="s">
        <v>1571</v>
      </c>
      <c r="C215" s="1316">
        <v>5280</v>
      </c>
      <c r="D215" s="1316">
        <v>5250</v>
      </c>
      <c r="E215" s="1316">
        <v>5520</v>
      </c>
      <c r="F215" s="1324">
        <v>1000</v>
      </c>
      <c r="H215" s="1331"/>
    </row>
    <row r="216" spans="1:8" s="1303" customFormat="1" ht="14.25" customHeight="1">
      <c r="A216" s="1311" t="s">
        <v>304</v>
      </c>
      <c r="B216" s="1316" t="s">
        <v>1581</v>
      </c>
      <c r="C216" s="1316">
        <v>5100</v>
      </c>
      <c r="D216" s="1316">
        <v>5050</v>
      </c>
      <c r="E216" s="1316">
        <v>5300</v>
      </c>
      <c r="F216" s="1324">
        <v>950</v>
      </c>
      <c r="H216" s="1331"/>
    </row>
    <row r="217" spans="1:8" s="1303" customFormat="1" ht="14.25" customHeight="1">
      <c r="A217" s="1311" t="s">
        <v>304</v>
      </c>
      <c r="B217" s="1316" t="s">
        <v>1591</v>
      </c>
      <c r="C217" s="1316">
        <v>5370</v>
      </c>
      <c r="D217" s="1316">
        <v>5320</v>
      </c>
      <c r="E217" s="1316">
        <v>5410</v>
      </c>
      <c r="F217" s="1324">
        <v>950</v>
      </c>
      <c r="H217" s="1331"/>
    </row>
    <row r="218" spans="1:8" s="1303" customFormat="1" ht="14.25" customHeight="1">
      <c r="A218" s="1311" t="s">
        <v>304</v>
      </c>
      <c r="B218" s="1316" t="s">
        <v>1601</v>
      </c>
      <c r="C218" s="1316">
        <v>5540</v>
      </c>
      <c r="D218" s="1316">
        <v>5480</v>
      </c>
      <c r="E218" s="1316">
        <v>5740</v>
      </c>
      <c r="F218" s="1324">
        <v>1020</v>
      </c>
      <c r="H218" s="1331"/>
    </row>
    <row r="219" spans="1:8" s="1303" customFormat="1" ht="14.25" customHeight="1">
      <c r="A219" s="1311" t="s">
        <v>304</v>
      </c>
      <c r="B219" s="1316" t="s">
        <v>1611</v>
      </c>
      <c r="C219" s="1316">
        <v>5140</v>
      </c>
      <c r="D219" s="1316">
        <v>5100</v>
      </c>
      <c r="E219" s="1316">
        <v>5350</v>
      </c>
      <c r="F219" s="1324">
        <v>1120</v>
      </c>
      <c r="H219" s="1331"/>
    </row>
    <row r="220" spans="1:8" s="1303" customFormat="1" ht="14.25" customHeight="1">
      <c r="A220" s="1311" t="s">
        <v>304</v>
      </c>
      <c r="B220" s="1316" t="s">
        <v>1621</v>
      </c>
      <c r="C220" s="1316">
        <v>5040</v>
      </c>
      <c r="D220" s="1316">
        <v>5000</v>
      </c>
      <c r="E220" s="1316">
        <v>5240</v>
      </c>
      <c r="F220" s="1324">
        <v>980</v>
      </c>
      <c r="H220" s="1331"/>
    </row>
    <row r="221" spans="1:8" s="1303" customFormat="1" ht="14.25" customHeight="1">
      <c r="A221" s="1311" t="s">
        <v>304</v>
      </c>
      <c r="B221" s="1316" t="s">
        <v>1631</v>
      </c>
      <c r="C221" s="1338"/>
      <c r="D221" s="1338"/>
      <c r="E221" s="1338"/>
      <c r="F221" s="1324">
        <v>1070</v>
      </c>
      <c r="H221" s="1331"/>
    </row>
    <row r="222" spans="1:8" s="1303" customFormat="1" ht="14.25" customHeight="1">
      <c r="A222" s="1311" t="s">
        <v>304</v>
      </c>
      <c r="B222" s="1316" t="s">
        <v>1641</v>
      </c>
      <c r="C222" s="1338"/>
      <c r="D222" s="1338"/>
      <c r="E222" s="1338"/>
      <c r="F222" s="1324">
        <v>870</v>
      </c>
      <c r="H222" s="1331"/>
    </row>
    <row r="223" spans="1:8" s="1303" customFormat="1" ht="14.25" customHeight="1">
      <c r="A223" s="1311" t="s">
        <v>304</v>
      </c>
      <c r="B223" s="1316" t="s">
        <v>1651</v>
      </c>
      <c r="C223" s="1338"/>
      <c r="D223" s="1338"/>
      <c r="E223" s="1338"/>
      <c r="F223" s="1324">
        <v>940</v>
      </c>
      <c r="H223" s="1331"/>
    </row>
    <row r="224" spans="1:8" s="1303" customFormat="1" ht="14.25" customHeight="1">
      <c r="A224" s="1311" t="s">
        <v>304</v>
      </c>
      <c r="B224" s="1316" t="s">
        <v>1661</v>
      </c>
      <c r="C224" s="1338"/>
      <c r="D224" s="1338"/>
      <c r="E224" s="1338"/>
      <c r="F224" s="1324">
        <v>990</v>
      </c>
      <c r="H224" s="1331"/>
    </row>
    <row r="225" spans="1:8" s="1303" customFormat="1" ht="14.25" customHeight="1">
      <c r="A225" s="1311" t="s">
        <v>304</v>
      </c>
      <c r="B225" s="1316" t="s">
        <v>1670</v>
      </c>
      <c r="C225" s="1316">
        <v>5730</v>
      </c>
      <c r="D225" s="1316">
        <v>5680</v>
      </c>
      <c r="E225" s="1316">
        <v>6020</v>
      </c>
      <c r="F225" s="1324">
        <v>1000</v>
      </c>
      <c r="H225" s="1331"/>
    </row>
    <row r="226" spans="1:8" s="1303" customFormat="1" ht="14.25" customHeight="1">
      <c r="A226" s="1311" t="s">
        <v>304</v>
      </c>
      <c r="B226" s="1316" t="s">
        <v>1678</v>
      </c>
      <c r="C226" s="1316">
        <v>4970</v>
      </c>
      <c r="D226" s="1316">
        <v>4940</v>
      </c>
      <c r="E226" s="1316">
        <v>5180</v>
      </c>
      <c r="F226" s="1324">
        <v>960</v>
      </c>
      <c r="H226" s="1331"/>
    </row>
    <row r="227" spans="1:8" s="1303" customFormat="1" ht="14.25" customHeight="1">
      <c r="A227" s="1311" t="s">
        <v>304</v>
      </c>
      <c r="B227" s="1316" t="s">
        <v>1686</v>
      </c>
      <c r="C227" s="1316">
        <v>5550</v>
      </c>
      <c r="D227" s="1316">
        <v>5500</v>
      </c>
      <c r="E227" s="1316">
        <v>5780</v>
      </c>
      <c r="F227" s="1324">
        <v>940</v>
      </c>
      <c r="H227" s="1331"/>
    </row>
    <row r="228" spans="1:8" s="1303" customFormat="1" ht="14.25" customHeight="1">
      <c r="A228" s="1311" t="s">
        <v>304</v>
      </c>
      <c r="B228" s="1316" t="s">
        <v>1693</v>
      </c>
      <c r="C228" s="1316">
        <v>5460</v>
      </c>
      <c r="D228" s="1316">
        <v>5420</v>
      </c>
      <c r="E228" s="1316">
        <v>5690</v>
      </c>
      <c r="F228" s="1324">
        <v>910</v>
      </c>
      <c r="H228" s="1331"/>
    </row>
    <row r="229" spans="1:8" s="1303" customFormat="1" ht="14.25" customHeight="1">
      <c r="A229" s="1311" t="s">
        <v>304</v>
      </c>
      <c r="B229" s="1316" t="s">
        <v>1700</v>
      </c>
      <c r="C229" s="1316">
        <v>5310</v>
      </c>
      <c r="D229" s="1316">
        <v>5270</v>
      </c>
      <c r="E229" s="1316">
        <v>5510</v>
      </c>
      <c r="F229" s="1333"/>
      <c r="H229" s="1331"/>
    </row>
    <row r="230" spans="1:8" s="1303" customFormat="1" ht="14.25" customHeight="1">
      <c r="A230" s="1311" t="s">
        <v>304</v>
      </c>
      <c r="B230" s="1316" t="s">
        <v>1707</v>
      </c>
      <c r="C230" s="1316">
        <v>4540</v>
      </c>
      <c r="D230" s="1316">
        <v>4500</v>
      </c>
      <c r="E230" s="1316">
        <v>4730</v>
      </c>
      <c r="F230" s="1333"/>
      <c r="H230" s="1331"/>
    </row>
    <row r="231" spans="1:8" s="1303" customFormat="1" ht="14.25" customHeight="1">
      <c r="A231" s="1311" t="s">
        <v>304</v>
      </c>
      <c r="B231" s="1316" t="s">
        <v>1714</v>
      </c>
      <c r="C231" s="1316">
        <v>4480</v>
      </c>
      <c r="D231" s="1316">
        <v>4410</v>
      </c>
      <c r="E231" s="1316">
        <v>4640</v>
      </c>
      <c r="F231" s="1333"/>
      <c r="H231" s="1331"/>
    </row>
    <row r="232" spans="1:8" s="1303" customFormat="1" ht="14.25" customHeight="1">
      <c r="A232" s="1311" t="s">
        <v>304</v>
      </c>
      <c r="B232" s="1316" t="s">
        <v>1721</v>
      </c>
      <c r="C232" s="1316">
        <v>5670</v>
      </c>
      <c r="D232" s="1316">
        <v>5600</v>
      </c>
      <c r="E232" s="1316">
        <v>5890</v>
      </c>
      <c r="F232" s="1324">
        <v>1150</v>
      </c>
      <c r="H232" s="1331"/>
    </row>
    <row r="233" spans="1:8" s="1303" customFormat="1" ht="14.25" customHeight="1">
      <c r="A233" s="1311" t="s">
        <v>304</v>
      </c>
      <c r="B233" s="1316" t="s">
        <v>1726</v>
      </c>
      <c r="C233" s="1316">
        <v>4590</v>
      </c>
      <c r="D233" s="1316">
        <v>4500</v>
      </c>
      <c r="E233" s="1316">
        <v>4600</v>
      </c>
      <c r="F233" s="1333"/>
      <c r="H233" s="1331"/>
    </row>
    <row r="234" spans="1:8" s="1303" customFormat="1" ht="14.25" customHeight="1">
      <c r="A234" s="1311" t="s">
        <v>304</v>
      </c>
      <c r="B234" s="1316" t="s">
        <v>1731</v>
      </c>
      <c r="C234" s="1316">
        <v>3990</v>
      </c>
      <c r="D234" s="1316">
        <v>3950</v>
      </c>
      <c r="E234" s="1316">
        <v>4180</v>
      </c>
      <c r="F234" s="1333"/>
      <c r="H234" s="1331"/>
    </row>
    <row r="235" spans="1:8" s="1303" customFormat="1" ht="14.25" customHeight="1">
      <c r="A235" s="1311" t="s">
        <v>304</v>
      </c>
      <c r="B235" s="1316" t="s">
        <v>1736</v>
      </c>
      <c r="C235" s="1316">
        <v>5590</v>
      </c>
      <c r="D235" s="1316">
        <v>5540</v>
      </c>
      <c r="E235" s="1316">
        <v>5810</v>
      </c>
      <c r="F235" s="1324">
        <v>970</v>
      </c>
      <c r="H235" s="1331"/>
    </row>
    <row r="236" spans="1:8" s="1303" customFormat="1" ht="14.25" customHeight="1">
      <c r="A236" s="1311" t="s">
        <v>304</v>
      </c>
      <c r="B236" s="1316" t="s">
        <v>1741</v>
      </c>
      <c r="C236" s="1316"/>
      <c r="D236" s="1316"/>
      <c r="E236" s="1316"/>
      <c r="F236" s="1324">
        <v>1020</v>
      </c>
      <c r="H236" s="1331"/>
    </row>
    <row r="237" spans="1:8" s="1303" customFormat="1" ht="14.25" customHeight="1">
      <c r="A237" s="1311" t="s">
        <v>304</v>
      </c>
      <c r="B237" s="1316" t="s">
        <v>1746</v>
      </c>
      <c r="C237" s="1316"/>
      <c r="D237" s="1316"/>
      <c r="E237" s="1316"/>
      <c r="F237" s="1324">
        <v>960</v>
      </c>
      <c r="H237" s="1331"/>
    </row>
    <row r="238" spans="1:8" s="1303" customFormat="1" ht="14.25" customHeight="1">
      <c r="A238" s="1311" t="s">
        <v>304</v>
      </c>
      <c r="B238" s="1316" t="s">
        <v>1751</v>
      </c>
      <c r="C238" s="1316"/>
      <c r="D238" s="1316"/>
      <c r="E238" s="1316"/>
      <c r="F238" s="1324">
        <v>960</v>
      </c>
      <c r="H238" s="1331"/>
    </row>
    <row r="239" spans="1:8" s="1303" customFormat="1" ht="14.25" customHeight="1">
      <c r="A239" s="1311" t="s">
        <v>304</v>
      </c>
      <c r="B239" s="1316" t="s">
        <v>1756</v>
      </c>
      <c r="C239" s="1316"/>
      <c r="D239" s="1316"/>
      <c r="E239" s="1316"/>
      <c r="F239" s="1324">
        <v>960</v>
      </c>
      <c r="H239" s="1331"/>
    </row>
    <row r="240" spans="1:8" s="1303" customFormat="1" ht="14.25" customHeight="1">
      <c r="A240" s="1311" t="s">
        <v>304</v>
      </c>
      <c r="B240" s="1316" t="s">
        <v>1760</v>
      </c>
      <c r="C240" s="1316"/>
      <c r="D240" s="1316"/>
      <c r="E240" s="1316"/>
      <c r="F240" s="1324">
        <v>990</v>
      </c>
      <c r="H240" s="1331"/>
    </row>
    <row r="241" spans="1:8" s="1303" customFormat="1" ht="14.25" customHeight="1">
      <c r="A241" s="1311" t="s">
        <v>304</v>
      </c>
      <c r="B241" s="1316" t="s">
        <v>1764</v>
      </c>
      <c r="C241" s="1316"/>
      <c r="D241" s="1316"/>
      <c r="E241" s="1316"/>
      <c r="F241" s="1324">
        <v>1000</v>
      </c>
      <c r="H241" s="1331"/>
    </row>
    <row r="242" spans="1:8" s="1303" customFormat="1" ht="14.25" customHeight="1">
      <c r="A242" s="1311" t="s">
        <v>304</v>
      </c>
      <c r="B242" s="1316" t="s">
        <v>1768</v>
      </c>
      <c r="C242" s="1316"/>
      <c r="D242" s="1316"/>
      <c r="E242" s="1316"/>
      <c r="F242" s="1324">
        <v>980</v>
      </c>
      <c r="H242" s="1331"/>
    </row>
    <row r="243" spans="1:8" s="1303" customFormat="1" ht="14.25" customHeight="1">
      <c r="A243" s="1311" t="s">
        <v>304</v>
      </c>
      <c r="B243" s="1316" t="s">
        <v>1772</v>
      </c>
      <c r="C243" s="1316"/>
      <c r="D243" s="1316"/>
      <c r="E243" s="1316"/>
      <c r="F243" s="1324">
        <v>970</v>
      </c>
      <c r="H243" s="1331"/>
    </row>
    <row r="244" spans="1:8" s="1303" customFormat="1" ht="14.25" customHeight="1">
      <c r="A244" s="1311" t="s">
        <v>304</v>
      </c>
      <c r="B244" s="1322" t="s">
        <v>1776</v>
      </c>
      <c r="C244" s="1322"/>
      <c r="D244" s="1322"/>
      <c r="E244" s="1322"/>
      <c r="F244" s="1332">
        <v>970</v>
      </c>
      <c r="H244" s="1331"/>
    </row>
    <row r="245" spans="1:8" s="1303" customFormat="1" ht="14.25" customHeight="1">
      <c r="A245" s="1311" t="s">
        <v>307</v>
      </c>
      <c r="B245" s="1312" t="s">
        <v>1469</v>
      </c>
      <c r="C245" s="1312">
        <v>4050</v>
      </c>
      <c r="D245" s="1312">
        <v>4020</v>
      </c>
      <c r="E245" s="1312">
        <v>4160</v>
      </c>
      <c r="F245" s="1313">
        <v>840</v>
      </c>
      <c r="H245" s="1331"/>
    </row>
    <row r="246" spans="1:8" s="1303" customFormat="1" ht="14.25" customHeight="1">
      <c r="A246" s="1311" t="s">
        <v>307</v>
      </c>
      <c r="B246" s="1316" t="s">
        <v>1482</v>
      </c>
      <c r="C246" s="1316">
        <v>4010</v>
      </c>
      <c r="D246" s="1316">
        <v>3960</v>
      </c>
      <c r="E246" s="1316">
        <v>4130</v>
      </c>
      <c r="F246" s="1324">
        <v>840</v>
      </c>
      <c r="H246" s="1331"/>
    </row>
    <row r="247" spans="1:8" s="1303" customFormat="1" ht="14.25" customHeight="1">
      <c r="A247" s="1311" t="s">
        <v>307</v>
      </c>
      <c r="B247" s="1316" t="s">
        <v>1495</v>
      </c>
      <c r="C247" s="1316">
        <v>3170</v>
      </c>
      <c r="D247" s="1316">
        <v>3140</v>
      </c>
      <c r="E247" s="1316">
        <v>3270</v>
      </c>
      <c r="F247" s="1324">
        <v>640</v>
      </c>
      <c r="H247" s="1331"/>
    </row>
    <row r="248" spans="1:8" s="1303" customFormat="1" ht="14.25" customHeight="1">
      <c r="A248" s="1311" t="s">
        <v>307</v>
      </c>
      <c r="B248" s="1316" t="s">
        <v>1507</v>
      </c>
      <c r="C248" s="1316">
        <v>3140</v>
      </c>
      <c r="D248" s="1316">
        <v>3120</v>
      </c>
      <c r="E248" s="1316">
        <v>3240</v>
      </c>
      <c r="F248" s="1324">
        <v>620</v>
      </c>
      <c r="H248" s="1331"/>
    </row>
    <row r="249" spans="1:8" s="1303" customFormat="1" ht="14.25" customHeight="1">
      <c r="A249" s="1311" t="s">
        <v>307</v>
      </c>
      <c r="B249" s="1316" t="s">
        <v>1519</v>
      </c>
      <c r="C249" s="1316">
        <v>3200</v>
      </c>
      <c r="D249" s="1316">
        <v>3100</v>
      </c>
      <c r="E249" s="1316">
        <v>3230</v>
      </c>
      <c r="F249" s="1324">
        <v>750</v>
      </c>
      <c r="H249" s="1331"/>
    </row>
    <row r="250" spans="1:8" s="1303" customFormat="1" ht="14.25" customHeight="1">
      <c r="A250" s="1311" t="s">
        <v>307</v>
      </c>
      <c r="B250" s="1316" t="s">
        <v>1530</v>
      </c>
      <c r="C250" s="1316">
        <v>4060</v>
      </c>
      <c r="D250" s="1316">
        <v>4000</v>
      </c>
      <c r="E250" s="1316">
        <v>4140</v>
      </c>
      <c r="F250" s="1324">
        <v>790</v>
      </c>
      <c r="H250" s="1331"/>
    </row>
    <row r="251" spans="1:8" s="1303" customFormat="1" ht="14.25" customHeight="1">
      <c r="A251" s="1311" t="s">
        <v>307</v>
      </c>
      <c r="B251" s="1316" t="s">
        <v>1541</v>
      </c>
      <c r="C251" s="1316">
        <v>3990</v>
      </c>
      <c r="D251" s="1316">
        <v>3970</v>
      </c>
      <c r="E251" s="1316">
        <v>4110</v>
      </c>
      <c r="F251" s="1324">
        <v>730</v>
      </c>
      <c r="H251" s="1331"/>
    </row>
    <row r="252" spans="1:8" s="1303" customFormat="1" ht="14.25" customHeight="1">
      <c r="A252" s="1311" t="s">
        <v>307</v>
      </c>
      <c r="B252" s="1316" t="s">
        <v>1552</v>
      </c>
      <c r="C252" s="1316">
        <v>3560</v>
      </c>
      <c r="D252" s="1316">
        <v>3530</v>
      </c>
      <c r="E252" s="1316">
        <v>3650</v>
      </c>
      <c r="F252" s="1324">
        <v>750</v>
      </c>
      <c r="H252" s="1331"/>
    </row>
    <row r="253" spans="1:8" s="1303" customFormat="1" ht="14.25" customHeight="1">
      <c r="A253" s="1311" t="s">
        <v>307</v>
      </c>
      <c r="B253" s="1316" t="s">
        <v>1562</v>
      </c>
      <c r="C253" s="1316">
        <v>3780</v>
      </c>
      <c r="D253" s="1316">
        <v>3750</v>
      </c>
      <c r="E253" s="1316">
        <v>3870</v>
      </c>
      <c r="F253" s="1324">
        <v>770</v>
      </c>
      <c r="H253" s="1331"/>
    </row>
    <row r="254" spans="1:8" s="1303" customFormat="1" ht="14.25" customHeight="1">
      <c r="A254" s="1311" t="s">
        <v>307</v>
      </c>
      <c r="B254" s="1316" t="s">
        <v>1572</v>
      </c>
      <c r="C254" s="1338"/>
      <c r="D254" s="1338"/>
      <c r="E254" s="1338"/>
      <c r="F254" s="1324">
        <v>740</v>
      </c>
      <c r="H254" s="1331"/>
    </row>
    <row r="255" spans="1:8" s="1303" customFormat="1" ht="14.25" customHeight="1">
      <c r="A255" s="1311" t="s">
        <v>307</v>
      </c>
      <c r="B255" s="1316" t="s">
        <v>1582</v>
      </c>
      <c r="C255" s="1338"/>
      <c r="D255" s="1338"/>
      <c r="E255" s="1338"/>
      <c r="F255" s="1324">
        <v>760</v>
      </c>
      <c r="H255" s="1331"/>
    </row>
    <row r="256" spans="1:8" s="1303" customFormat="1" ht="14.25" customHeight="1">
      <c r="A256" s="1311" t="s">
        <v>307</v>
      </c>
      <c r="B256" s="1316" t="s">
        <v>1592</v>
      </c>
      <c r="C256" s="1316">
        <v>3760</v>
      </c>
      <c r="D256" s="1316">
        <v>3730</v>
      </c>
      <c r="E256" s="1316">
        <v>3870</v>
      </c>
      <c r="F256" s="1324">
        <v>830</v>
      </c>
      <c r="H256" s="1331"/>
    </row>
    <row r="257" spans="1:8" s="1303" customFormat="1" ht="14.25" customHeight="1">
      <c r="A257" s="1311" t="s">
        <v>307</v>
      </c>
      <c r="B257" s="1316" t="s">
        <v>1602</v>
      </c>
      <c r="C257" s="1316">
        <v>3570</v>
      </c>
      <c r="D257" s="1316">
        <v>3540</v>
      </c>
      <c r="E257" s="1316">
        <v>3650</v>
      </c>
      <c r="F257" s="1324">
        <v>790</v>
      </c>
      <c r="H257" s="1331"/>
    </row>
    <row r="258" spans="1:8" s="1303" customFormat="1" ht="14.25" customHeight="1">
      <c r="A258" s="1311" t="s">
        <v>307</v>
      </c>
      <c r="B258" s="1316" t="s">
        <v>1612</v>
      </c>
      <c r="C258" s="1316">
        <v>3410</v>
      </c>
      <c r="D258" s="1316">
        <v>3380</v>
      </c>
      <c r="E258" s="1316">
        <v>3500</v>
      </c>
      <c r="F258" s="1324">
        <v>830</v>
      </c>
      <c r="H258" s="1331"/>
    </row>
    <row r="259" spans="1:8" s="1303" customFormat="1" ht="14.25" customHeight="1">
      <c r="A259" s="1311" t="s">
        <v>307</v>
      </c>
      <c r="B259" s="1316" t="s">
        <v>1622</v>
      </c>
      <c r="C259" s="1316">
        <v>3870</v>
      </c>
      <c r="D259" s="1316">
        <v>3840</v>
      </c>
      <c r="E259" s="1316">
        <v>3970</v>
      </c>
      <c r="F259" s="1324">
        <v>830</v>
      </c>
      <c r="H259" s="1331"/>
    </row>
    <row r="260" spans="1:8" s="1303" customFormat="1" ht="14.25" customHeight="1">
      <c r="A260" s="1311" t="s">
        <v>307</v>
      </c>
      <c r="B260" s="1316" t="s">
        <v>1632</v>
      </c>
      <c r="C260" s="1316">
        <v>3700</v>
      </c>
      <c r="D260" s="1316">
        <v>3660</v>
      </c>
      <c r="E260" s="1316">
        <v>3810</v>
      </c>
      <c r="F260" s="1324">
        <v>790</v>
      </c>
      <c r="H260" s="1331"/>
    </row>
    <row r="261" spans="1:8" s="1303" customFormat="1" ht="14.25" customHeight="1">
      <c r="A261" s="1311" t="s">
        <v>307</v>
      </c>
      <c r="B261" s="1316" t="s">
        <v>1642</v>
      </c>
      <c r="C261" s="1316">
        <v>3470</v>
      </c>
      <c r="D261" s="1316">
        <v>3430</v>
      </c>
      <c r="E261" s="1316">
        <v>3640</v>
      </c>
      <c r="F261" s="1324">
        <v>760</v>
      </c>
      <c r="H261" s="1331"/>
    </row>
    <row r="262" spans="1:8" s="1303" customFormat="1" ht="14.25" customHeight="1">
      <c r="A262" s="1311" t="s">
        <v>307</v>
      </c>
      <c r="B262" s="1316" t="s">
        <v>1652</v>
      </c>
      <c r="C262" s="1316">
        <v>3510</v>
      </c>
      <c r="D262" s="1316">
        <v>3470</v>
      </c>
      <c r="E262" s="1316">
        <v>3680</v>
      </c>
      <c r="F262" s="1333"/>
      <c r="H262" s="1331"/>
    </row>
    <row r="263" spans="1:8" s="1303" customFormat="1" ht="14.25" customHeight="1">
      <c r="A263" s="1311" t="s">
        <v>307</v>
      </c>
      <c r="B263" s="1316" t="s">
        <v>1662</v>
      </c>
      <c r="C263" s="1316">
        <v>3960</v>
      </c>
      <c r="D263" s="1316">
        <v>3930</v>
      </c>
      <c r="E263" s="1316">
        <v>4070</v>
      </c>
      <c r="F263" s="1324">
        <v>830</v>
      </c>
      <c r="H263" s="1331"/>
    </row>
    <row r="264" spans="1:8" s="1303" customFormat="1" ht="14.25" customHeight="1">
      <c r="A264" s="1311" t="s">
        <v>307</v>
      </c>
      <c r="B264" s="1316" t="s">
        <v>1671</v>
      </c>
      <c r="C264" s="1316">
        <v>4010</v>
      </c>
      <c r="D264" s="1316">
        <v>3980</v>
      </c>
      <c r="E264" s="1316">
        <v>4150</v>
      </c>
      <c r="F264" s="1324">
        <v>760</v>
      </c>
      <c r="H264" s="1331"/>
    </row>
    <row r="265" spans="1:8" s="1303" customFormat="1" ht="14.25" customHeight="1">
      <c r="A265" s="1311" t="s">
        <v>307</v>
      </c>
      <c r="B265" s="1316" t="s">
        <v>1679</v>
      </c>
      <c r="C265" s="1316">
        <v>3910</v>
      </c>
      <c r="D265" s="1316">
        <v>3890</v>
      </c>
      <c r="E265" s="1316">
        <v>4040</v>
      </c>
      <c r="F265" s="1324">
        <v>780</v>
      </c>
      <c r="H265" s="1331"/>
    </row>
    <row r="266" spans="1:8" s="1303" customFormat="1" ht="14.25" customHeight="1">
      <c r="A266" s="1311" t="s">
        <v>307</v>
      </c>
      <c r="B266" s="1316" t="s">
        <v>1687</v>
      </c>
      <c r="C266" s="1316">
        <v>3930</v>
      </c>
      <c r="D266" s="1316">
        <v>3900</v>
      </c>
      <c r="E266" s="1316">
        <v>4080</v>
      </c>
      <c r="F266" s="1324">
        <v>770</v>
      </c>
      <c r="H266" s="1331"/>
    </row>
    <row r="267" spans="1:8" s="1303" customFormat="1" ht="14.25" customHeight="1">
      <c r="A267" s="1311" t="s">
        <v>307</v>
      </c>
      <c r="B267" s="1316" t="s">
        <v>1694</v>
      </c>
      <c r="C267" s="1316">
        <v>3800</v>
      </c>
      <c r="D267" s="1316">
        <v>3780</v>
      </c>
      <c r="E267" s="1316">
        <v>3930</v>
      </c>
      <c r="F267" s="1333"/>
      <c r="H267" s="1331"/>
    </row>
    <row r="268" spans="1:8" s="1303" customFormat="1" ht="14.25" customHeight="1">
      <c r="A268" s="1311" t="s">
        <v>307</v>
      </c>
      <c r="B268" s="1316" t="s">
        <v>1701</v>
      </c>
      <c r="C268" s="1316">
        <v>3460</v>
      </c>
      <c r="D268" s="1316">
        <v>3430</v>
      </c>
      <c r="E268" s="1316">
        <v>3560</v>
      </c>
      <c r="F268" s="1324">
        <v>840</v>
      </c>
      <c r="H268" s="1331"/>
    </row>
    <row r="269" spans="1:8" s="1303" customFormat="1" ht="14.25" customHeight="1">
      <c r="A269" s="1311" t="s">
        <v>307</v>
      </c>
      <c r="B269" s="1316" t="s">
        <v>1708</v>
      </c>
      <c r="C269" s="1316">
        <v>3210</v>
      </c>
      <c r="D269" s="1316">
        <v>3190</v>
      </c>
      <c r="E269" s="1316">
        <v>3310</v>
      </c>
      <c r="F269" s="1324">
        <v>730</v>
      </c>
      <c r="H269" s="1331"/>
    </row>
    <row r="270" spans="1:8" s="1303" customFormat="1" ht="14.25" customHeight="1">
      <c r="A270" s="1311" t="s">
        <v>307</v>
      </c>
      <c r="B270" s="1316" t="s">
        <v>1715</v>
      </c>
      <c r="C270" s="1316">
        <v>3240</v>
      </c>
      <c r="D270" s="1316">
        <v>3210</v>
      </c>
      <c r="E270" s="1316">
        <v>3390</v>
      </c>
      <c r="F270" s="1324">
        <v>820</v>
      </c>
      <c r="H270" s="1331"/>
    </row>
    <row r="271" spans="1:8" s="1303" customFormat="1" ht="14.25" customHeight="1">
      <c r="A271" s="1311" t="s">
        <v>307</v>
      </c>
      <c r="B271" s="1316" t="s">
        <v>1722</v>
      </c>
      <c r="C271" s="1316">
        <v>3300</v>
      </c>
      <c r="D271" s="1316">
        <v>3270</v>
      </c>
      <c r="E271" s="1316">
        <v>3380</v>
      </c>
      <c r="F271" s="1324">
        <v>750</v>
      </c>
      <c r="H271" s="1331"/>
    </row>
    <row r="272" spans="1:8" s="1303" customFormat="1" ht="14.25" customHeight="1">
      <c r="A272" s="1311" t="s">
        <v>307</v>
      </c>
      <c r="B272" s="1316" t="s">
        <v>1727</v>
      </c>
      <c r="C272" s="1338"/>
      <c r="D272" s="1338"/>
      <c r="E272" s="1338"/>
      <c r="F272" s="1324">
        <v>740</v>
      </c>
      <c r="H272" s="1331"/>
    </row>
    <row r="273" spans="1:8" s="1303" customFormat="1" ht="14.25" customHeight="1">
      <c r="A273" s="1311" t="s">
        <v>307</v>
      </c>
      <c r="B273" s="1316" t="s">
        <v>1732</v>
      </c>
      <c r="C273" s="1316">
        <v>3130</v>
      </c>
      <c r="D273" s="1316">
        <v>3100</v>
      </c>
      <c r="E273" s="1316">
        <v>3230</v>
      </c>
      <c r="F273" s="1324">
        <v>700</v>
      </c>
      <c r="H273" s="1331"/>
    </row>
    <row r="274" spans="1:8" s="1303" customFormat="1" ht="14.25" customHeight="1">
      <c r="A274" s="1311" t="s">
        <v>307</v>
      </c>
      <c r="B274" s="1316" t="s">
        <v>1737</v>
      </c>
      <c r="C274" s="1316">
        <v>3460</v>
      </c>
      <c r="D274" s="1316">
        <v>3430</v>
      </c>
      <c r="E274" s="1316">
        <v>3560</v>
      </c>
      <c r="F274" s="1324">
        <v>690</v>
      </c>
      <c r="H274" s="1331"/>
    </row>
    <row r="275" spans="1:8" s="1303" customFormat="1" ht="14.25" customHeight="1">
      <c r="A275" s="1311" t="s">
        <v>307</v>
      </c>
      <c r="B275" s="1316" t="s">
        <v>1742</v>
      </c>
      <c r="C275" s="1316">
        <v>4040</v>
      </c>
      <c r="D275" s="1316">
        <v>4020</v>
      </c>
      <c r="E275" s="1316">
        <v>4160</v>
      </c>
      <c r="F275" s="1324">
        <v>820</v>
      </c>
      <c r="H275" s="1331"/>
    </row>
    <row r="276" spans="1:8" s="1303" customFormat="1" ht="14.25" customHeight="1">
      <c r="A276" s="1311" t="s">
        <v>307</v>
      </c>
      <c r="B276" s="1316" t="s">
        <v>1747</v>
      </c>
      <c r="C276" s="1316">
        <v>3270</v>
      </c>
      <c r="D276" s="1316">
        <v>3240</v>
      </c>
      <c r="E276" s="1316">
        <v>3350</v>
      </c>
      <c r="F276" s="1324">
        <v>680</v>
      </c>
      <c r="H276" s="1331"/>
    </row>
    <row r="277" spans="1:8" s="1303" customFormat="1" ht="14.25" customHeight="1">
      <c r="A277" s="1311" t="s">
        <v>307</v>
      </c>
      <c r="B277" s="1316" t="s">
        <v>1752</v>
      </c>
      <c r="C277" s="1316">
        <v>2930</v>
      </c>
      <c r="D277" s="1316">
        <v>2900</v>
      </c>
      <c r="E277" s="1316">
        <v>3000</v>
      </c>
      <c r="F277" s="1324">
        <v>640</v>
      </c>
      <c r="H277" s="1331"/>
    </row>
    <row r="278" spans="1:8" s="1303" customFormat="1" ht="14.25" customHeight="1">
      <c r="A278" s="1311" t="s">
        <v>307</v>
      </c>
      <c r="B278" s="1316" t="s">
        <v>1757</v>
      </c>
      <c r="C278" s="1316">
        <v>4080</v>
      </c>
      <c r="D278" s="1316">
        <v>4030</v>
      </c>
      <c r="E278" s="1316">
        <v>4140</v>
      </c>
      <c r="F278" s="1324">
        <v>850</v>
      </c>
      <c r="H278" s="1331"/>
    </row>
    <row r="279" spans="1:8" s="1303" customFormat="1" ht="14.25" customHeight="1">
      <c r="A279" s="1311" t="s">
        <v>307</v>
      </c>
      <c r="B279" s="1316" t="s">
        <v>1761</v>
      </c>
      <c r="C279" s="1316"/>
      <c r="D279" s="1316"/>
      <c r="E279" s="1316"/>
      <c r="F279" s="1324">
        <v>760</v>
      </c>
      <c r="H279" s="1331"/>
    </row>
    <row r="280" spans="1:8" s="1303" customFormat="1" ht="14.25" customHeight="1">
      <c r="A280" s="1311" t="s">
        <v>307</v>
      </c>
      <c r="B280" s="1316" t="s">
        <v>1765</v>
      </c>
      <c r="C280" s="1316"/>
      <c r="D280" s="1316"/>
      <c r="E280" s="1316"/>
      <c r="F280" s="1324">
        <v>760</v>
      </c>
      <c r="H280" s="1331"/>
    </row>
    <row r="281" spans="1:8" s="1303" customFormat="1" ht="14.25" customHeight="1">
      <c r="A281" s="1311" t="s">
        <v>307</v>
      </c>
      <c r="B281" s="1316" t="s">
        <v>1769</v>
      </c>
      <c r="C281" s="1316"/>
      <c r="D281" s="1316"/>
      <c r="E281" s="1316"/>
      <c r="F281" s="1324">
        <v>780</v>
      </c>
      <c r="H281" s="1331"/>
    </row>
    <row r="282" spans="1:8" s="1303" customFormat="1" ht="14.25" customHeight="1">
      <c r="A282" s="1311" t="s">
        <v>307</v>
      </c>
      <c r="B282" s="1316" t="s">
        <v>1773</v>
      </c>
      <c r="C282" s="1316"/>
      <c r="D282" s="1316"/>
      <c r="E282" s="1316"/>
      <c r="F282" s="1324">
        <v>730</v>
      </c>
      <c r="H282" s="1331"/>
    </row>
    <row r="283" spans="1:8" s="1303" customFormat="1" ht="14.25" customHeight="1">
      <c r="A283" s="1311" t="s">
        <v>307</v>
      </c>
      <c r="B283" s="1316" t="s">
        <v>1777</v>
      </c>
      <c r="C283" s="1316"/>
      <c r="D283" s="1316"/>
      <c r="E283" s="1316"/>
      <c r="F283" s="1324">
        <v>770</v>
      </c>
      <c r="H283" s="1331"/>
    </row>
    <row r="284" spans="1:8" s="1303" customFormat="1" ht="14.25" customHeight="1">
      <c r="A284" s="1311" t="s">
        <v>307</v>
      </c>
      <c r="B284" s="1316" t="s">
        <v>1780</v>
      </c>
      <c r="C284" s="1316"/>
      <c r="D284" s="1316"/>
      <c r="E284" s="1316"/>
      <c r="F284" s="1324">
        <v>640</v>
      </c>
      <c r="H284" s="1331"/>
    </row>
    <row r="285" spans="1:8" s="1303" customFormat="1" ht="14.25" customHeight="1">
      <c r="A285" s="1311" t="s">
        <v>307</v>
      </c>
      <c r="B285" s="1316" t="s">
        <v>1783</v>
      </c>
      <c r="C285" s="1316"/>
      <c r="D285" s="1316"/>
      <c r="E285" s="1316"/>
      <c r="F285" s="1324">
        <v>640</v>
      </c>
      <c r="H285" s="1331"/>
    </row>
    <row r="286" spans="1:8" s="1303" customFormat="1" ht="14.25" customHeight="1">
      <c r="A286" s="1311" t="s">
        <v>307</v>
      </c>
      <c r="B286" s="1316" t="s">
        <v>1786</v>
      </c>
      <c r="C286" s="1316"/>
      <c r="D286" s="1316"/>
      <c r="E286" s="1316"/>
      <c r="F286" s="1324">
        <v>850</v>
      </c>
      <c r="H286" s="1331"/>
    </row>
    <row r="287" spans="1:8" s="1303" customFormat="1" ht="14.25" customHeight="1">
      <c r="A287" s="1311" t="s">
        <v>307</v>
      </c>
      <c r="B287" s="1316" t="s">
        <v>1789</v>
      </c>
      <c r="C287" s="1316"/>
      <c r="D287" s="1316"/>
      <c r="E287" s="1316"/>
      <c r="F287" s="1324">
        <v>760</v>
      </c>
      <c r="H287" s="1331"/>
    </row>
    <row r="288" spans="1:8" s="1303" customFormat="1" ht="14.25" customHeight="1">
      <c r="A288" s="1311" t="s">
        <v>307</v>
      </c>
      <c r="B288" s="1316" t="s">
        <v>1792</v>
      </c>
      <c r="C288" s="1316"/>
      <c r="D288" s="1316"/>
      <c r="E288" s="1316"/>
      <c r="F288" s="1324">
        <v>830</v>
      </c>
      <c r="H288" s="1331"/>
    </row>
    <row r="289" spans="1:8" s="1303" customFormat="1" ht="14.25" customHeight="1">
      <c r="A289" s="1311" t="s">
        <v>307</v>
      </c>
      <c r="B289" s="1322" t="s">
        <v>1795</v>
      </c>
      <c r="C289" s="1322"/>
      <c r="D289" s="1322"/>
      <c r="E289" s="1322"/>
      <c r="F289" s="1332">
        <v>680</v>
      </c>
      <c r="H289" s="1331"/>
    </row>
    <row r="290" spans="1:8" s="1303" customFormat="1" ht="14.25" customHeight="1">
      <c r="A290" s="1311" t="s">
        <v>310</v>
      </c>
      <c r="B290" s="1312" t="s">
        <v>1470</v>
      </c>
      <c r="C290" s="1312">
        <v>2770</v>
      </c>
      <c r="D290" s="1312">
        <v>2740</v>
      </c>
      <c r="E290" s="1312">
        <v>2720</v>
      </c>
      <c r="F290" s="1339"/>
      <c r="H290" s="1331"/>
    </row>
    <row r="291" spans="1:8" s="1303" customFormat="1" ht="14.25" customHeight="1">
      <c r="A291" s="1311" t="s">
        <v>310</v>
      </c>
      <c r="B291" s="1316" t="s">
        <v>1483</v>
      </c>
      <c r="C291" s="1316">
        <v>2670</v>
      </c>
      <c r="D291" s="1316">
        <v>2640</v>
      </c>
      <c r="E291" s="1316">
        <v>2620</v>
      </c>
      <c r="F291" s="1333"/>
      <c r="H291" s="1331"/>
    </row>
    <row r="292" spans="1:8" s="1303" customFormat="1" ht="14.25" customHeight="1">
      <c r="A292" s="1311" t="s">
        <v>310</v>
      </c>
      <c r="B292" s="1316" t="s">
        <v>1496</v>
      </c>
      <c r="C292" s="1316">
        <v>2180</v>
      </c>
      <c r="D292" s="1316">
        <v>2140</v>
      </c>
      <c r="E292" s="1316">
        <v>2120</v>
      </c>
      <c r="F292" s="1324">
        <v>490</v>
      </c>
      <c r="H292" s="1331"/>
    </row>
    <row r="293" spans="1:8" s="1303" customFormat="1" ht="14.25" customHeight="1">
      <c r="A293" s="1311" t="s">
        <v>310</v>
      </c>
      <c r="B293" s="1316" t="s">
        <v>1802</v>
      </c>
      <c r="C293" s="1316"/>
      <c r="D293" s="1316"/>
      <c r="E293" s="1316"/>
      <c r="F293" s="1324">
        <v>470</v>
      </c>
      <c r="H293" s="1331"/>
    </row>
    <row r="294" spans="1:8" s="1303" customFormat="1" ht="14.25" customHeight="1">
      <c r="A294" s="1311" t="s">
        <v>310</v>
      </c>
      <c r="B294" s="1316" t="s">
        <v>1508</v>
      </c>
      <c r="C294" s="1316">
        <v>2730</v>
      </c>
      <c r="D294" s="1316">
        <v>2700</v>
      </c>
      <c r="E294" s="1316">
        <v>2680</v>
      </c>
      <c r="F294" s="1324">
        <v>490</v>
      </c>
      <c r="H294" s="1331"/>
    </row>
    <row r="295" spans="1:8" s="1303" customFormat="1" ht="14.25" customHeight="1">
      <c r="A295" s="1311" t="s">
        <v>310</v>
      </c>
      <c r="B295" s="1316" t="s">
        <v>1520</v>
      </c>
      <c r="C295" s="1316">
        <v>2380</v>
      </c>
      <c r="D295" s="1316">
        <v>2350</v>
      </c>
      <c r="E295" s="1316">
        <v>2330</v>
      </c>
      <c r="F295" s="1324">
        <v>530</v>
      </c>
      <c r="H295" s="1331"/>
    </row>
    <row r="296" spans="1:8" s="1303" customFormat="1" ht="14.25" customHeight="1">
      <c r="A296" s="1311" t="s">
        <v>310</v>
      </c>
      <c r="B296" s="1316" t="s">
        <v>1531</v>
      </c>
      <c r="C296" s="1316">
        <v>2650</v>
      </c>
      <c r="D296" s="1316">
        <v>2620</v>
      </c>
      <c r="E296" s="1316">
        <v>2590</v>
      </c>
      <c r="F296" s="1324">
        <v>590</v>
      </c>
      <c r="H296" s="1331"/>
    </row>
    <row r="297" spans="1:8" s="1303" customFormat="1" ht="14.25" customHeight="1">
      <c r="A297" s="1311" t="s">
        <v>310</v>
      </c>
      <c r="B297" s="1316" t="s">
        <v>1542</v>
      </c>
      <c r="C297" s="1316">
        <v>2700</v>
      </c>
      <c r="D297" s="1316">
        <v>2670</v>
      </c>
      <c r="E297" s="1316">
        <v>2650</v>
      </c>
      <c r="F297" s="1324">
        <v>630</v>
      </c>
      <c r="H297" s="1331"/>
    </row>
    <row r="298" spans="1:8" s="1303" customFormat="1" ht="14.25" customHeight="1">
      <c r="A298" s="1311" t="s">
        <v>310</v>
      </c>
      <c r="B298" s="1316" t="s">
        <v>1553</v>
      </c>
      <c r="C298" s="1316">
        <v>2650</v>
      </c>
      <c r="D298" s="1316">
        <v>2620</v>
      </c>
      <c r="E298" s="1316">
        <v>2590</v>
      </c>
      <c r="F298" s="1324">
        <v>640</v>
      </c>
      <c r="H298" s="1331"/>
    </row>
    <row r="299" spans="1:8" s="1303" customFormat="1" ht="14.25" customHeight="1">
      <c r="A299" s="1311" t="s">
        <v>310</v>
      </c>
      <c r="B299" s="1316" t="s">
        <v>1563</v>
      </c>
      <c r="C299" s="1316">
        <v>2500</v>
      </c>
      <c r="D299" s="1316">
        <v>2480</v>
      </c>
      <c r="E299" s="1316">
        <v>2460</v>
      </c>
      <c r="F299" s="1333"/>
      <c r="H299" s="1331"/>
    </row>
    <row r="300" spans="1:8" s="1303" customFormat="1" ht="14.25" customHeight="1">
      <c r="A300" s="1311" t="s">
        <v>310</v>
      </c>
      <c r="B300" s="1316" t="s">
        <v>1573</v>
      </c>
      <c r="C300" s="1316">
        <v>2760</v>
      </c>
      <c r="D300" s="1316">
        <v>2730</v>
      </c>
      <c r="E300" s="1316">
        <v>2700</v>
      </c>
      <c r="F300" s="1324">
        <v>630</v>
      </c>
      <c r="H300" s="1331"/>
    </row>
    <row r="301" spans="1:8" s="1303" customFormat="1" ht="14.25" customHeight="1">
      <c r="A301" s="1311" t="s">
        <v>310</v>
      </c>
      <c r="B301" s="1316" t="s">
        <v>1583</v>
      </c>
      <c r="C301" s="1316">
        <v>2510</v>
      </c>
      <c r="D301" s="1316">
        <v>2480</v>
      </c>
      <c r="E301" s="1316">
        <v>2460</v>
      </c>
      <c r="F301" s="1333"/>
      <c r="H301" s="1331"/>
    </row>
    <row r="302" spans="1:8" s="1303" customFormat="1" ht="14.25" customHeight="1">
      <c r="A302" s="1311" t="s">
        <v>310</v>
      </c>
      <c r="B302" s="1316" t="s">
        <v>1593</v>
      </c>
      <c r="C302" s="1316">
        <v>2480</v>
      </c>
      <c r="D302" s="1316">
        <v>2450</v>
      </c>
      <c r="E302" s="1316">
        <v>2420</v>
      </c>
      <c r="F302" s="1324">
        <v>600</v>
      </c>
      <c r="H302" s="1331"/>
    </row>
    <row r="303" spans="1:8" s="1303" customFormat="1" ht="14.25" customHeight="1">
      <c r="A303" s="1311" t="s">
        <v>310</v>
      </c>
      <c r="B303" s="1316" t="s">
        <v>1603</v>
      </c>
      <c r="C303" s="1316">
        <v>2270</v>
      </c>
      <c r="D303" s="1316">
        <v>2240</v>
      </c>
      <c r="E303" s="1316">
        <v>2210</v>
      </c>
      <c r="F303" s="1324">
        <v>540</v>
      </c>
      <c r="H303" s="1331"/>
    </row>
    <row r="304" spans="1:8" s="1303" customFormat="1" ht="14.25" customHeight="1">
      <c r="A304" s="1311" t="s">
        <v>310</v>
      </c>
      <c r="B304" s="1316" t="s">
        <v>1613</v>
      </c>
      <c r="C304" s="1316">
        <v>2310</v>
      </c>
      <c r="D304" s="1316">
        <v>2290</v>
      </c>
      <c r="E304" s="1316">
        <v>2270</v>
      </c>
      <c r="F304" s="1333"/>
      <c r="H304" s="1331"/>
    </row>
    <row r="305" spans="1:8" s="1303" customFormat="1" ht="14.25" customHeight="1">
      <c r="A305" s="1311" t="s">
        <v>310</v>
      </c>
      <c r="B305" s="1316" t="s">
        <v>1623</v>
      </c>
      <c r="C305" s="1316">
        <v>2490</v>
      </c>
      <c r="D305" s="1316">
        <v>2470</v>
      </c>
      <c r="E305" s="1316">
        <v>2440</v>
      </c>
      <c r="F305" s="1324">
        <v>560</v>
      </c>
      <c r="H305" s="1331"/>
    </row>
    <row r="306" spans="1:8" s="1303" customFormat="1" ht="14.25" customHeight="1">
      <c r="A306" s="1311" t="s">
        <v>310</v>
      </c>
      <c r="B306" s="1316" t="s">
        <v>1633</v>
      </c>
      <c r="C306" s="1316">
        <v>2420</v>
      </c>
      <c r="D306" s="1316">
        <v>2400</v>
      </c>
      <c r="E306" s="1316">
        <v>2380</v>
      </c>
      <c r="F306" s="1333"/>
      <c r="H306" s="1331"/>
    </row>
    <row r="307" spans="1:8" s="1303" customFormat="1" ht="14.25" customHeight="1">
      <c r="A307" s="1311" t="s">
        <v>310</v>
      </c>
      <c r="B307" s="1316" t="s">
        <v>1643</v>
      </c>
      <c r="C307" s="1316">
        <v>2770</v>
      </c>
      <c r="D307" s="1316">
        <v>2740</v>
      </c>
      <c r="E307" s="1316">
        <v>2710</v>
      </c>
      <c r="F307" s="1324">
        <v>650</v>
      </c>
      <c r="H307" s="1331"/>
    </row>
    <row r="308" spans="1:8" s="1303" customFormat="1" ht="14.25" customHeight="1">
      <c r="A308" s="1311" t="s">
        <v>310</v>
      </c>
      <c r="B308" s="1316" t="s">
        <v>1653</v>
      </c>
      <c r="C308" s="1316">
        <v>2610</v>
      </c>
      <c r="D308" s="1316">
        <v>2580</v>
      </c>
      <c r="E308" s="1316">
        <v>2550</v>
      </c>
      <c r="F308" s="1324">
        <v>580</v>
      </c>
      <c r="H308" s="1331"/>
    </row>
    <row r="309" spans="1:8" s="1303" customFormat="1" ht="14.25" customHeight="1">
      <c r="A309" s="1311" t="s">
        <v>310</v>
      </c>
      <c r="B309" s="1316" t="s">
        <v>1663</v>
      </c>
      <c r="C309" s="1316">
        <v>2690</v>
      </c>
      <c r="D309" s="1316">
        <v>2670</v>
      </c>
      <c r="E309" s="1316">
        <v>2650</v>
      </c>
      <c r="F309" s="1333"/>
      <c r="H309" s="1331"/>
    </row>
    <row r="310" spans="1:8" s="1303" customFormat="1" ht="14.25" customHeight="1">
      <c r="A310" s="1311" t="s">
        <v>310</v>
      </c>
      <c r="B310" s="1316" t="s">
        <v>1672</v>
      </c>
      <c r="C310" s="1316">
        <v>2360</v>
      </c>
      <c r="D310" s="1316">
        <v>2330</v>
      </c>
      <c r="E310" s="1316">
        <v>2310</v>
      </c>
      <c r="F310" s="1324">
        <v>560</v>
      </c>
      <c r="H310" s="1331"/>
    </row>
    <row r="311" spans="1:8" s="1303" customFormat="1" ht="14.25" customHeight="1">
      <c r="A311" s="1311" t="s">
        <v>310</v>
      </c>
      <c r="B311" s="1316" t="s">
        <v>1680</v>
      </c>
      <c r="C311" s="1316">
        <v>1970</v>
      </c>
      <c r="D311" s="1316">
        <v>1950</v>
      </c>
      <c r="E311" s="1316">
        <v>1920</v>
      </c>
      <c r="F311" s="1324">
        <v>470</v>
      </c>
      <c r="H311" s="1331"/>
    </row>
    <row r="312" spans="1:8" s="1303" customFormat="1" ht="14.25" customHeight="1">
      <c r="A312" s="1311" t="s">
        <v>310</v>
      </c>
      <c r="B312" s="1316" t="s">
        <v>1688</v>
      </c>
      <c r="C312" s="1316">
        <v>2230</v>
      </c>
      <c r="D312" s="1316">
        <v>2200</v>
      </c>
      <c r="E312" s="1316">
        <v>2170</v>
      </c>
      <c r="F312" s="1324">
        <v>460</v>
      </c>
      <c r="H312" s="1331"/>
    </row>
    <row r="313" spans="1:8" s="1303" customFormat="1" ht="14.25" customHeight="1">
      <c r="A313" s="1311" t="s">
        <v>310</v>
      </c>
      <c r="B313" s="1316" t="s">
        <v>1695</v>
      </c>
      <c r="C313" s="1316">
        <v>2770</v>
      </c>
      <c r="D313" s="1316">
        <v>2740</v>
      </c>
      <c r="E313" s="1316">
        <v>2710</v>
      </c>
      <c r="F313" s="1324">
        <v>610</v>
      </c>
      <c r="H313" s="1331"/>
    </row>
    <row r="314" spans="1:8" s="1303" customFormat="1" ht="14.25" customHeight="1">
      <c r="A314" s="1311" t="s">
        <v>310</v>
      </c>
      <c r="B314" s="1316" t="s">
        <v>1702</v>
      </c>
      <c r="C314" s="1316"/>
      <c r="D314" s="1316"/>
      <c r="E314" s="1316"/>
      <c r="F314" s="1324">
        <v>490</v>
      </c>
      <c r="H314" s="1331"/>
    </row>
    <row r="315" spans="1:8" s="1303" customFormat="1" ht="14.25" customHeight="1">
      <c r="A315" s="1311" t="s">
        <v>310</v>
      </c>
      <c r="B315" s="1316" t="s">
        <v>1709</v>
      </c>
      <c r="C315" s="1316"/>
      <c r="D315" s="1316"/>
      <c r="E315" s="1316"/>
      <c r="F315" s="1324">
        <v>520</v>
      </c>
      <c r="H315" s="1331"/>
    </row>
    <row r="316" spans="1:8" s="1303" customFormat="1" ht="14.25" customHeight="1">
      <c r="A316" s="1311" t="s">
        <v>310</v>
      </c>
      <c r="B316" s="1322" t="s">
        <v>1716</v>
      </c>
      <c r="C316" s="1322"/>
      <c r="D316" s="1322"/>
      <c r="E316" s="1322"/>
      <c r="F316" s="1332">
        <v>460</v>
      </c>
      <c r="H316" s="1331"/>
    </row>
    <row r="317" spans="1:8" s="1303" customFormat="1" ht="14.25" customHeight="1">
      <c r="A317" s="1311" t="s">
        <v>313</v>
      </c>
      <c r="B317" s="1312" t="s">
        <v>1471</v>
      </c>
      <c r="C317" s="1312">
        <v>1200</v>
      </c>
      <c r="D317" s="1312">
        <v>1180</v>
      </c>
      <c r="E317" s="1312">
        <v>1160</v>
      </c>
      <c r="F317" s="1313">
        <v>370</v>
      </c>
      <c r="H317" s="1305"/>
    </row>
    <row r="318" spans="1:8" s="1303" customFormat="1" ht="14.25" customHeight="1">
      <c r="A318" s="1311" t="s">
        <v>313</v>
      </c>
      <c r="B318" s="1316" t="s">
        <v>1484</v>
      </c>
      <c r="C318" s="1316">
        <v>1090</v>
      </c>
      <c r="D318" s="1316">
        <v>1060</v>
      </c>
      <c r="E318" s="1316">
        <v>1040</v>
      </c>
      <c r="F318" s="1333"/>
      <c r="H318" s="1305"/>
    </row>
    <row r="319" spans="1:8" s="1303" customFormat="1" ht="14.25" customHeight="1">
      <c r="A319" s="1311" t="s">
        <v>313</v>
      </c>
      <c r="B319" s="1316" t="s">
        <v>1497</v>
      </c>
      <c r="C319" s="1316">
        <v>1520</v>
      </c>
      <c r="D319" s="1316">
        <v>1470</v>
      </c>
      <c r="E319" s="1316">
        <v>1440</v>
      </c>
      <c r="F319" s="1324">
        <v>370</v>
      </c>
      <c r="H319" s="1305"/>
    </row>
    <row r="320" spans="1:8" s="1303" customFormat="1" ht="14.25" customHeight="1">
      <c r="A320" s="1311" t="s">
        <v>313</v>
      </c>
      <c r="B320" s="1316" t="s">
        <v>1509</v>
      </c>
      <c r="C320" s="1316">
        <v>1360</v>
      </c>
      <c r="D320" s="1316">
        <v>1300</v>
      </c>
      <c r="E320" s="1316">
        <v>1270</v>
      </c>
      <c r="F320" s="1333"/>
      <c r="H320" s="1305"/>
    </row>
    <row r="321" spans="1:8" s="1303" customFormat="1" ht="14.25" customHeight="1">
      <c r="A321" s="1311" t="s">
        <v>313</v>
      </c>
      <c r="B321" s="1316" t="s">
        <v>1521</v>
      </c>
      <c r="C321" s="1316">
        <v>1750</v>
      </c>
      <c r="D321" s="1316">
        <v>1690</v>
      </c>
      <c r="E321" s="1316">
        <v>1660</v>
      </c>
      <c r="F321" s="1333"/>
      <c r="H321" s="1305"/>
    </row>
    <row r="322" spans="1:8" s="1303" customFormat="1" ht="14.25" customHeight="1">
      <c r="A322" s="1311" t="s">
        <v>313</v>
      </c>
      <c r="B322" s="1316" t="s">
        <v>1532</v>
      </c>
      <c r="C322" s="1316">
        <v>1650</v>
      </c>
      <c r="D322" s="1316">
        <v>1610</v>
      </c>
      <c r="E322" s="1316">
        <v>1580</v>
      </c>
      <c r="F322" s="1324">
        <v>500</v>
      </c>
      <c r="H322" s="1305"/>
    </row>
    <row r="323" spans="1:8" s="1303" customFormat="1" ht="14.25" customHeight="1">
      <c r="A323" s="1311" t="s">
        <v>313</v>
      </c>
      <c r="B323" s="1316" t="s">
        <v>1543</v>
      </c>
      <c r="C323" s="1316">
        <v>1780</v>
      </c>
      <c r="D323" s="1316">
        <v>1740</v>
      </c>
      <c r="E323" s="1316">
        <v>1720</v>
      </c>
      <c r="F323" s="1333"/>
      <c r="H323" s="1305"/>
    </row>
    <row r="324" spans="1:8" s="1303" customFormat="1" ht="14.25" customHeight="1">
      <c r="A324" s="1311" t="s">
        <v>313</v>
      </c>
      <c r="B324" s="1316" t="s">
        <v>1554</v>
      </c>
      <c r="C324" s="1316">
        <v>1650</v>
      </c>
      <c r="D324" s="1316">
        <v>1610</v>
      </c>
      <c r="E324" s="1316">
        <v>1580</v>
      </c>
      <c r="F324" s="1333"/>
      <c r="H324" s="1305"/>
    </row>
    <row r="325" spans="1:8" s="1303" customFormat="1" ht="14.25" customHeight="1">
      <c r="A325" s="1311" t="s">
        <v>313</v>
      </c>
      <c r="B325" s="1316" t="s">
        <v>1564</v>
      </c>
      <c r="C325" s="1316">
        <v>1330</v>
      </c>
      <c r="D325" s="1316">
        <v>1270</v>
      </c>
      <c r="E325" s="1316">
        <v>1240</v>
      </c>
      <c r="F325" s="1324">
        <v>430</v>
      </c>
      <c r="H325" s="1305"/>
    </row>
    <row r="326" spans="1:8" s="1303" customFormat="1" ht="14.25" customHeight="1">
      <c r="A326" s="1311" t="s">
        <v>313</v>
      </c>
      <c r="B326" s="1316" t="s">
        <v>1574</v>
      </c>
      <c r="C326" s="1316">
        <v>1470</v>
      </c>
      <c r="D326" s="1316">
        <v>1430</v>
      </c>
      <c r="E326" s="1316">
        <v>1400</v>
      </c>
      <c r="F326" s="1333"/>
      <c r="H326" s="1305"/>
    </row>
    <row r="327" spans="1:8" s="1303" customFormat="1" ht="14.25" customHeight="1">
      <c r="A327" s="1311" t="s">
        <v>313</v>
      </c>
      <c r="B327" s="1316" t="s">
        <v>1584</v>
      </c>
      <c r="C327" s="1316">
        <v>1420</v>
      </c>
      <c r="D327" s="1316">
        <v>1380</v>
      </c>
      <c r="E327" s="1316">
        <v>1360</v>
      </c>
      <c r="F327" s="1324">
        <v>420</v>
      </c>
      <c r="H327" s="1305"/>
    </row>
    <row r="328" spans="1:8" s="1303" customFormat="1" ht="14.25" customHeight="1">
      <c r="A328" s="1311" t="s">
        <v>313</v>
      </c>
      <c r="B328" s="1316" t="s">
        <v>1594</v>
      </c>
      <c r="C328" s="1316">
        <v>1400</v>
      </c>
      <c r="D328" s="1316">
        <v>1360</v>
      </c>
      <c r="E328" s="1316">
        <v>1330</v>
      </c>
      <c r="F328" s="1324">
        <v>460</v>
      </c>
      <c r="H328" s="1305"/>
    </row>
    <row r="329" spans="1:8" s="1303" customFormat="1" ht="14.25" customHeight="1">
      <c r="A329" s="1311" t="s">
        <v>313</v>
      </c>
      <c r="B329" s="1316" t="s">
        <v>1604</v>
      </c>
      <c r="C329" s="1316">
        <v>1640</v>
      </c>
      <c r="D329" s="1316">
        <v>1610</v>
      </c>
      <c r="E329" s="1316">
        <v>1580</v>
      </c>
      <c r="F329" s="1324">
        <v>410</v>
      </c>
      <c r="H329" s="1305"/>
    </row>
    <row r="330" spans="1:8" s="1303" customFormat="1" ht="14.25" customHeight="1">
      <c r="A330" s="1311" t="s">
        <v>313</v>
      </c>
      <c r="B330" s="1316" t="s">
        <v>1614</v>
      </c>
      <c r="C330" s="1316">
        <v>1260</v>
      </c>
      <c r="D330" s="1316">
        <v>1220</v>
      </c>
      <c r="E330" s="1316">
        <v>1200</v>
      </c>
      <c r="F330" s="1333"/>
      <c r="H330" s="1305"/>
    </row>
    <row r="331" spans="1:8" s="1303" customFormat="1" ht="14.25" customHeight="1">
      <c r="A331" s="1311" t="s">
        <v>313</v>
      </c>
      <c r="B331" s="1316" t="s">
        <v>1624</v>
      </c>
      <c r="C331" s="1316">
        <v>1620</v>
      </c>
      <c r="D331" s="1316">
        <v>1560</v>
      </c>
      <c r="E331" s="1316">
        <v>1530</v>
      </c>
      <c r="F331" s="1324">
        <v>490</v>
      </c>
      <c r="H331" s="1305"/>
    </row>
    <row r="332" spans="1:8" s="1303" customFormat="1" ht="14.25" customHeight="1">
      <c r="A332" s="1311" t="s">
        <v>313</v>
      </c>
      <c r="B332" s="1316" t="s">
        <v>1634</v>
      </c>
      <c r="C332" s="1316">
        <v>1520</v>
      </c>
      <c r="D332" s="1316">
        <v>1470</v>
      </c>
      <c r="E332" s="1316">
        <v>1440</v>
      </c>
      <c r="F332" s="1324">
        <v>440</v>
      </c>
      <c r="H332" s="1305"/>
    </row>
    <row r="333" spans="1:8" s="1303" customFormat="1" ht="14.25" customHeight="1">
      <c r="A333" s="1311" t="s">
        <v>313</v>
      </c>
      <c r="B333" s="1316" t="s">
        <v>1644</v>
      </c>
      <c r="C333" s="1316">
        <v>1370</v>
      </c>
      <c r="D333" s="1316">
        <v>1320</v>
      </c>
      <c r="E333" s="1316">
        <v>1300</v>
      </c>
      <c r="F333" s="1324">
        <v>460</v>
      </c>
      <c r="H333" s="1305"/>
    </row>
    <row r="334" spans="1:8" s="1303" customFormat="1" ht="14.25" customHeight="1">
      <c r="A334" s="1311" t="s">
        <v>313</v>
      </c>
      <c r="B334" s="1316" t="s">
        <v>1654</v>
      </c>
      <c r="C334" s="1316">
        <v>1410</v>
      </c>
      <c r="D334" s="1316">
        <v>1340</v>
      </c>
      <c r="E334" s="1316">
        <v>1310</v>
      </c>
      <c r="F334" s="1324">
        <v>410</v>
      </c>
      <c r="H334" s="1305"/>
    </row>
    <row r="335" spans="1:8" s="1303" customFormat="1" ht="14.25" customHeight="1">
      <c r="A335" s="1311" t="s">
        <v>313</v>
      </c>
      <c r="B335" s="1316" t="s">
        <v>1664</v>
      </c>
      <c r="C335" s="1316">
        <v>1260</v>
      </c>
      <c r="D335" s="1316">
        <v>1220</v>
      </c>
      <c r="E335" s="1316">
        <v>1200</v>
      </c>
      <c r="F335" s="1333"/>
      <c r="H335" s="1305"/>
    </row>
    <row r="336" spans="1:8" s="1303" customFormat="1" ht="14.25" customHeight="1">
      <c r="A336" s="1311" t="s">
        <v>313</v>
      </c>
      <c r="B336" s="1316" t="s">
        <v>1673</v>
      </c>
      <c r="C336" s="1316">
        <v>1160</v>
      </c>
      <c r="D336" s="1316">
        <v>1140</v>
      </c>
      <c r="E336" s="1316">
        <v>1120</v>
      </c>
      <c r="F336" s="1324">
        <v>430</v>
      </c>
      <c r="H336" s="1305"/>
    </row>
    <row r="337" spans="1:8" s="1303" customFormat="1" ht="14.25" customHeight="1">
      <c r="A337" s="1311" t="s">
        <v>313</v>
      </c>
      <c r="B337" s="1322" t="s">
        <v>1681</v>
      </c>
      <c r="C337" s="1322"/>
      <c r="D337" s="1322"/>
      <c r="E337" s="1322"/>
      <c r="F337" s="1332">
        <v>380</v>
      </c>
      <c r="H337" s="1305"/>
    </row>
    <row r="338" spans="1:8" s="1303" customFormat="1" ht="14.25" customHeight="1">
      <c r="A338" s="1311" t="s">
        <v>316</v>
      </c>
      <c r="B338" s="1312" t="s">
        <v>1472</v>
      </c>
      <c r="C338" s="1312">
        <v>880</v>
      </c>
      <c r="D338" s="1312">
        <v>850</v>
      </c>
      <c r="E338" s="1312">
        <v>830</v>
      </c>
      <c r="F338" s="1339"/>
      <c r="H338" s="1305"/>
    </row>
    <row r="339" spans="1:8" s="1303" customFormat="1" ht="14.25" customHeight="1">
      <c r="A339" s="1311" t="s">
        <v>316</v>
      </c>
      <c r="B339" s="1316" t="s">
        <v>1485</v>
      </c>
      <c r="C339" s="1316">
        <v>830</v>
      </c>
      <c r="D339" s="1316">
        <v>800</v>
      </c>
      <c r="E339" s="1316">
        <v>780</v>
      </c>
      <c r="F339" s="1333"/>
      <c r="H339" s="1305"/>
    </row>
    <row r="340" spans="1:8" s="1303" customFormat="1" ht="14.25" customHeight="1">
      <c r="A340" s="1311" t="s">
        <v>316</v>
      </c>
      <c r="B340" s="1316" t="s">
        <v>1498</v>
      </c>
      <c r="C340" s="1316">
        <v>980</v>
      </c>
      <c r="D340" s="1316">
        <v>950</v>
      </c>
      <c r="E340" s="1316">
        <v>920</v>
      </c>
      <c r="F340" s="1333"/>
      <c r="H340" s="1305"/>
    </row>
    <row r="341" spans="1:8" s="1303" customFormat="1" ht="14.25" customHeight="1">
      <c r="A341" s="1311" t="s">
        <v>316</v>
      </c>
      <c r="B341" s="1316" t="s">
        <v>1510</v>
      </c>
      <c r="C341" s="1316">
        <v>760</v>
      </c>
      <c r="D341" s="1316">
        <v>720</v>
      </c>
      <c r="E341" s="1316">
        <v>690</v>
      </c>
      <c r="F341" s="1324">
        <v>350</v>
      </c>
      <c r="H341" s="1305"/>
    </row>
    <row r="342" spans="1:8" s="1303" customFormat="1" ht="14.25" customHeight="1">
      <c r="A342" s="1311" t="s">
        <v>316</v>
      </c>
      <c r="B342" s="1316" t="s">
        <v>1522</v>
      </c>
      <c r="C342" s="1316">
        <v>910</v>
      </c>
      <c r="D342" s="1316">
        <v>870</v>
      </c>
      <c r="E342" s="1316">
        <v>850</v>
      </c>
      <c r="F342" s="1324">
        <v>370</v>
      </c>
      <c r="H342" s="1305"/>
    </row>
    <row r="343" spans="1:8" s="1303" customFormat="1" ht="14.25" customHeight="1">
      <c r="A343" s="1311" t="s">
        <v>316</v>
      </c>
      <c r="B343" s="1316" t="s">
        <v>1533</v>
      </c>
      <c r="C343" s="1316">
        <v>800</v>
      </c>
      <c r="D343" s="1316">
        <v>760</v>
      </c>
      <c r="E343" s="1316">
        <v>730</v>
      </c>
      <c r="F343" s="1324">
        <v>340</v>
      </c>
      <c r="H343" s="1305"/>
    </row>
    <row r="344" spans="1:8" s="1303" customFormat="1" ht="14.25" customHeight="1">
      <c r="A344" s="1311" t="s">
        <v>316</v>
      </c>
      <c r="B344" s="1322" t="s">
        <v>1544</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1803</v>
      </c>
      <c r="B1" s="1294"/>
      <c r="C1" s="1294"/>
      <c r="D1" s="1294"/>
      <c r="E1" s="1294"/>
      <c r="F1" s="1294"/>
      <c r="G1" s="1294"/>
      <c r="H1" s="1294"/>
      <c r="I1" s="1294"/>
      <c r="J1" s="1294"/>
      <c r="K1" s="1294"/>
      <c r="L1" s="1294"/>
      <c r="M1" s="1294"/>
      <c r="N1" s="1294"/>
    </row>
    <row r="2" spans="1:14">
      <c r="A2" s="1295" t="s">
        <v>105</v>
      </c>
      <c r="B2" s="1296" t="s">
        <v>242</v>
      </c>
      <c r="C2" s="1296" t="s">
        <v>255</v>
      </c>
      <c r="D2" s="1296" t="s">
        <v>267</v>
      </c>
      <c r="E2" s="1296" t="s">
        <v>277</v>
      </c>
      <c r="F2" s="1296" t="s">
        <v>286</v>
      </c>
      <c r="G2" s="1296" t="s">
        <v>294</v>
      </c>
      <c r="H2" s="1297" t="s">
        <v>299</v>
      </c>
      <c r="I2" s="1297" t="s">
        <v>304</v>
      </c>
      <c r="J2" s="1300" t="s">
        <v>307</v>
      </c>
      <c r="K2" s="1300" t="s">
        <v>310</v>
      </c>
      <c r="L2" s="1300" t="s">
        <v>313</v>
      </c>
      <c r="M2" s="1300" t="s">
        <v>316</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1804</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255</v>
      </c>
      <c r="D104" s="1296" t="s">
        <v>267</v>
      </c>
      <c r="E104" s="1296" t="s">
        <v>277</v>
      </c>
      <c r="F104" s="1296" t="s">
        <v>286</v>
      </c>
      <c r="G104" s="1296" t="s">
        <v>294</v>
      </c>
      <c r="H104" s="1297" t="s">
        <v>299</v>
      </c>
      <c r="I104" s="1297" t="s">
        <v>304</v>
      </c>
      <c r="J104" s="1300" t="s">
        <v>307</v>
      </c>
      <c r="K104" s="1300" t="s">
        <v>310</v>
      </c>
      <c r="L104" s="1300" t="s">
        <v>313</v>
      </c>
      <c r="M104" s="1300" t="s">
        <v>316</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1805</v>
      </c>
      <c r="B205" s="1294"/>
      <c r="C205" s="1294"/>
      <c r="D205" s="1294"/>
      <c r="E205" s="1294"/>
      <c r="F205" s="1294"/>
      <c r="G205" s="1294"/>
      <c r="H205" s="1294"/>
      <c r="I205" s="1294"/>
      <c r="J205" s="1294"/>
      <c r="K205" s="1294"/>
      <c r="L205" s="1294"/>
      <c r="M205" s="1294"/>
    </row>
    <row r="206" spans="1:13">
      <c r="A206" s="1295" t="s">
        <v>105</v>
      </c>
      <c r="B206" s="1296" t="s">
        <v>242</v>
      </c>
      <c r="C206" s="1296" t="s">
        <v>255</v>
      </c>
      <c r="D206" s="1296" t="s">
        <v>267</v>
      </c>
      <c r="E206" s="1296" t="s">
        <v>277</v>
      </c>
      <c r="F206" s="1296" t="s">
        <v>286</v>
      </c>
      <c r="G206" s="1296" t="s">
        <v>294</v>
      </c>
      <c r="H206" s="1297" t="s">
        <v>299</v>
      </c>
      <c r="I206" s="1297" t="s">
        <v>304</v>
      </c>
      <c r="J206" s="1300" t="s">
        <v>307</v>
      </c>
      <c r="K206" s="1300" t="s">
        <v>310</v>
      </c>
      <c r="L206" s="1300" t="s">
        <v>313</v>
      </c>
      <c r="M206" s="1300" t="s">
        <v>316</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1806</v>
      </c>
      <c r="B307" s="1294"/>
      <c r="C307" s="1294"/>
      <c r="D307" s="1294"/>
      <c r="E307" s="1294"/>
      <c r="F307" s="1294"/>
      <c r="G307" s="1294"/>
      <c r="H307" s="1294"/>
      <c r="I307" s="1294"/>
      <c r="J307" s="1294"/>
      <c r="K307" s="1294"/>
      <c r="L307" s="1294"/>
      <c r="M307" s="1294"/>
    </row>
    <row r="308" spans="1:13">
      <c r="A308" s="1295" t="s">
        <v>105</v>
      </c>
      <c r="B308" s="1296" t="s">
        <v>242</v>
      </c>
      <c r="C308" s="1296" t="s">
        <v>255</v>
      </c>
      <c r="D308" s="1296" t="s">
        <v>267</v>
      </c>
      <c r="E308" s="1296" t="s">
        <v>277</v>
      </c>
      <c r="F308" s="1296" t="s">
        <v>286</v>
      </c>
      <c r="G308" s="1296" t="s">
        <v>294</v>
      </c>
      <c r="H308" s="1297" t="s">
        <v>299</v>
      </c>
      <c r="I308" s="1297" t="s">
        <v>304</v>
      </c>
      <c r="J308" s="1300" t="s">
        <v>307</v>
      </c>
      <c r="K308" s="1300" t="s">
        <v>310</v>
      </c>
      <c r="L308" s="1300" t="s">
        <v>313</v>
      </c>
      <c r="M308" s="1300" t="s">
        <v>316</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390" t="s">
        <v>1807</v>
      </c>
      <c r="B1" s="3390"/>
    </row>
    <row r="2" spans="1:6">
      <c r="A2" s="1262"/>
      <c r="B2" s="1262"/>
    </row>
    <row r="3" spans="1:6">
      <c r="A3" s="1262"/>
      <c r="B3" s="1262"/>
      <c r="C3" s="1263" t="s">
        <v>377</v>
      </c>
      <c r="D3" s="1263" t="s">
        <v>378</v>
      </c>
      <c r="E3" s="1263" t="s">
        <v>376</v>
      </c>
      <c r="F3" s="1263" t="s">
        <v>164</v>
      </c>
    </row>
    <row r="4" spans="1:6">
      <c r="A4" s="1264" t="s">
        <v>1473</v>
      </c>
      <c r="B4" s="1265" t="s">
        <v>427</v>
      </c>
      <c r="C4" s="1263"/>
      <c r="D4" s="1263"/>
      <c r="E4" s="1263"/>
      <c r="F4" s="1263"/>
    </row>
    <row r="5" spans="1:6">
      <c r="A5" s="1266" t="s">
        <v>242</v>
      </c>
      <c r="B5" s="1267" t="s">
        <v>1461</v>
      </c>
      <c r="C5" s="1268">
        <v>8.8999999999999996E-2</v>
      </c>
      <c r="D5" s="1268">
        <v>7.3999999999999996E-2</v>
      </c>
      <c r="E5" s="1268">
        <v>7.4999999999999997E-2</v>
      </c>
      <c r="F5" s="1269">
        <v>0.1</v>
      </c>
    </row>
    <row r="6" spans="1:6">
      <c r="A6" s="1266" t="s">
        <v>242</v>
      </c>
      <c r="B6" s="1270" t="s">
        <v>1474</v>
      </c>
      <c r="C6" s="1271">
        <v>0.1</v>
      </c>
      <c r="D6" s="1271">
        <v>9.0999999999999998E-2</v>
      </c>
      <c r="E6" s="1271">
        <v>9.0999999999999998E-2</v>
      </c>
      <c r="F6" s="1272">
        <v>0.1</v>
      </c>
    </row>
    <row r="7" spans="1:6">
      <c r="A7" s="1266" t="s">
        <v>242</v>
      </c>
      <c r="B7" s="1273" t="s">
        <v>1487</v>
      </c>
      <c r="C7" s="1271">
        <v>8.5999999999999993E-2</v>
      </c>
      <c r="D7" s="1271">
        <v>9.6000000000000002E-2</v>
      </c>
      <c r="E7" s="1271">
        <v>7.5999999999999998E-2</v>
      </c>
      <c r="F7" s="1272">
        <v>0.1</v>
      </c>
    </row>
    <row r="8" spans="1:6">
      <c r="A8" s="1266" t="s">
        <v>242</v>
      </c>
      <c r="B8" s="1270" t="s">
        <v>1499</v>
      </c>
      <c r="C8" s="1271">
        <v>9.9000000000000005E-2</v>
      </c>
      <c r="D8" s="1271">
        <v>9.8000000000000004E-2</v>
      </c>
      <c r="E8" s="1271">
        <v>9.8000000000000004E-2</v>
      </c>
      <c r="F8" s="1272">
        <v>0.1</v>
      </c>
    </row>
    <row r="9" spans="1:6">
      <c r="A9" s="1274" t="s">
        <v>242</v>
      </c>
      <c r="B9" s="1275" t="s">
        <v>1511</v>
      </c>
      <c r="C9" s="1276">
        <v>0.05</v>
      </c>
      <c r="D9" s="1277"/>
      <c r="E9" s="1277"/>
      <c r="F9" s="1278"/>
    </row>
    <row r="10" spans="1:6">
      <c r="A10" s="1266" t="s">
        <v>255</v>
      </c>
      <c r="B10" s="1267" t="s">
        <v>1462</v>
      </c>
      <c r="C10" s="1268">
        <v>8.8999999999999996E-2</v>
      </c>
      <c r="D10" s="1268">
        <v>7.2999999999999995E-2</v>
      </c>
      <c r="E10" s="1268">
        <v>8.2000000000000003E-2</v>
      </c>
      <c r="F10" s="1269">
        <v>0.1</v>
      </c>
    </row>
    <row r="11" spans="1:6">
      <c r="A11" s="1266" t="s">
        <v>255</v>
      </c>
      <c r="B11" s="1273" t="s">
        <v>1475</v>
      </c>
      <c r="C11" s="1271">
        <v>8.8999999999999996E-2</v>
      </c>
      <c r="D11" s="1271">
        <v>7.2999999999999995E-2</v>
      </c>
      <c r="E11" s="1271">
        <v>8.2000000000000003E-2</v>
      </c>
      <c r="F11" s="1272">
        <v>0.1</v>
      </c>
    </row>
    <row r="12" spans="1:6">
      <c r="A12" s="1266" t="s">
        <v>255</v>
      </c>
      <c r="B12" s="1273" t="s">
        <v>1488</v>
      </c>
      <c r="C12" s="1271">
        <v>6.0999999999999999E-2</v>
      </c>
      <c r="D12" s="1271">
        <v>7.0999999999999994E-2</v>
      </c>
      <c r="E12" s="1271">
        <v>9.6000000000000002E-2</v>
      </c>
      <c r="F12" s="1272">
        <v>0.1</v>
      </c>
    </row>
    <row r="13" spans="1:6">
      <c r="A13" s="1266" t="s">
        <v>255</v>
      </c>
      <c r="B13" s="1273" t="s">
        <v>1500</v>
      </c>
      <c r="C13" s="1271">
        <v>6.9000000000000006E-2</v>
      </c>
      <c r="D13" s="1271">
        <v>6.5000000000000002E-2</v>
      </c>
      <c r="E13" s="1271">
        <v>6.6000000000000003E-2</v>
      </c>
      <c r="F13" s="1272">
        <v>0.1</v>
      </c>
    </row>
    <row r="14" spans="1:6">
      <c r="A14" s="1266" t="s">
        <v>255</v>
      </c>
      <c r="B14" s="1273" t="s">
        <v>1512</v>
      </c>
      <c r="C14" s="1271">
        <v>0.1</v>
      </c>
      <c r="D14" s="1271">
        <v>6.5000000000000002E-2</v>
      </c>
      <c r="E14" s="1271">
        <v>7.0000000000000007E-2</v>
      </c>
      <c r="F14" s="1272">
        <v>0.1</v>
      </c>
    </row>
    <row r="15" spans="1:6">
      <c r="A15" s="1266" t="s">
        <v>255</v>
      </c>
      <c r="B15" s="1273" t="s">
        <v>1523</v>
      </c>
      <c r="C15" s="1271">
        <v>9.8000000000000004E-2</v>
      </c>
      <c r="D15" s="1271">
        <v>8.8999999999999996E-2</v>
      </c>
      <c r="E15" s="1271">
        <v>8.8999999999999996E-2</v>
      </c>
      <c r="F15" s="1272">
        <v>0.1</v>
      </c>
    </row>
    <row r="16" spans="1:6">
      <c r="A16" s="1266" t="s">
        <v>255</v>
      </c>
      <c r="B16" s="1273" t="s">
        <v>1534</v>
      </c>
      <c r="C16" s="1271">
        <v>7.0000000000000007E-2</v>
      </c>
      <c r="D16" s="1271">
        <v>9.2999999999999999E-2</v>
      </c>
      <c r="E16" s="1271">
        <v>9.6000000000000002E-2</v>
      </c>
      <c r="F16" s="1272">
        <v>0.1</v>
      </c>
    </row>
    <row r="17" spans="1:6">
      <c r="A17" s="1266" t="s">
        <v>255</v>
      </c>
      <c r="B17" s="1273" t="s">
        <v>1545</v>
      </c>
      <c r="C17" s="1271">
        <v>9.5000000000000001E-2</v>
      </c>
      <c r="D17" s="1271">
        <v>0.1</v>
      </c>
      <c r="E17" s="1271">
        <v>0.1</v>
      </c>
      <c r="F17" s="1279"/>
    </row>
    <row r="18" spans="1:6">
      <c r="A18" s="1266" t="s">
        <v>255</v>
      </c>
      <c r="B18" s="1273" t="s">
        <v>1555</v>
      </c>
      <c r="C18" s="1271">
        <v>7.3999999999999996E-2</v>
      </c>
      <c r="D18" s="1271">
        <v>9.9000000000000005E-2</v>
      </c>
      <c r="E18" s="1271">
        <v>0.1</v>
      </c>
      <c r="F18" s="1279"/>
    </row>
    <row r="19" spans="1:6">
      <c r="A19" s="1266" t="s">
        <v>255</v>
      </c>
      <c r="B19" s="1273" t="s">
        <v>1565</v>
      </c>
      <c r="C19" s="1271">
        <v>9.9000000000000005E-2</v>
      </c>
      <c r="D19" s="1271">
        <v>7.5999999999999998E-2</v>
      </c>
      <c r="E19" s="1271">
        <v>8.6999999999999994E-2</v>
      </c>
      <c r="F19" s="1279"/>
    </row>
    <row r="20" spans="1:6">
      <c r="A20" s="1266" t="s">
        <v>255</v>
      </c>
      <c r="B20" s="1273" t="s">
        <v>1575</v>
      </c>
      <c r="C20" s="1271">
        <v>9.8000000000000004E-2</v>
      </c>
      <c r="D20" s="1271">
        <v>8.5000000000000006E-2</v>
      </c>
      <c r="E20" s="1271">
        <v>8.2000000000000003E-2</v>
      </c>
      <c r="F20" s="1279"/>
    </row>
    <row r="21" spans="1:6">
      <c r="A21" s="1266" t="s">
        <v>255</v>
      </c>
      <c r="B21" s="1273" t="s">
        <v>1585</v>
      </c>
      <c r="C21" s="1271">
        <v>6.6000000000000003E-2</v>
      </c>
      <c r="D21" s="1271">
        <v>6.4000000000000001E-2</v>
      </c>
      <c r="E21" s="1271">
        <v>6.5000000000000002E-2</v>
      </c>
      <c r="F21" s="1279"/>
    </row>
    <row r="22" spans="1:6">
      <c r="A22" s="1266" t="s">
        <v>255</v>
      </c>
      <c r="B22" s="1273" t="s">
        <v>1595</v>
      </c>
      <c r="C22" s="1271">
        <v>0.08</v>
      </c>
      <c r="D22" s="1271">
        <v>9.8000000000000004E-2</v>
      </c>
      <c r="E22" s="1271">
        <v>9.8000000000000004E-2</v>
      </c>
      <c r="F22" s="1279"/>
    </row>
    <row r="23" spans="1:6">
      <c r="A23" s="1266" t="s">
        <v>255</v>
      </c>
      <c r="B23" s="1273" t="s">
        <v>1605</v>
      </c>
      <c r="C23" s="1271">
        <v>9.9000000000000005E-2</v>
      </c>
      <c r="D23" s="1271">
        <v>9.8000000000000004E-2</v>
      </c>
      <c r="E23" s="1271">
        <v>9.0999999999999998E-2</v>
      </c>
      <c r="F23" s="1279"/>
    </row>
    <row r="24" spans="1:6">
      <c r="A24" s="1266" t="s">
        <v>255</v>
      </c>
      <c r="B24" s="1273" t="s">
        <v>1615</v>
      </c>
      <c r="C24" s="1271">
        <v>8.8999999999999996E-2</v>
      </c>
      <c r="D24" s="1271">
        <v>9.7000000000000003E-2</v>
      </c>
      <c r="E24" s="1271">
        <v>7.0000000000000007E-2</v>
      </c>
      <c r="F24" s="1279"/>
    </row>
    <row r="25" spans="1:6">
      <c r="A25" s="1266" t="s">
        <v>255</v>
      </c>
      <c r="B25" s="1273" t="s">
        <v>1625</v>
      </c>
      <c r="C25" s="1271">
        <v>8.8999999999999996E-2</v>
      </c>
      <c r="D25" s="1271">
        <v>0.1</v>
      </c>
      <c r="E25" s="1271">
        <v>8.1000000000000003E-2</v>
      </c>
      <c r="F25" s="1279"/>
    </row>
    <row r="26" spans="1:6">
      <c r="A26" s="1266" t="s">
        <v>255</v>
      </c>
      <c r="B26" s="1273" t="s">
        <v>1635</v>
      </c>
      <c r="C26" s="1280"/>
      <c r="D26" s="1271">
        <v>9.6000000000000002E-2</v>
      </c>
      <c r="E26" s="1271">
        <v>9.2999999999999999E-2</v>
      </c>
      <c r="F26" s="1279"/>
    </row>
    <row r="27" spans="1:6">
      <c r="A27" s="1266" t="s">
        <v>255</v>
      </c>
      <c r="B27" s="1273" t="s">
        <v>1645</v>
      </c>
      <c r="C27" s="1280"/>
      <c r="D27" s="1271">
        <v>7.5999999999999998E-2</v>
      </c>
      <c r="E27" s="1271">
        <v>9.1999999999999998E-2</v>
      </c>
      <c r="F27" s="1279"/>
    </row>
    <row r="28" spans="1:6">
      <c r="A28" s="1274" t="s">
        <v>255</v>
      </c>
      <c r="B28" s="1275" t="s">
        <v>1655</v>
      </c>
      <c r="C28" s="1277"/>
      <c r="D28" s="1276">
        <v>7.5999999999999998E-2</v>
      </c>
      <c r="E28" s="1276">
        <v>9.1999999999999998E-2</v>
      </c>
      <c r="F28" s="1278"/>
    </row>
    <row r="29" spans="1:6">
      <c r="A29" s="1266" t="s">
        <v>267</v>
      </c>
      <c r="B29" s="1267" t="s">
        <v>1463</v>
      </c>
      <c r="C29" s="1268">
        <v>6.4000000000000001E-2</v>
      </c>
      <c r="D29" s="1268">
        <v>6.5000000000000002E-2</v>
      </c>
      <c r="E29" s="1268">
        <v>6.9000000000000006E-2</v>
      </c>
      <c r="F29" s="1269">
        <v>0.1</v>
      </c>
    </row>
    <row r="30" spans="1:6">
      <c r="A30" s="1266" t="s">
        <v>267</v>
      </c>
      <c r="B30" s="1273" t="s">
        <v>1476</v>
      </c>
      <c r="C30" s="1271">
        <v>6.4000000000000001E-2</v>
      </c>
      <c r="D30" s="1271">
        <v>9.9000000000000005E-2</v>
      </c>
      <c r="E30" s="1271">
        <v>0.1</v>
      </c>
      <c r="F30" s="1272">
        <v>0.1</v>
      </c>
    </row>
    <row r="31" spans="1:6">
      <c r="A31" s="1266" t="s">
        <v>267</v>
      </c>
      <c r="B31" s="1273" t="s">
        <v>1489</v>
      </c>
      <c r="C31" s="1271">
        <v>0.1</v>
      </c>
      <c r="D31" s="1271">
        <v>9.5000000000000001E-2</v>
      </c>
      <c r="E31" s="1271">
        <v>8.8999999999999996E-2</v>
      </c>
      <c r="F31" s="1272">
        <v>0.1</v>
      </c>
    </row>
    <row r="32" spans="1:6">
      <c r="A32" s="1266" t="s">
        <v>267</v>
      </c>
      <c r="B32" s="1273" t="s">
        <v>1501</v>
      </c>
      <c r="C32" s="1271">
        <v>0.05</v>
      </c>
      <c r="D32" s="1271">
        <v>0.05</v>
      </c>
      <c r="E32" s="1271">
        <v>8.7999999999999995E-2</v>
      </c>
      <c r="F32" s="1272">
        <v>0.1</v>
      </c>
    </row>
    <row r="33" spans="1:6">
      <c r="A33" s="1266" t="s">
        <v>267</v>
      </c>
      <c r="B33" s="1273" t="s">
        <v>1513</v>
      </c>
      <c r="C33" s="1271">
        <v>7.4999999999999997E-2</v>
      </c>
      <c r="D33" s="1271">
        <v>9.4E-2</v>
      </c>
      <c r="E33" s="1271">
        <v>9.7000000000000003E-2</v>
      </c>
      <c r="F33" s="1272">
        <v>0.1</v>
      </c>
    </row>
    <row r="34" spans="1:6">
      <c r="A34" s="1266" t="s">
        <v>267</v>
      </c>
      <c r="B34" s="1273" t="s">
        <v>1524</v>
      </c>
      <c r="C34" s="1271">
        <v>9.8000000000000004E-2</v>
      </c>
      <c r="D34" s="1271">
        <v>8.5999999999999993E-2</v>
      </c>
      <c r="E34" s="1271">
        <v>9.7000000000000003E-2</v>
      </c>
      <c r="F34" s="1272">
        <v>0.1</v>
      </c>
    </row>
    <row r="35" spans="1:6">
      <c r="A35" s="1266" t="s">
        <v>267</v>
      </c>
      <c r="B35" s="1273" t="s">
        <v>1535</v>
      </c>
      <c r="C35" s="1271">
        <v>5.8999999999999997E-2</v>
      </c>
      <c r="D35" s="1271">
        <v>6.5000000000000002E-2</v>
      </c>
      <c r="E35" s="1271">
        <v>7.0000000000000007E-2</v>
      </c>
      <c r="F35" s="1272">
        <v>0.1</v>
      </c>
    </row>
    <row r="36" spans="1:6">
      <c r="A36" s="1266" t="s">
        <v>267</v>
      </c>
      <c r="B36" s="1273" t="s">
        <v>1546</v>
      </c>
      <c r="C36" s="1271">
        <v>6.3E-2</v>
      </c>
      <c r="D36" s="1271">
        <v>0.1</v>
      </c>
      <c r="E36" s="1271">
        <v>0.1</v>
      </c>
      <c r="F36" s="1272">
        <v>0.1</v>
      </c>
    </row>
    <row r="37" spans="1:6">
      <c r="A37" s="1266" t="s">
        <v>267</v>
      </c>
      <c r="B37" s="1273" t="s">
        <v>1556</v>
      </c>
      <c r="C37" s="1271">
        <v>7.3999999999999996E-2</v>
      </c>
      <c r="D37" s="1271">
        <v>0.1</v>
      </c>
      <c r="E37" s="1271">
        <v>0.1</v>
      </c>
      <c r="F37" s="1272">
        <v>0.1</v>
      </c>
    </row>
    <row r="38" spans="1:6">
      <c r="A38" s="1266" t="s">
        <v>267</v>
      </c>
      <c r="B38" s="1273" t="s">
        <v>1566</v>
      </c>
      <c r="C38" s="1271">
        <v>0.1</v>
      </c>
      <c r="D38" s="1271">
        <v>9.6000000000000002E-2</v>
      </c>
      <c r="E38" s="1271">
        <v>9.6000000000000002E-2</v>
      </c>
      <c r="F38" s="1279"/>
    </row>
    <row r="39" spans="1:6">
      <c r="A39" s="1266" t="s">
        <v>267</v>
      </c>
      <c r="B39" s="1273" t="s">
        <v>1576</v>
      </c>
      <c r="C39" s="1271">
        <v>0.1</v>
      </c>
      <c r="D39" s="1271">
        <v>9.6000000000000002E-2</v>
      </c>
      <c r="E39" s="1271">
        <v>9.6000000000000002E-2</v>
      </c>
      <c r="F39" s="1279"/>
    </row>
    <row r="40" spans="1:6">
      <c r="A40" s="1266" t="s">
        <v>267</v>
      </c>
      <c r="B40" s="1273" t="s">
        <v>1586</v>
      </c>
      <c r="C40" s="1271">
        <v>9.6000000000000002E-2</v>
      </c>
      <c r="D40" s="1271">
        <v>0.1</v>
      </c>
      <c r="E40" s="1271">
        <v>9.9000000000000005E-2</v>
      </c>
      <c r="F40" s="1279"/>
    </row>
    <row r="41" spans="1:6">
      <c r="A41" s="1266" t="s">
        <v>267</v>
      </c>
      <c r="B41" s="1273" t="s">
        <v>1596</v>
      </c>
      <c r="C41" s="1271">
        <v>9.6000000000000002E-2</v>
      </c>
      <c r="D41" s="1271">
        <v>9.8000000000000004E-2</v>
      </c>
      <c r="E41" s="1271">
        <v>9.8000000000000004E-2</v>
      </c>
      <c r="F41" s="1279"/>
    </row>
    <row r="42" spans="1:6">
      <c r="A42" s="1266" t="s">
        <v>267</v>
      </c>
      <c r="B42" s="1273" t="s">
        <v>1606</v>
      </c>
      <c r="C42" s="1271">
        <v>0.1</v>
      </c>
      <c r="D42" s="1271">
        <v>8.7999999999999995E-2</v>
      </c>
      <c r="E42" s="1271">
        <v>0.1</v>
      </c>
      <c r="F42" s="1279"/>
    </row>
    <row r="43" spans="1:6">
      <c r="A43" s="1266" t="s">
        <v>267</v>
      </c>
      <c r="B43" s="1273" t="s">
        <v>1616</v>
      </c>
      <c r="C43" s="1271">
        <v>9.8000000000000004E-2</v>
      </c>
      <c r="D43" s="1271">
        <v>9.7000000000000003E-2</v>
      </c>
      <c r="E43" s="1271">
        <v>9.6000000000000002E-2</v>
      </c>
      <c r="F43" s="1279"/>
    </row>
    <row r="44" spans="1:6">
      <c r="A44" s="1266" t="s">
        <v>267</v>
      </c>
      <c r="B44" s="1273" t="s">
        <v>1626</v>
      </c>
      <c r="C44" s="1271">
        <v>8.5999999999999993E-2</v>
      </c>
      <c r="D44" s="1271">
        <v>7.9000000000000001E-2</v>
      </c>
      <c r="E44" s="1271">
        <v>7.0999999999999994E-2</v>
      </c>
      <c r="F44" s="1279"/>
    </row>
    <row r="45" spans="1:6">
      <c r="A45" s="1266" t="s">
        <v>267</v>
      </c>
      <c r="B45" s="1273" t="s">
        <v>1636</v>
      </c>
      <c r="C45" s="1271">
        <v>9.8000000000000004E-2</v>
      </c>
      <c r="D45" s="1271">
        <v>9.6000000000000002E-2</v>
      </c>
      <c r="E45" s="1271">
        <v>9.6000000000000002E-2</v>
      </c>
      <c r="F45" s="1279"/>
    </row>
    <row r="46" spans="1:6">
      <c r="A46" s="1266" t="s">
        <v>267</v>
      </c>
      <c r="B46" s="1273" t="s">
        <v>1646</v>
      </c>
      <c r="C46" s="1271">
        <v>8.5999999999999993E-2</v>
      </c>
      <c r="D46" s="1271">
        <v>9.8000000000000004E-2</v>
      </c>
      <c r="E46" s="1271">
        <v>8.7999999999999995E-2</v>
      </c>
      <c r="F46" s="1279"/>
    </row>
    <row r="47" spans="1:6">
      <c r="A47" s="1266" t="s">
        <v>267</v>
      </c>
      <c r="B47" s="1273" t="s">
        <v>1656</v>
      </c>
      <c r="C47" s="1271">
        <v>9.6000000000000002E-2</v>
      </c>
      <c r="D47" s="1280"/>
      <c r="E47" s="1271">
        <v>6.9000000000000006E-2</v>
      </c>
      <c r="F47" s="1279"/>
    </row>
    <row r="48" spans="1:6">
      <c r="A48" s="1274" t="s">
        <v>267</v>
      </c>
      <c r="B48" s="1275" t="s">
        <v>1665</v>
      </c>
      <c r="C48" s="1276">
        <v>9.8000000000000004E-2</v>
      </c>
      <c r="D48" s="1277"/>
      <c r="E48" s="1276">
        <v>9.5000000000000001E-2</v>
      </c>
      <c r="F48" s="1278"/>
    </row>
    <row r="49" spans="1:6">
      <c r="A49" s="1266" t="s">
        <v>277</v>
      </c>
      <c r="B49" s="1267" t="s">
        <v>1464</v>
      </c>
      <c r="C49" s="1268">
        <v>9.7000000000000003E-2</v>
      </c>
      <c r="D49" s="1268">
        <v>9.5000000000000001E-2</v>
      </c>
      <c r="E49" s="1268">
        <v>9.7000000000000003E-2</v>
      </c>
      <c r="F49" s="1269">
        <v>0.1</v>
      </c>
    </row>
    <row r="50" spans="1:6">
      <c r="A50" s="1266" t="s">
        <v>277</v>
      </c>
      <c r="B50" s="1270" t="s">
        <v>1477</v>
      </c>
      <c r="C50" s="1271">
        <v>7.4999999999999997E-2</v>
      </c>
      <c r="D50" s="1271">
        <v>9.5000000000000001E-2</v>
      </c>
      <c r="E50" s="1271">
        <v>0.1</v>
      </c>
      <c r="F50" s="1272">
        <v>0.1</v>
      </c>
    </row>
    <row r="51" spans="1:6">
      <c r="A51" s="1266" t="s">
        <v>277</v>
      </c>
      <c r="B51" s="1270" t="s">
        <v>1490</v>
      </c>
      <c r="C51" s="1271">
        <v>9.8000000000000004E-2</v>
      </c>
      <c r="D51" s="1271">
        <v>8.8999999999999996E-2</v>
      </c>
      <c r="E51" s="1271">
        <v>0.1</v>
      </c>
      <c r="F51" s="1272">
        <v>0.1</v>
      </c>
    </row>
    <row r="52" spans="1:6">
      <c r="A52" s="1266" t="s">
        <v>277</v>
      </c>
      <c r="B52" s="1270" t="s">
        <v>1502</v>
      </c>
      <c r="C52" s="1271">
        <v>9.8000000000000004E-2</v>
      </c>
      <c r="D52" s="1271">
        <v>9.7000000000000003E-2</v>
      </c>
      <c r="E52" s="1271">
        <v>8.1000000000000003E-2</v>
      </c>
      <c r="F52" s="1272">
        <v>0.1</v>
      </c>
    </row>
    <row r="53" spans="1:6">
      <c r="A53" s="1266" t="s">
        <v>277</v>
      </c>
      <c r="B53" s="1270" t="s">
        <v>1514</v>
      </c>
      <c r="C53" s="1271">
        <v>9.7000000000000003E-2</v>
      </c>
      <c r="D53" s="1271">
        <v>7.5999999999999998E-2</v>
      </c>
      <c r="E53" s="1271">
        <v>7.0999999999999994E-2</v>
      </c>
      <c r="F53" s="1272">
        <v>0.1</v>
      </c>
    </row>
    <row r="54" spans="1:6">
      <c r="A54" s="1266" t="s">
        <v>277</v>
      </c>
      <c r="B54" s="1270" t="s">
        <v>1525</v>
      </c>
      <c r="C54" s="1271">
        <v>7.5999999999999998E-2</v>
      </c>
      <c r="D54" s="1271">
        <v>0.1</v>
      </c>
      <c r="E54" s="1271">
        <v>9.9000000000000005E-2</v>
      </c>
      <c r="F54" s="1272">
        <v>0.1</v>
      </c>
    </row>
    <row r="55" spans="1:6">
      <c r="A55" s="1266" t="s">
        <v>277</v>
      </c>
      <c r="B55" s="1270" t="s">
        <v>1536</v>
      </c>
      <c r="C55" s="1271">
        <v>0.1</v>
      </c>
      <c r="D55" s="1271">
        <v>0.1</v>
      </c>
      <c r="E55" s="1271">
        <v>9.6000000000000002E-2</v>
      </c>
      <c r="F55" s="1272">
        <v>0.1</v>
      </c>
    </row>
    <row r="56" spans="1:6">
      <c r="A56" s="1266" t="s">
        <v>277</v>
      </c>
      <c r="B56" s="1270" t="s">
        <v>1547</v>
      </c>
      <c r="C56" s="1271">
        <v>0.1</v>
      </c>
      <c r="D56" s="1271">
        <v>9.6000000000000002E-2</v>
      </c>
      <c r="E56" s="1271">
        <v>5.1999999999999998E-2</v>
      </c>
      <c r="F56" s="1272">
        <v>0.1</v>
      </c>
    </row>
    <row r="57" spans="1:6">
      <c r="A57" s="1266" t="s">
        <v>277</v>
      </c>
      <c r="B57" s="1270" t="s">
        <v>1557</v>
      </c>
      <c r="C57" s="1271">
        <v>9.7000000000000003E-2</v>
      </c>
      <c r="D57" s="1271">
        <v>9.6000000000000002E-2</v>
      </c>
      <c r="E57" s="1271">
        <v>9.6000000000000002E-2</v>
      </c>
      <c r="F57" s="1272">
        <v>0.1</v>
      </c>
    </row>
    <row r="58" spans="1:6">
      <c r="A58" s="1266" t="s">
        <v>277</v>
      </c>
      <c r="B58" s="1270" t="s">
        <v>1567</v>
      </c>
      <c r="C58" s="1271">
        <v>9.6000000000000002E-2</v>
      </c>
      <c r="D58" s="1271">
        <v>9.9000000000000005E-2</v>
      </c>
      <c r="E58" s="1271">
        <v>9.6000000000000002E-2</v>
      </c>
      <c r="F58" s="1272">
        <v>0.1</v>
      </c>
    </row>
    <row r="59" spans="1:6">
      <c r="A59" s="1266" t="s">
        <v>277</v>
      </c>
      <c r="B59" s="1270" t="s">
        <v>1577</v>
      </c>
      <c r="C59" s="1271">
        <v>7.1999999999999995E-2</v>
      </c>
      <c r="D59" s="1271">
        <v>9.6000000000000002E-2</v>
      </c>
      <c r="E59" s="1271">
        <v>7.0999999999999994E-2</v>
      </c>
      <c r="F59" s="1272">
        <v>0.1</v>
      </c>
    </row>
    <row r="60" spans="1:6">
      <c r="A60" s="1266" t="s">
        <v>277</v>
      </c>
      <c r="B60" s="1270" t="s">
        <v>1587</v>
      </c>
      <c r="C60" s="1271">
        <v>9.6000000000000002E-2</v>
      </c>
      <c r="D60" s="1271">
        <v>8.8999999999999996E-2</v>
      </c>
      <c r="E60" s="1271">
        <v>9.6000000000000002E-2</v>
      </c>
      <c r="F60" s="1272">
        <v>0.1</v>
      </c>
    </row>
    <row r="61" spans="1:6">
      <c r="A61" s="1266" t="s">
        <v>277</v>
      </c>
      <c r="B61" s="1270" t="s">
        <v>1597</v>
      </c>
      <c r="C61" s="1271">
        <v>8.8999999999999996E-2</v>
      </c>
      <c r="D61" s="1271">
        <v>9.8000000000000004E-2</v>
      </c>
      <c r="E61" s="1271">
        <v>8.7999999999999995E-2</v>
      </c>
      <c r="F61" s="1279"/>
    </row>
    <row r="62" spans="1:6">
      <c r="A62" s="1266" t="s">
        <v>277</v>
      </c>
      <c r="B62" s="1270" t="s">
        <v>1607</v>
      </c>
      <c r="C62" s="1271">
        <v>9.8000000000000004E-2</v>
      </c>
      <c r="D62" s="1271">
        <v>9.2999999999999999E-2</v>
      </c>
      <c r="E62" s="1271">
        <v>9.7000000000000003E-2</v>
      </c>
      <c r="F62" s="1279"/>
    </row>
    <row r="63" spans="1:6">
      <c r="A63" s="1266" t="s">
        <v>277</v>
      </c>
      <c r="B63" s="1270" t="s">
        <v>1617</v>
      </c>
      <c r="C63" s="1271">
        <v>9.6000000000000002E-2</v>
      </c>
      <c r="D63" s="1271">
        <v>9.8000000000000004E-2</v>
      </c>
      <c r="E63" s="1271">
        <v>0.09</v>
      </c>
      <c r="F63" s="1279"/>
    </row>
    <row r="64" spans="1:6">
      <c r="A64" s="1266" t="s">
        <v>277</v>
      </c>
      <c r="B64" s="1270" t="s">
        <v>1627</v>
      </c>
      <c r="C64" s="1271">
        <v>9.9000000000000005E-2</v>
      </c>
      <c r="D64" s="1271">
        <v>9.7000000000000003E-2</v>
      </c>
      <c r="E64" s="1271">
        <v>9.9000000000000005E-2</v>
      </c>
      <c r="F64" s="1279"/>
    </row>
    <row r="65" spans="1:6">
      <c r="A65" s="1266" t="s">
        <v>277</v>
      </c>
      <c r="B65" s="1270" t="s">
        <v>1637</v>
      </c>
      <c r="C65" s="1271">
        <v>9.8000000000000004E-2</v>
      </c>
      <c r="D65" s="1271">
        <v>9.6000000000000002E-2</v>
      </c>
      <c r="E65" s="1271">
        <v>9.6000000000000002E-2</v>
      </c>
      <c r="F65" s="1279"/>
    </row>
    <row r="66" spans="1:6">
      <c r="A66" s="1266" t="s">
        <v>277</v>
      </c>
      <c r="B66" s="1270" t="s">
        <v>1647</v>
      </c>
      <c r="C66" s="1271">
        <v>9.6000000000000002E-2</v>
      </c>
      <c r="D66" s="1271">
        <v>9.1999999999999998E-2</v>
      </c>
      <c r="E66" s="1271">
        <v>9.6000000000000002E-2</v>
      </c>
      <c r="F66" s="1279"/>
    </row>
    <row r="67" spans="1:6">
      <c r="A67" s="1266" t="s">
        <v>277</v>
      </c>
      <c r="B67" s="1270" t="s">
        <v>1657</v>
      </c>
      <c r="C67" s="1271">
        <v>9.4E-2</v>
      </c>
      <c r="D67" s="1271">
        <v>0.1</v>
      </c>
      <c r="E67" s="1271">
        <v>8.7999999999999995E-2</v>
      </c>
      <c r="F67" s="1279"/>
    </row>
    <row r="68" spans="1:6">
      <c r="A68" s="1266" t="s">
        <v>277</v>
      </c>
      <c r="B68" s="1270" t="s">
        <v>1666</v>
      </c>
      <c r="C68" s="1271">
        <v>0.1</v>
      </c>
      <c r="D68" s="1271">
        <v>8.7999999999999995E-2</v>
      </c>
      <c r="E68" s="1271">
        <v>9.7000000000000003E-2</v>
      </c>
      <c r="F68" s="1279"/>
    </row>
    <row r="69" spans="1:6">
      <c r="A69" s="1266" t="s">
        <v>277</v>
      </c>
      <c r="B69" s="1270" t="s">
        <v>1674</v>
      </c>
      <c r="C69" s="1271">
        <v>6.4000000000000001E-2</v>
      </c>
      <c r="D69" s="1271">
        <v>0.1</v>
      </c>
      <c r="E69" s="1271">
        <v>0.1</v>
      </c>
      <c r="F69" s="1279"/>
    </row>
    <row r="70" spans="1:6">
      <c r="A70" s="1266" t="s">
        <v>277</v>
      </c>
      <c r="B70" s="1270" t="s">
        <v>1682</v>
      </c>
      <c r="C70" s="1271">
        <v>9.0999999999999998E-2</v>
      </c>
      <c r="D70" s="1280"/>
      <c r="E70" s="1280"/>
      <c r="F70" s="1279"/>
    </row>
    <row r="71" spans="1:6">
      <c r="A71" s="1266" t="s">
        <v>277</v>
      </c>
      <c r="B71" s="1270" t="s">
        <v>1689</v>
      </c>
      <c r="C71" s="1271">
        <v>0.1</v>
      </c>
      <c r="D71" s="1280"/>
      <c r="E71" s="1280"/>
      <c r="F71" s="1279"/>
    </row>
    <row r="72" spans="1:6">
      <c r="A72" s="1266" t="s">
        <v>277</v>
      </c>
      <c r="B72" s="1270" t="s">
        <v>1696</v>
      </c>
      <c r="C72" s="1280"/>
      <c r="D72" s="1280"/>
      <c r="E72" s="1280"/>
      <c r="F72" s="1272">
        <v>0.05</v>
      </c>
    </row>
    <row r="73" spans="1:6">
      <c r="A73" s="1266" t="s">
        <v>277</v>
      </c>
      <c r="B73" s="1270" t="s">
        <v>1703</v>
      </c>
      <c r="C73" s="1280"/>
      <c r="D73" s="1280"/>
      <c r="E73" s="1280"/>
      <c r="F73" s="1272">
        <v>0.05</v>
      </c>
    </row>
    <row r="74" spans="1:6">
      <c r="A74" s="1266" t="s">
        <v>277</v>
      </c>
      <c r="B74" s="1270" t="s">
        <v>1710</v>
      </c>
      <c r="C74" s="1280"/>
      <c r="D74" s="1280"/>
      <c r="E74" s="1280"/>
      <c r="F74" s="1272">
        <v>0.05</v>
      </c>
    </row>
    <row r="75" spans="1:6">
      <c r="A75" s="1274" t="s">
        <v>277</v>
      </c>
      <c r="B75" s="1281" t="s">
        <v>1717</v>
      </c>
      <c r="C75" s="1277"/>
      <c r="D75" s="1277"/>
      <c r="E75" s="1277"/>
      <c r="F75" s="1282">
        <v>0.05</v>
      </c>
    </row>
    <row r="76" spans="1:6">
      <c r="A76" s="1266" t="s">
        <v>286</v>
      </c>
      <c r="B76" s="1267" t="s">
        <v>1465</v>
      </c>
      <c r="C76" s="1268">
        <v>0.1</v>
      </c>
      <c r="D76" s="1268">
        <v>0.1</v>
      </c>
      <c r="E76" s="1268">
        <v>0.1</v>
      </c>
      <c r="F76" s="1269">
        <v>0.1</v>
      </c>
    </row>
    <row r="77" spans="1:6">
      <c r="A77" s="1266" t="s">
        <v>286</v>
      </c>
      <c r="B77" s="1270" t="s">
        <v>1478</v>
      </c>
      <c r="C77" s="1271">
        <v>8.7999999999999995E-2</v>
      </c>
      <c r="D77" s="1271">
        <v>8.6999999999999994E-2</v>
      </c>
      <c r="E77" s="1271">
        <v>7.9000000000000001E-2</v>
      </c>
      <c r="F77" s="1272">
        <v>0.1</v>
      </c>
    </row>
    <row r="78" spans="1:6">
      <c r="A78" s="1266" t="s">
        <v>286</v>
      </c>
      <c r="B78" s="1270" t="s">
        <v>1491</v>
      </c>
      <c r="C78" s="1271">
        <v>8.6999999999999994E-2</v>
      </c>
      <c r="D78" s="1271">
        <v>8.4000000000000005E-2</v>
      </c>
      <c r="E78" s="1271">
        <v>9.6000000000000002E-2</v>
      </c>
      <c r="F78" s="1272">
        <v>0.1</v>
      </c>
    </row>
    <row r="79" spans="1:6">
      <c r="A79" s="1266" t="s">
        <v>286</v>
      </c>
      <c r="B79" s="1270" t="s">
        <v>1503</v>
      </c>
      <c r="C79" s="1271">
        <v>9.8000000000000004E-2</v>
      </c>
      <c r="D79" s="1271">
        <v>9.8000000000000004E-2</v>
      </c>
      <c r="E79" s="1271">
        <v>9.0999999999999998E-2</v>
      </c>
      <c r="F79" s="1272">
        <v>0.1</v>
      </c>
    </row>
    <row r="80" spans="1:6">
      <c r="A80" s="1266" t="s">
        <v>286</v>
      </c>
      <c r="B80" s="1270" t="s">
        <v>1515</v>
      </c>
      <c r="C80" s="1271">
        <v>9.6000000000000002E-2</v>
      </c>
      <c r="D80" s="1271">
        <v>9.6000000000000002E-2</v>
      </c>
      <c r="E80" s="1271">
        <v>0.1</v>
      </c>
      <c r="F80" s="1272">
        <v>0.1</v>
      </c>
    </row>
    <row r="81" spans="1:6">
      <c r="A81" s="1266" t="s">
        <v>286</v>
      </c>
      <c r="B81" s="1270" t="s">
        <v>1526</v>
      </c>
      <c r="C81" s="1271">
        <v>9.9000000000000005E-2</v>
      </c>
      <c r="D81" s="1271">
        <v>9.9000000000000005E-2</v>
      </c>
      <c r="E81" s="1271">
        <v>9.8000000000000004E-2</v>
      </c>
      <c r="F81" s="1272">
        <v>0.1</v>
      </c>
    </row>
    <row r="82" spans="1:6">
      <c r="A82" s="1266" t="s">
        <v>286</v>
      </c>
      <c r="B82" s="1270" t="s">
        <v>1537</v>
      </c>
      <c r="C82" s="1271">
        <v>9.9000000000000005E-2</v>
      </c>
      <c r="D82" s="1271">
        <v>9.9000000000000005E-2</v>
      </c>
      <c r="E82" s="1271">
        <v>9.7000000000000003E-2</v>
      </c>
      <c r="F82" s="1272">
        <v>0.1</v>
      </c>
    </row>
    <row r="83" spans="1:6">
      <c r="A83" s="1266" t="s">
        <v>286</v>
      </c>
      <c r="B83" s="1270" t="s">
        <v>1548</v>
      </c>
      <c r="C83" s="1271">
        <v>9.8000000000000004E-2</v>
      </c>
      <c r="D83" s="1271">
        <v>9.8000000000000004E-2</v>
      </c>
      <c r="E83" s="1271">
        <v>9.8000000000000004E-2</v>
      </c>
      <c r="F83" s="1272">
        <v>0.1</v>
      </c>
    </row>
    <row r="84" spans="1:6">
      <c r="A84" s="1266" t="s">
        <v>286</v>
      </c>
      <c r="B84" s="1270" t="s">
        <v>1558</v>
      </c>
      <c r="C84" s="1271">
        <v>9.9000000000000005E-2</v>
      </c>
      <c r="D84" s="1271">
        <v>9.9000000000000005E-2</v>
      </c>
      <c r="E84" s="1271">
        <v>9.9000000000000005E-2</v>
      </c>
      <c r="F84" s="1272">
        <v>0.1</v>
      </c>
    </row>
    <row r="85" spans="1:6">
      <c r="A85" s="1266" t="s">
        <v>286</v>
      </c>
      <c r="B85" s="1270" t="s">
        <v>1568</v>
      </c>
      <c r="C85" s="1271">
        <v>9.9000000000000005E-2</v>
      </c>
      <c r="D85" s="1271">
        <v>9.9000000000000005E-2</v>
      </c>
      <c r="E85" s="1271">
        <v>9.9000000000000005E-2</v>
      </c>
      <c r="F85" s="1272">
        <v>0.1</v>
      </c>
    </row>
    <row r="86" spans="1:6">
      <c r="A86" s="1266" t="s">
        <v>286</v>
      </c>
      <c r="B86" s="1270" t="s">
        <v>1578</v>
      </c>
      <c r="C86" s="1271">
        <v>0.1</v>
      </c>
      <c r="D86" s="1271">
        <v>0.1</v>
      </c>
      <c r="E86" s="1271">
        <v>7.6999999999999999E-2</v>
      </c>
      <c r="F86" s="1272">
        <v>0.1</v>
      </c>
    </row>
    <row r="87" spans="1:6">
      <c r="A87" s="1266" t="s">
        <v>286</v>
      </c>
      <c r="B87" s="1270" t="s">
        <v>1588</v>
      </c>
      <c r="C87" s="1271">
        <v>0.1</v>
      </c>
      <c r="D87" s="1271">
        <v>0.1</v>
      </c>
      <c r="E87" s="1271">
        <v>9.8000000000000004E-2</v>
      </c>
      <c r="F87" s="1279"/>
    </row>
    <row r="88" spans="1:6">
      <c r="A88" s="1266" t="s">
        <v>286</v>
      </c>
      <c r="B88" s="1270" t="s">
        <v>1598</v>
      </c>
      <c r="C88" s="1271">
        <v>9.1999999999999998E-2</v>
      </c>
      <c r="D88" s="1271">
        <v>8.5000000000000006E-2</v>
      </c>
      <c r="E88" s="1271">
        <v>9.6000000000000002E-2</v>
      </c>
      <c r="F88" s="1279"/>
    </row>
    <row r="89" spans="1:6">
      <c r="A89" s="1266" t="s">
        <v>286</v>
      </c>
      <c r="B89" s="1270" t="s">
        <v>1608</v>
      </c>
      <c r="C89" s="1271">
        <v>0.1</v>
      </c>
      <c r="D89" s="1271">
        <v>0.1</v>
      </c>
      <c r="E89" s="1271">
        <v>9.7000000000000003E-2</v>
      </c>
      <c r="F89" s="1279"/>
    </row>
    <row r="90" spans="1:6">
      <c r="A90" s="1266" t="s">
        <v>286</v>
      </c>
      <c r="B90" s="1270" t="s">
        <v>1618</v>
      </c>
      <c r="C90" s="1271">
        <v>9.8000000000000004E-2</v>
      </c>
      <c r="D90" s="1271">
        <v>9.8000000000000004E-2</v>
      </c>
      <c r="E90" s="1271">
        <v>8.7999999999999995E-2</v>
      </c>
      <c r="F90" s="1279"/>
    </row>
    <row r="91" spans="1:6">
      <c r="A91" s="1266" t="s">
        <v>286</v>
      </c>
      <c r="B91" s="1270" t="s">
        <v>1628</v>
      </c>
      <c r="C91" s="1271">
        <v>9.9000000000000005E-2</v>
      </c>
      <c r="D91" s="1271">
        <v>9.9000000000000005E-2</v>
      </c>
      <c r="E91" s="1271">
        <v>9.0999999999999998E-2</v>
      </c>
      <c r="F91" s="1279"/>
    </row>
    <row r="92" spans="1:6">
      <c r="A92" s="1266" t="s">
        <v>286</v>
      </c>
      <c r="B92" s="1270" t="s">
        <v>1638</v>
      </c>
      <c r="C92" s="1271">
        <v>9.6000000000000002E-2</v>
      </c>
      <c r="D92" s="1271">
        <v>9.6000000000000002E-2</v>
      </c>
      <c r="E92" s="1271">
        <v>7.2999999999999995E-2</v>
      </c>
      <c r="F92" s="1279"/>
    </row>
    <row r="93" spans="1:6">
      <c r="A93" s="1266" t="s">
        <v>286</v>
      </c>
      <c r="B93" s="1270" t="s">
        <v>1648</v>
      </c>
      <c r="C93" s="1271">
        <v>9.6000000000000002E-2</v>
      </c>
      <c r="D93" s="1271">
        <v>9.6000000000000002E-2</v>
      </c>
      <c r="E93" s="1271">
        <v>9.9000000000000005E-2</v>
      </c>
      <c r="F93" s="1279"/>
    </row>
    <row r="94" spans="1:6">
      <c r="A94" s="1266" t="s">
        <v>286</v>
      </c>
      <c r="B94" s="1270" t="s">
        <v>1658</v>
      </c>
      <c r="C94" s="1271">
        <v>7.5999999999999998E-2</v>
      </c>
      <c r="D94" s="1271">
        <v>7.3999999999999996E-2</v>
      </c>
      <c r="E94" s="1271">
        <v>9.7000000000000003E-2</v>
      </c>
      <c r="F94" s="1279"/>
    </row>
    <row r="95" spans="1:6">
      <c r="A95" s="1266" t="s">
        <v>286</v>
      </c>
      <c r="B95" s="1270" t="s">
        <v>1667</v>
      </c>
      <c r="C95" s="1271">
        <v>9.9000000000000005E-2</v>
      </c>
      <c r="D95" s="1271">
        <v>9.4E-2</v>
      </c>
      <c r="E95" s="1271">
        <v>9.6000000000000002E-2</v>
      </c>
      <c r="F95" s="1279"/>
    </row>
    <row r="96" spans="1:6">
      <c r="A96" s="1266" t="s">
        <v>286</v>
      </c>
      <c r="B96" s="1270" t="s">
        <v>1675</v>
      </c>
      <c r="C96" s="1271">
        <v>9.9000000000000005E-2</v>
      </c>
      <c r="D96" s="1271">
        <v>9.9000000000000005E-2</v>
      </c>
      <c r="E96" s="1271">
        <v>9.9000000000000005E-2</v>
      </c>
      <c r="F96" s="1279"/>
    </row>
    <row r="97" spans="1:6">
      <c r="A97" s="1266" t="s">
        <v>286</v>
      </c>
      <c r="B97" s="1270" t="s">
        <v>1683</v>
      </c>
      <c r="C97" s="1271">
        <v>9.8000000000000004E-2</v>
      </c>
      <c r="D97" s="1271">
        <v>9.8000000000000004E-2</v>
      </c>
      <c r="E97" s="1271">
        <v>9.7000000000000003E-2</v>
      </c>
      <c r="F97" s="1279"/>
    </row>
    <row r="98" spans="1:6">
      <c r="A98" s="1266" t="s">
        <v>286</v>
      </c>
      <c r="B98" s="1270" t="s">
        <v>1690</v>
      </c>
      <c r="C98" s="1271">
        <v>0.1</v>
      </c>
      <c r="D98" s="1271">
        <v>0.1</v>
      </c>
      <c r="E98" s="1271">
        <v>9.7000000000000003E-2</v>
      </c>
      <c r="F98" s="1279"/>
    </row>
    <row r="99" spans="1:6">
      <c r="A99" s="1266" t="s">
        <v>286</v>
      </c>
      <c r="B99" s="1270" t="s">
        <v>1697</v>
      </c>
      <c r="C99" s="1271">
        <v>0.1</v>
      </c>
      <c r="D99" s="1271">
        <v>0.1</v>
      </c>
      <c r="E99" s="1280"/>
      <c r="F99" s="1279"/>
    </row>
    <row r="100" spans="1:6">
      <c r="A100" s="1266" t="s">
        <v>286</v>
      </c>
      <c r="B100" s="1270" t="s">
        <v>1704</v>
      </c>
      <c r="C100" s="1271">
        <v>0.09</v>
      </c>
      <c r="D100" s="1271">
        <v>8.8999999999999996E-2</v>
      </c>
      <c r="E100" s="1280"/>
      <c r="F100" s="1279"/>
    </row>
    <row r="101" spans="1:6">
      <c r="A101" s="1266" t="s">
        <v>286</v>
      </c>
      <c r="B101" s="1270" t="s">
        <v>1711</v>
      </c>
      <c r="C101" s="1271">
        <v>9.8000000000000004E-2</v>
      </c>
      <c r="D101" s="1271">
        <v>9.7000000000000003E-2</v>
      </c>
      <c r="E101" s="1280"/>
      <c r="F101" s="1279"/>
    </row>
    <row r="102" spans="1:6">
      <c r="A102" s="1266" t="s">
        <v>286</v>
      </c>
      <c r="B102" s="1270" t="s">
        <v>1718</v>
      </c>
      <c r="C102" s="1280"/>
      <c r="D102" s="1280"/>
      <c r="E102" s="1280"/>
      <c r="F102" s="1272">
        <v>0.05</v>
      </c>
    </row>
    <row r="103" spans="1:6" ht="24">
      <c r="A103" s="1266" t="s">
        <v>286</v>
      </c>
      <c r="B103" s="1270" t="s">
        <v>1723</v>
      </c>
      <c r="C103" s="1280"/>
      <c r="D103" s="1280"/>
      <c r="E103" s="1280"/>
      <c r="F103" s="1272">
        <v>0.05</v>
      </c>
    </row>
    <row r="104" spans="1:6">
      <c r="A104" s="1266" t="s">
        <v>286</v>
      </c>
      <c r="B104" s="1270" t="s">
        <v>1728</v>
      </c>
      <c r="C104" s="1280"/>
      <c r="D104" s="1280"/>
      <c r="E104" s="1280"/>
      <c r="F104" s="1272">
        <v>0.05</v>
      </c>
    </row>
    <row r="105" spans="1:6">
      <c r="A105" s="1266" t="s">
        <v>286</v>
      </c>
      <c r="B105" s="1270" t="s">
        <v>1733</v>
      </c>
      <c r="C105" s="1280"/>
      <c r="D105" s="1280"/>
      <c r="E105" s="1280"/>
      <c r="F105" s="1272">
        <v>0.05</v>
      </c>
    </row>
    <row r="106" spans="1:6">
      <c r="A106" s="1266" t="s">
        <v>286</v>
      </c>
      <c r="B106" s="1270" t="s">
        <v>1738</v>
      </c>
      <c r="C106" s="1280"/>
      <c r="D106" s="1280"/>
      <c r="E106" s="1280"/>
      <c r="F106" s="1272">
        <v>0.05</v>
      </c>
    </row>
    <row r="107" spans="1:6" ht="24">
      <c r="A107" s="1266" t="s">
        <v>286</v>
      </c>
      <c r="B107" s="1270" t="s">
        <v>1743</v>
      </c>
      <c r="C107" s="1280"/>
      <c r="D107" s="1280"/>
      <c r="E107" s="1280"/>
      <c r="F107" s="1272">
        <v>0.05</v>
      </c>
    </row>
    <row r="108" spans="1:6" ht="24">
      <c r="A108" s="1266" t="s">
        <v>286</v>
      </c>
      <c r="B108" s="1270" t="s">
        <v>1748</v>
      </c>
      <c r="C108" s="1280"/>
      <c r="D108" s="1280"/>
      <c r="E108" s="1280"/>
      <c r="F108" s="1272">
        <v>0.05</v>
      </c>
    </row>
    <row r="109" spans="1:6" ht="24">
      <c r="A109" s="1274" t="s">
        <v>286</v>
      </c>
      <c r="B109" s="1281" t="s">
        <v>1753</v>
      </c>
      <c r="C109" s="1277"/>
      <c r="D109" s="1277"/>
      <c r="E109" s="1277"/>
      <c r="F109" s="1282">
        <v>0.05</v>
      </c>
    </row>
    <row r="110" spans="1:6">
      <c r="A110" s="1266" t="s">
        <v>294</v>
      </c>
      <c r="B110" s="1267" t="s">
        <v>1466</v>
      </c>
      <c r="C110" s="1268">
        <v>0.129</v>
      </c>
      <c r="D110" s="1268">
        <v>0.129</v>
      </c>
      <c r="E110" s="1268">
        <v>0.126</v>
      </c>
      <c r="F110" s="1269">
        <v>0.13</v>
      </c>
    </row>
    <row r="111" spans="1:6">
      <c r="A111" s="1266" t="s">
        <v>294</v>
      </c>
      <c r="B111" s="1270" t="s">
        <v>1479</v>
      </c>
      <c r="C111" s="1271">
        <v>0.11</v>
      </c>
      <c r="D111" s="1271">
        <v>0.11</v>
      </c>
      <c r="E111" s="1271">
        <v>9.9000000000000005E-2</v>
      </c>
      <c r="F111" s="1272">
        <v>0.128</v>
      </c>
    </row>
    <row r="112" spans="1:6">
      <c r="A112" s="1266" t="s">
        <v>294</v>
      </c>
      <c r="B112" s="1270" t="s">
        <v>1492</v>
      </c>
      <c r="C112" s="1271">
        <v>0.125</v>
      </c>
      <c r="D112" s="1271">
        <v>0.125</v>
      </c>
      <c r="E112" s="1271">
        <v>0.12</v>
      </c>
      <c r="F112" s="1272">
        <v>0.125</v>
      </c>
    </row>
    <row r="113" spans="1:6">
      <c r="A113" s="1266" t="s">
        <v>294</v>
      </c>
      <c r="B113" s="1270" t="s">
        <v>1504</v>
      </c>
      <c r="C113" s="1271">
        <v>0.13</v>
      </c>
      <c r="D113" s="1271">
        <v>0.13</v>
      </c>
      <c r="E113" s="1271">
        <v>0.13</v>
      </c>
      <c r="F113" s="1272">
        <v>0.13</v>
      </c>
    </row>
    <row r="114" spans="1:6">
      <c r="A114" s="1266" t="s">
        <v>294</v>
      </c>
      <c r="B114" s="1270" t="s">
        <v>1516</v>
      </c>
      <c r="C114" s="1271">
        <v>0.123</v>
      </c>
      <c r="D114" s="1271">
        <v>0.123</v>
      </c>
      <c r="E114" s="1271">
        <v>0.12</v>
      </c>
      <c r="F114" s="1272">
        <v>0.13</v>
      </c>
    </row>
    <row r="115" spans="1:6">
      <c r="A115" s="1266" t="s">
        <v>294</v>
      </c>
      <c r="B115" s="1270" t="s">
        <v>1527</v>
      </c>
      <c r="C115" s="1271">
        <v>0.125</v>
      </c>
      <c r="D115" s="1271">
        <v>0.125</v>
      </c>
      <c r="E115" s="1271">
        <v>0.11700000000000001</v>
      </c>
      <c r="F115" s="1272">
        <v>0.13</v>
      </c>
    </row>
    <row r="116" spans="1:6">
      <c r="A116" s="1266" t="s">
        <v>294</v>
      </c>
      <c r="B116" s="1270" t="s">
        <v>1538</v>
      </c>
      <c r="C116" s="1271">
        <v>0.11700000000000001</v>
      </c>
      <c r="D116" s="1271">
        <v>0.11700000000000001</v>
      </c>
      <c r="E116" s="1271">
        <v>8.7999999999999995E-2</v>
      </c>
      <c r="F116" s="1272">
        <v>0.13</v>
      </c>
    </row>
    <row r="117" spans="1:6">
      <c r="A117" s="1266" t="s">
        <v>294</v>
      </c>
      <c r="B117" s="1270" t="s">
        <v>1549</v>
      </c>
      <c r="C117" s="1271">
        <v>0.13</v>
      </c>
      <c r="D117" s="1271">
        <v>0.13</v>
      </c>
      <c r="E117" s="1271">
        <v>0.129</v>
      </c>
      <c r="F117" s="1272">
        <v>0.13</v>
      </c>
    </row>
    <row r="118" spans="1:6">
      <c r="A118" s="1266" t="s">
        <v>294</v>
      </c>
      <c r="B118" s="1270" t="s">
        <v>1559</v>
      </c>
      <c r="C118" s="1271">
        <v>0.123</v>
      </c>
      <c r="D118" s="1271">
        <v>0.123</v>
      </c>
      <c r="E118" s="1271">
        <v>0.11600000000000001</v>
      </c>
      <c r="F118" s="1272">
        <v>0.13</v>
      </c>
    </row>
    <row r="119" spans="1:6">
      <c r="A119" s="1266" t="s">
        <v>294</v>
      </c>
      <c r="B119" s="1270" t="s">
        <v>1569</v>
      </c>
      <c r="C119" s="1271">
        <v>0.127</v>
      </c>
      <c r="D119" s="1271">
        <v>0.127</v>
      </c>
      <c r="E119" s="1271">
        <v>0.124</v>
      </c>
      <c r="F119" s="1272">
        <v>0.13</v>
      </c>
    </row>
    <row r="120" spans="1:6">
      <c r="A120" s="1266" t="s">
        <v>294</v>
      </c>
      <c r="B120" s="1270" t="s">
        <v>1579</v>
      </c>
      <c r="C120" s="1271">
        <v>0.125</v>
      </c>
      <c r="D120" s="1271">
        <v>0.125</v>
      </c>
      <c r="E120" s="1271">
        <v>0.122</v>
      </c>
      <c r="F120" s="1272">
        <v>0.13</v>
      </c>
    </row>
    <row r="121" spans="1:6">
      <c r="A121" s="1266" t="s">
        <v>294</v>
      </c>
      <c r="B121" s="1270" t="s">
        <v>1589</v>
      </c>
      <c r="C121" s="1271">
        <v>0.13</v>
      </c>
      <c r="D121" s="1271">
        <v>0.13</v>
      </c>
      <c r="E121" s="1271">
        <v>0.13</v>
      </c>
      <c r="F121" s="1272">
        <v>0.13</v>
      </c>
    </row>
    <row r="122" spans="1:6">
      <c r="A122" s="1266" t="s">
        <v>294</v>
      </c>
      <c r="B122" s="1270" t="s">
        <v>1599</v>
      </c>
      <c r="C122" s="1271">
        <v>0.13</v>
      </c>
      <c r="D122" s="1271">
        <v>0.13</v>
      </c>
      <c r="E122" s="1271">
        <v>0.125</v>
      </c>
      <c r="F122" s="1272">
        <v>0.13</v>
      </c>
    </row>
    <row r="123" spans="1:6">
      <c r="A123" s="1266" t="s">
        <v>294</v>
      </c>
      <c r="B123" s="1270" t="s">
        <v>1609</v>
      </c>
      <c r="C123" s="1271">
        <v>0.129</v>
      </c>
      <c r="D123" s="1271">
        <v>0.129</v>
      </c>
      <c r="E123" s="1271">
        <v>0.123</v>
      </c>
      <c r="F123" s="1272">
        <v>0.13</v>
      </c>
    </row>
    <row r="124" spans="1:6">
      <c r="A124" s="1266" t="s">
        <v>294</v>
      </c>
      <c r="B124" s="1270" t="s">
        <v>1619</v>
      </c>
      <c r="C124" s="1271">
        <v>0.10199999999999999</v>
      </c>
      <c r="D124" s="1271">
        <v>0.10100000000000001</v>
      </c>
      <c r="E124" s="1271">
        <v>0.08</v>
      </c>
      <c r="F124" s="1279"/>
    </row>
    <row r="125" spans="1:6">
      <c r="A125" s="1266" t="s">
        <v>294</v>
      </c>
      <c r="B125" s="1270" t="s">
        <v>1629</v>
      </c>
      <c r="C125" s="1271">
        <v>0.13</v>
      </c>
      <c r="D125" s="1271">
        <v>0.13</v>
      </c>
      <c r="E125" s="1271">
        <v>0.129</v>
      </c>
      <c r="F125" s="1279"/>
    </row>
    <row r="126" spans="1:6">
      <c r="A126" s="1266" t="s">
        <v>294</v>
      </c>
      <c r="B126" s="1270" t="s">
        <v>1639</v>
      </c>
      <c r="C126" s="1271">
        <v>0.13</v>
      </c>
      <c r="D126" s="1271">
        <v>0.13</v>
      </c>
      <c r="E126" s="1271">
        <v>0.126</v>
      </c>
      <c r="F126" s="1279"/>
    </row>
    <row r="127" spans="1:6">
      <c r="A127" s="1266" t="s">
        <v>294</v>
      </c>
      <c r="B127" s="1270" t="s">
        <v>1649</v>
      </c>
      <c r="C127" s="1271">
        <v>0.125</v>
      </c>
      <c r="D127" s="1271">
        <v>0.125</v>
      </c>
      <c r="E127" s="1271">
        <v>0.121</v>
      </c>
      <c r="F127" s="1279"/>
    </row>
    <row r="128" spans="1:6">
      <c r="A128" s="1266" t="s">
        <v>294</v>
      </c>
      <c r="B128" s="1270" t="s">
        <v>1659</v>
      </c>
      <c r="C128" s="1271">
        <v>0.12</v>
      </c>
      <c r="D128" s="1271">
        <v>0.12</v>
      </c>
      <c r="E128" s="1271">
        <v>0.105</v>
      </c>
      <c r="F128" s="1279"/>
    </row>
    <row r="129" spans="1:6">
      <c r="A129" s="1266" t="s">
        <v>294</v>
      </c>
      <c r="B129" s="1270" t="s">
        <v>1668</v>
      </c>
      <c r="C129" s="1271">
        <v>0.13</v>
      </c>
      <c r="D129" s="1271">
        <v>0.13</v>
      </c>
      <c r="E129" s="1271">
        <v>0.126</v>
      </c>
      <c r="F129" s="1279"/>
    </row>
    <row r="130" spans="1:6">
      <c r="A130" s="1266" t="s">
        <v>294</v>
      </c>
      <c r="B130" s="1270" t="s">
        <v>1676</v>
      </c>
      <c r="C130" s="1271">
        <v>0.125</v>
      </c>
      <c r="D130" s="1271">
        <v>0.125</v>
      </c>
      <c r="E130" s="1271">
        <v>0.122</v>
      </c>
      <c r="F130" s="1279"/>
    </row>
    <row r="131" spans="1:6">
      <c r="A131" s="1266" t="s">
        <v>294</v>
      </c>
      <c r="B131" s="1270" t="s">
        <v>1684</v>
      </c>
      <c r="C131" s="1271">
        <v>0.127</v>
      </c>
      <c r="D131" s="1271">
        <v>0.126</v>
      </c>
      <c r="E131" s="1271">
        <v>0.123</v>
      </c>
      <c r="F131" s="1279"/>
    </row>
    <row r="132" spans="1:6">
      <c r="A132" s="1266" t="s">
        <v>294</v>
      </c>
      <c r="B132" s="1270" t="s">
        <v>1691</v>
      </c>
      <c r="C132" s="1271">
        <v>9.0999999999999998E-2</v>
      </c>
      <c r="D132" s="1271">
        <v>0.121</v>
      </c>
      <c r="E132" s="1271">
        <v>9.9000000000000005E-2</v>
      </c>
      <c r="F132" s="1279"/>
    </row>
    <row r="133" spans="1:6">
      <c r="A133" s="1266" t="s">
        <v>294</v>
      </c>
      <c r="B133" s="1270" t="s">
        <v>1698</v>
      </c>
      <c r="C133" s="1271">
        <v>0.13</v>
      </c>
      <c r="D133" s="1271">
        <v>0.13</v>
      </c>
      <c r="E133" s="1271">
        <v>0.129</v>
      </c>
      <c r="F133" s="1279"/>
    </row>
    <row r="134" spans="1:6">
      <c r="A134" s="1266" t="s">
        <v>294</v>
      </c>
      <c r="B134" s="1270" t="s">
        <v>1705</v>
      </c>
      <c r="C134" s="1271">
        <v>6.8000000000000005E-2</v>
      </c>
      <c r="D134" s="1271">
        <v>6.5000000000000002E-2</v>
      </c>
      <c r="E134" s="1271">
        <v>6.5000000000000002E-2</v>
      </c>
      <c r="F134" s="1272">
        <v>0.13</v>
      </c>
    </row>
    <row r="135" spans="1:6">
      <c r="A135" s="1266" t="s">
        <v>294</v>
      </c>
      <c r="B135" s="1270" t="s">
        <v>1712</v>
      </c>
      <c r="C135" s="1271">
        <v>0.123</v>
      </c>
      <c r="D135" s="1271">
        <v>0.123</v>
      </c>
      <c r="E135" s="1271">
        <v>0.11</v>
      </c>
      <c r="F135" s="1279"/>
    </row>
    <row r="136" spans="1:6">
      <c r="A136" s="1266" t="s">
        <v>294</v>
      </c>
      <c r="B136" s="1270" t="s">
        <v>1719</v>
      </c>
      <c r="C136" s="1271">
        <v>0.13</v>
      </c>
      <c r="D136" s="1271">
        <v>0.13</v>
      </c>
      <c r="E136" s="1271">
        <v>0.125</v>
      </c>
      <c r="F136" s="1279"/>
    </row>
    <row r="137" spans="1:6">
      <c r="A137" s="1266" t="s">
        <v>294</v>
      </c>
      <c r="B137" s="1270" t="s">
        <v>1724</v>
      </c>
      <c r="C137" s="1271">
        <v>0.121</v>
      </c>
      <c r="D137" s="1271">
        <v>0.122</v>
      </c>
      <c r="E137" s="1271">
        <v>0.115</v>
      </c>
      <c r="F137" s="1279"/>
    </row>
    <row r="138" spans="1:6">
      <c r="A138" s="1266" t="s">
        <v>294</v>
      </c>
      <c r="B138" s="1270" t="s">
        <v>1729</v>
      </c>
      <c r="C138" s="1271">
        <v>0.105</v>
      </c>
      <c r="D138" s="1271">
        <v>0.125</v>
      </c>
      <c r="E138" s="1271">
        <v>0.112</v>
      </c>
      <c r="F138" s="1279"/>
    </row>
    <row r="139" spans="1:6">
      <c r="A139" s="1266" t="s">
        <v>294</v>
      </c>
      <c r="B139" s="1270" t="s">
        <v>1734</v>
      </c>
      <c r="C139" s="1271">
        <v>0.127</v>
      </c>
      <c r="D139" s="1271">
        <v>0.127</v>
      </c>
      <c r="E139" s="1271">
        <v>0.122</v>
      </c>
      <c r="F139" s="1272">
        <v>0.13</v>
      </c>
    </row>
    <row r="140" spans="1:6">
      <c r="A140" s="1266" t="s">
        <v>294</v>
      </c>
      <c r="B140" s="1270" t="s">
        <v>1739</v>
      </c>
      <c r="C140" s="1271">
        <v>0.125</v>
      </c>
      <c r="D140" s="1271">
        <v>0.125</v>
      </c>
      <c r="E140" s="1271">
        <v>0.11899999999999999</v>
      </c>
      <c r="F140" s="1272">
        <v>0.13</v>
      </c>
    </row>
    <row r="141" spans="1:6">
      <c r="A141" s="1266" t="s">
        <v>294</v>
      </c>
      <c r="B141" s="1270" t="s">
        <v>1744</v>
      </c>
      <c r="C141" s="1271">
        <v>0.125</v>
      </c>
      <c r="D141" s="1271">
        <v>0.125</v>
      </c>
      <c r="E141" s="1271">
        <v>0.11700000000000001</v>
      </c>
      <c r="F141" s="1279"/>
    </row>
    <row r="142" spans="1:6">
      <c r="A142" s="1266" t="s">
        <v>294</v>
      </c>
      <c r="B142" s="1270" t="s">
        <v>1749</v>
      </c>
      <c r="C142" s="1271">
        <v>0.125</v>
      </c>
      <c r="D142" s="1271">
        <v>0.125</v>
      </c>
      <c r="E142" s="1271">
        <v>0.115</v>
      </c>
      <c r="F142" s="1279"/>
    </row>
    <row r="143" spans="1:6">
      <c r="A143" s="1266" t="s">
        <v>294</v>
      </c>
      <c r="B143" s="1270" t="s">
        <v>1754</v>
      </c>
      <c r="C143" s="1271">
        <v>0.121</v>
      </c>
      <c r="D143" s="1271">
        <v>0.121</v>
      </c>
      <c r="E143" s="1271">
        <v>0.108</v>
      </c>
      <c r="F143" s="1279"/>
    </row>
    <row r="144" spans="1:6">
      <c r="A144" s="1266" t="s">
        <v>294</v>
      </c>
      <c r="B144" s="1283" t="s">
        <v>1758</v>
      </c>
      <c r="C144" s="1284">
        <v>0.126</v>
      </c>
      <c r="D144" s="1284">
        <v>0.126</v>
      </c>
      <c r="E144" s="1284">
        <v>0.121</v>
      </c>
      <c r="F144" s="1279"/>
    </row>
    <row r="145" spans="1:6">
      <c r="A145" s="1274" t="s">
        <v>294</v>
      </c>
      <c r="B145" s="1285" t="s">
        <v>1762</v>
      </c>
      <c r="C145" s="1286"/>
      <c r="D145" s="1286"/>
      <c r="E145" s="1286"/>
      <c r="F145" s="1287">
        <v>0.05</v>
      </c>
    </row>
    <row r="146" spans="1:6" ht="24">
      <c r="A146" s="1288" t="s">
        <v>294</v>
      </c>
      <c r="B146" s="1273" t="s">
        <v>1766</v>
      </c>
      <c r="C146" s="1280"/>
      <c r="D146" s="1280"/>
      <c r="E146" s="1280"/>
      <c r="F146" s="1289">
        <v>0.05</v>
      </c>
    </row>
    <row r="147" spans="1:6" ht="24">
      <c r="A147" s="1266" t="s">
        <v>294</v>
      </c>
      <c r="B147" s="1270" t="s">
        <v>1770</v>
      </c>
      <c r="C147" s="1280"/>
      <c r="D147" s="1280"/>
      <c r="E147" s="1280"/>
      <c r="F147" s="1272">
        <v>0.05</v>
      </c>
    </row>
    <row r="148" spans="1:6" ht="24">
      <c r="A148" s="1266" t="s">
        <v>294</v>
      </c>
      <c r="B148" s="1270" t="s">
        <v>1774</v>
      </c>
      <c r="C148" s="1280"/>
      <c r="D148" s="1280"/>
      <c r="E148" s="1280"/>
      <c r="F148" s="1272">
        <v>0.05</v>
      </c>
    </row>
    <row r="149" spans="1:6" ht="24">
      <c r="A149" s="1266" t="s">
        <v>294</v>
      </c>
      <c r="B149" s="1270" t="s">
        <v>1778</v>
      </c>
      <c r="C149" s="1280"/>
      <c r="D149" s="1280"/>
      <c r="E149" s="1280"/>
      <c r="F149" s="1272">
        <v>0.05</v>
      </c>
    </row>
    <row r="150" spans="1:6" ht="24">
      <c r="A150" s="1266" t="s">
        <v>294</v>
      </c>
      <c r="B150" s="1270" t="s">
        <v>1781</v>
      </c>
      <c r="C150" s="1280"/>
      <c r="D150" s="1280"/>
      <c r="E150" s="1280"/>
      <c r="F150" s="1272">
        <v>0.05</v>
      </c>
    </row>
    <row r="151" spans="1:6" ht="24">
      <c r="A151" s="1266" t="s">
        <v>294</v>
      </c>
      <c r="B151" s="1270" t="s">
        <v>1784</v>
      </c>
      <c r="C151" s="1280"/>
      <c r="D151" s="1280"/>
      <c r="E151" s="1280"/>
      <c r="F151" s="1272">
        <v>0.05</v>
      </c>
    </row>
    <row r="152" spans="1:6" ht="24">
      <c r="A152" s="1266" t="s">
        <v>294</v>
      </c>
      <c r="B152" s="1270" t="s">
        <v>1787</v>
      </c>
      <c r="C152" s="1280"/>
      <c r="D152" s="1280"/>
      <c r="E152" s="1280"/>
      <c r="F152" s="1272">
        <v>0.05</v>
      </c>
    </row>
    <row r="153" spans="1:6">
      <c r="A153" s="1266" t="s">
        <v>294</v>
      </c>
      <c r="B153" s="1270" t="s">
        <v>1790</v>
      </c>
      <c r="C153" s="1280"/>
      <c r="D153" s="1280"/>
      <c r="E153" s="1280"/>
      <c r="F153" s="1272">
        <v>0.05</v>
      </c>
    </row>
    <row r="154" spans="1:6">
      <c r="A154" s="1266" t="s">
        <v>294</v>
      </c>
      <c r="B154" s="1270" t="s">
        <v>1793</v>
      </c>
      <c r="C154" s="1280"/>
      <c r="D154" s="1280"/>
      <c r="E154" s="1280"/>
      <c r="F154" s="1272">
        <v>0.05</v>
      </c>
    </row>
    <row r="155" spans="1:6" ht="24">
      <c r="A155" s="1266" t="s">
        <v>294</v>
      </c>
      <c r="B155" s="1270" t="s">
        <v>1796</v>
      </c>
      <c r="C155" s="1280"/>
      <c r="D155" s="1280"/>
      <c r="E155" s="1280"/>
      <c r="F155" s="1272">
        <v>0.05</v>
      </c>
    </row>
    <row r="156" spans="1:6" ht="24">
      <c r="A156" s="1266" t="s">
        <v>294</v>
      </c>
      <c r="B156" s="1270" t="s">
        <v>1798</v>
      </c>
      <c r="C156" s="1280"/>
      <c r="D156" s="1280"/>
      <c r="E156" s="1280"/>
      <c r="F156" s="1272">
        <v>0.05</v>
      </c>
    </row>
    <row r="157" spans="1:6">
      <c r="A157" s="1274" t="s">
        <v>294</v>
      </c>
      <c r="B157" s="1281" t="s">
        <v>1800</v>
      </c>
      <c r="C157" s="1277"/>
      <c r="D157" s="1277"/>
      <c r="E157" s="1277"/>
      <c r="F157" s="1282">
        <v>0.05</v>
      </c>
    </row>
    <row r="158" spans="1:6">
      <c r="A158" s="1266" t="s">
        <v>299</v>
      </c>
      <c r="B158" s="1267" t="s">
        <v>1467</v>
      </c>
      <c r="C158" s="1268">
        <v>0.13</v>
      </c>
      <c r="D158" s="1268">
        <v>0.13</v>
      </c>
      <c r="E158" s="1268">
        <v>0.13</v>
      </c>
      <c r="F158" s="1269">
        <v>0.13</v>
      </c>
    </row>
    <row r="159" spans="1:6">
      <c r="A159" s="1266" t="s">
        <v>299</v>
      </c>
      <c r="B159" s="1270" t="s">
        <v>1480</v>
      </c>
      <c r="C159" s="1271">
        <v>0.13</v>
      </c>
      <c r="D159" s="1271">
        <v>0.13</v>
      </c>
      <c r="E159" s="1271">
        <v>0.13</v>
      </c>
      <c r="F159" s="1272">
        <v>0.13</v>
      </c>
    </row>
    <row r="160" spans="1:6">
      <c r="A160" s="1266" t="s">
        <v>299</v>
      </c>
      <c r="B160" s="1270" t="s">
        <v>1493</v>
      </c>
      <c r="C160" s="1271">
        <v>0.13</v>
      </c>
      <c r="D160" s="1271">
        <v>0.13</v>
      </c>
      <c r="E160" s="1271">
        <v>0.129</v>
      </c>
      <c r="F160" s="1272">
        <v>0.13</v>
      </c>
    </row>
    <row r="161" spans="1:6">
      <c r="A161" s="1266" t="s">
        <v>299</v>
      </c>
      <c r="B161" s="1270" t="s">
        <v>1505</v>
      </c>
      <c r="C161" s="1271">
        <v>0.128</v>
      </c>
      <c r="D161" s="1271">
        <v>0.128</v>
      </c>
      <c r="E161" s="1271">
        <v>0.125</v>
      </c>
      <c r="F161" s="1272">
        <v>0.13</v>
      </c>
    </row>
    <row r="162" spans="1:6">
      <c r="A162" s="1266" t="s">
        <v>299</v>
      </c>
      <c r="B162" s="1270" t="s">
        <v>1517</v>
      </c>
      <c r="C162" s="1271">
        <v>0.122</v>
      </c>
      <c r="D162" s="1271">
        <v>0.122</v>
      </c>
      <c r="E162" s="1271">
        <v>0.126</v>
      </c>
      <c r="F162" s="1272">
        <v>0.122</v>
      </c>
    </row>
    <row r="163" spans="1:6">
      <c r="A163" s="1266" t="s">
        <v>299</v>
      </c>
      <c r="B163" s="1270" t="s">
        <v>1528</v>
      </c>
      <c r="C163" s="1271">
        <v>0.13</v>
      </c>
      <c r="D163" s="1271">
        <v>0.13</v>
      </c>
      <c r="E163" s="1271">
        <v>0.125</v>
      </c>
      <c r="F163" s="1272">
        <v>0.13</v>
      </c>
    </row>
    <row r="164" spans="1:6">
      <c r="A164" s="1266" t="s">
        <v>299</v>
      </c>
      <c r="B164" s="1270" t="s">
        <v>1539</v>
      </c>
      <c r="C164" s="1271">
        <v>0.13</v>
      </c>
      <c r="D164" s="1271">
        <v>0.13</v>
      </c>
      <c r="E164" s="1271">
        <v>0.13</v>
      </c>
      <c r="F164" s="1272">
        <v>0.13</v>
      </c>
    </row>
    <row r="165" spans="1:6">
      <c r="A165" s="1266" t="s">
        <v>299</v>
      </c>
      <c r="B165" s="1270" t="s">
        <v>1550</v>
      </c>
      <c r="C165" s="1271">
        <v>0.13</v>
      </c>
      <c r="D165" s="1271">
        <v>0.13</v>
      </c>
      <c r="E165" s="1271">
        <v>0.124</v>
      </c>
      <c r="F165" s="1272">
        <v>0.13</v>
      </c>
    </row>
    <row r="166" spans="1:6">
      <c r="A166" s="1266" t="s">
        <v>299</v>
      </c>
      <c r="B166" s="1270" t="s">
        <v>1560</v>
      </c>
      <c r="C166" s="1271">
        <v>0.13</v>
      </c>
      <c r="D166" s="1271">
        <v>0.13</v>
      </c>
      <c r="E166" s="1271">
        <v>0.13</v>
      </c>
      <c r="F166" s="1272">
        <v>0.13</v>
      </c>
    </row>
    <row r="167" spans="1:6">
      <c r="A167" s="1266" t="s">
        <v>299</v>
      </c>
      <c r="B167" s="1270" t="s">
        <v>1570</v>
      </c>
      <c r="C167" s="1271">
        <v>0.125</v>
      </c>
      <c r="D167" s="1271">
        <v>0.125</v>
      </c>
      <c r="E167" s="1271">
        <v>0.121</v>
      </c>
      <c r="F167" s="1279"/>
    </row>
    <row r="168" spans="1:6">
      <c r="A168" s="1266" t="s">
        <v>299</v>
      </c>
      <c r="B168" s="1270" t="s">
        <v>1580</v>
      </c>
      <c r="C168" s="1271">
        <v>0.13</v>
      </c>
      <c r="D168" s="1271">
        <v>0.13</v>
      </c>
      <c r="E168" s="1271">
        <v>0.126</v>
      </c>
      <c r="F168" s="1279"/>
    </row>
    <row r="169" spans="1:6">
      <c r="A169" s="1266" t="s">
        <v>299</v>
      </c>
      <c r="B169" s="1270" t="s">
        <v>1590</v>
      </c>
      <c r="C169" s="1271">
        <v>0.128</v>
      </c>
      <c r="D169" s="1271">
        <v>0.129</v>
      </c>
      <c r="E169" s="1271">
        <v>0.13</v>
      </c>
      <c r="F169" s="1279"/>
    </row>
    <row r="170" spans="1:6">
      <c r="A170" s="1266" t="s">
        <v>299</v>
      </c>
      <c r="B170" s="1270" t="s">
        <v>1600</v>
      </c>
      <c r="C170" s="1271">
        <v>0.14099999999999999</v>
      </c>
      <c r="D170" s="1271">
        <v>0.13</v>
      </c>
      <c r="E170" s="1271">
        <v>0.125</v>
      </c>
      <c r="F170" s="1279"/>
    </row>
    <row r="171" spans="1:6">
      <c r="A171" s="1266" t="s">
        <v>299</v>
      </c>
      <c r="B171" s="1270" t="s">
        <v>1610</v>
      </c>
      <c r="C171" s="1271">
        <v>0.127</v>
      </c>
      <c r="D171" s="1271">
        <v>0.126</v>
      </c>
      <c r="E171" s="1271">
        <v>0.126</v>
      </c>
      <c r="F171" s="1272">
        <v>0.11799999999999999</v>
      </c>
    </row>
    <row r="172" spans="1:6">
      <c r="A172" s="1266" t="s">
        <v>299</v>
      </c>
      <c r="B172" s="1270" t="s">
        <v>1620</v>
      </c>
      <c r="C172" s="1271">
        <v>0.13</v>
      </c>
      <c r="D172" s="1271">
        <v>0.13</v>
      </c>
      <c r="E172" s="1271">
        <v>0.13</v>
      </c>
      <c r="F172" s="1279"/>
    </row>
    <row r="173" spans="1:6">
      <c r="A173" s="1266" t="s">
        <v>299</v>
      </c>
      <c r="B173" s="1270" t="s">
        <v>1630</v>
      </c>
      <c r="C173" s="1271">
        <v>0.13</v>
      </c>
      <c r="D173" s="1271">
        <v>0.13</v>
      </c>
      <c r="E173" s="1271">
        <v>0.13</v>
      </c>
      <c r="F173" s="1279"/>
    </row>
    <row r="174" spans="1:6">
      <c r="A174" s="1266" t="s">
        <v>299</v>
      </c>
      <c r="B174" s="1270" t="s">
        <v>1640</v>
      </c>
      <c r="C174" s="1271">
        <v>0.13</v>
      </c>
      <c r="D174" s="1271">
        <v>0.13</v>
      </c>
      <c r="E174" s="1271">
        <v>0.13</v>
      </c>
      <c r="F174" s="1272">
        <v>0.13</v>
      </c>
    </row>
    <row r="175" spans="1:6">
      <c r="A175" s="1266" t="s">
        <v>299</v>
      </c>
      <c r="B175" s="1270" t="s">
        <v>1650</v>
      </c>
      <c r="C175" s="1271">
        <v>0.13</v>
      </c>
      <c r="D175" s="1271">
        <v>0.13</v>
      </c>
      <c r="E175" s="1271">
        <v>0.13</v>
      </c>
      <c r="F175" s="1272">
        <v>0.13</v>
      </c>
    </row>
    <row r="176" spans="1:6">
      <c r="A176" s="1266" t="s">
        <v>299</v>
      </c>
      <c r="B176" s="1270" t="s">
        <v>1660</v>
      </c>
      <c r="C176" s="1271">
        <v>0.13</v>
      </c>
      <c r="D176" s="1271">
        <v>0.13</v>
      </c>
      <c r="E176" s="1271">
        <v>0.13</v>
      </c>
      <c r="F176" s="1272">
        <v>0.13</v>
      </c>
    </row>
    <row r="177" spans="1:6">
      <c r="A177" s="1266" t="s">
        <v>299</v>
      </c>
      <c r="B177" s="1270" t="s">
        <v>1669</v>
      </c>
      <c r="C177" s="1271">
        <v>0.13</v>
      </c>
      <c r="D177" s="1271">
        <v>0.13</v>
      </c>
      <c r="E177" s="1271">
        <v>0.13</v>
      </c>
      <c r="F177" s="1272">
        <v>0.13</v>
      </c>
    </row>
    <row r="178" spans="1:6">
      <c r="A178" s="1266" t="s">
        <v>299</v>
      </c>
      <c r="B178" s="1270" t="s">
        <v>1677</v>
      </c>
      <c r="C178" s="1271">
        <v>0.13</v>
      </c>
      <c r="D178" s="1271">
        <v>0.13</v>
      </c>
      <c r="E178" s="1271">
        <v>0.13</v>
      </c>
      <c r="F178" s="1272">
        <v>0.127</v>
      </c>
    </row>
    <row r="179" spans="1:6">
      <c r="A179" s="1266" t="s">
        <v>299</v>
      </c>
      <c r="B179" s="1270" t="s">
        <v>1685</v>
      </c>
      <c r="C179" s="1271">
        <v>0.13</v>
      </c>
      <c r="D179" s="1271">
        <v>0.13</v>
      </c>
      <c r="E179" s="1271">
        <v>0.13</v>
      </c>
      <c r="F179" s="1279"/>
    </row>
    <row r="180" spans="1:6">
      <c r="A180" s="1266" t="s">
        <v>299</v>
      </c>
      <c r="B180" s="1270" t="s">
        <v>1692</v>
      </c>
      <c r="C180" s="1271">
        <v>0.13</v>
      </c>
      <c r="D180" s="1271">
        <v>0.13</v>
      </c>
      <c r="E180" s="1271">
        <v>0.125</v>
      </c>
      <c r="F180" s="1272">
        <v>0.13</v>
      </c>
    </row>
    <row r="181" spans="1:6">
      <c r="A181" s="1266" t="s">
        <v>299</v>
      </c>
      <c r="B181" s="1270" t="s">
        <v>1699</v>
      </c>
      <c r="C181" s="1271">
        <v>0.122</v>
      </c>
      <c r="D181" s="1271">
        <v>0.123</v>
      </c>
      <c r="E181" s="1271">
        <v>0.126</v>
      </c>
      <c r="F181" s="1272">
        <v>0.121</v>
      </c>
    </row>
    <row r="182" spans="1:6">
      <c r="A182" s="1266" t="s">
        <v>299</v>
      </c>
      <c r="B182" s="1270" t="s">
        <v>1706</v>
      </c>
      <c r="C182" s="1271">
        <v>0.125</v>
      </c>
      <c r="D182" s="1271">
        <v>0.125</v>
      </c>
      <c r="E182" s="1271">
        <v>0.11700000000000001</v>
      </c>
      <c r="F182" s="1272">
        <v>0.13</v>
      </c>
    </row>
    <row r="183" spans="1:6">
      <c r="A183" s="1266" t="s">
        <v>299</v>
      </c>
      <c r="B183" s="1270" t="s">
        <v>1713</v>
      </c>
      <c r="C183" s="1271">
        <v>0.127</v>
      </c>
      <c r="D183" s="1271">
        <v>0.127</v>
      </c>
      <c r="E183" s="1271">
        <v>0.128</v>
      </c>
      <c r="F183" s="1279"/>
    </row>
    <row r="184" spans="1:6">
      <c r="A184" s="1266" t="s">
        <v>299</v>
      </c>
      <c r="B184" s="1270" t="s">
        <v>1720</v>
      </c>
      <c r="C184" s="1271">
        <v>0.125</v>
      </c>
      <c r="D184" s="1271">
        <v>0.125</v>
      </c>
      <c r="E184" s="1271">
        <v>0.127</v>
      </c>
      <c r="F184" s="1279"/>
    </row>
    <row r="185" spans="1:6">
      <c r="A185" s="1266" t="s">
        <v>299</v>
      </c>
      <c r="B185" s="1270" t="s">
        <v>1725</v>
      </c>
      <c r="C185" s="1271">
        <v>0.127</v>
      </c>
      <c r="D185" s="1271">
        <v>0.127</v>
      </c>
      <c r="E185" s="1271">
        <v>0.128</v>
      </c>
      <c r="F185" s="1272">
        <v>0.13</v>
      </c>
    </row>
    <row r="186" spans="1:6" ht="24">
      <c r="A186" s="1266" t="s">
        <v>299</v>
      </c>
      <c r="B186" s="1270" t="s">
        <v>1730</v>
      </c>
      <c r="C186" s="1280"/>
      <c r="D186" s="1280"/>
      <c r="E186" s="1280"/>
      <c r="F186" s="1272">
        <v>0.05</v>
      </c>
    </row>
    <row r="187" spans="1:6">
      <c r="A187" s="1266" t="s">
        <v>299</v>
      </c>
      <c r="B187" s="1270" t="s">
        <v>1735</v>
      </c>
      <c r="C187" s="1280"/>
      <c r="D187" s="1280"/>
      <c r="E187" s="1280"/>
      <c r="F187" s="1272">
        <v>0.05</v>
      </c>
    </row>
    <row r="188" spans="1:6">
      <c r="A188" s="1266" t="s">
        <v>299</v>
      </c>
      <c r="B188" s="1270" t="s">
        <v>1740</v>
      </c>
      <c r="C188" s="1280"/>
      <c r="D188" s="1280"/>
      <c r="E188" s="1280"/>
      <c r="F188" s="1272">
        <v>0.05</v>
      </c>
    </row>
    <row r="189" spans="1:6" ht="24">
      <c r="A189" s="1266" t="s">
        <v>299</v>
      </c>
      <c r="B189" s="1270" t="s">
        <v>1745</v>
      </c>
      <c r="C189" s="1280"/>
      <c r="D189" s="1280"/>
      <c r="E189" s="1280"/>
      <c r="F189" s="1272">
        <v>0.05</v>
      </c>
    </row>
    <row r="190" spans="1:6" ht="24">
      <c r="A190" s="1266" t="s">
        <v>299</v>
      </c>
      <c r="B190" s="1270" t="s">
        <v>1750</v>
      </c>
      <c r="C190" s="1280"/>
      <c r="D190" s="1280"/>
      <c r="E190" s="1280"/>
      <c r="F190" s="1272">
        <v>0.05</v>
      </c>
    </row>
    <row r="191" spans="1:6" ht="24">
      <c r="A191" s="1266" t="s">
        <v>299</v>
      </c>
      <c r="B191" s="1270" t="s">
        <v>1755</v>
      </c>
      <c r="C191" s="1280"/>
      <c r="D191" s="1280"/>
      <c r="E191" s="1280"/>
      <c r="F191" s="1272">
        <v>0.05</v>
      </c>
    </row>
    <row r="192" spans="1:6" ht="24">
      <c r="A192" s="1266" t="s">
        <v>299</v>
      </c>
      <c r="B192" s="1270" t="s">
        <v>1759</v>
      </c>
      <c r="C192" s="1280"/>
      <c r="D192" s="1280"/>
      <c r="E192" s="1280"/>
      <c r="F192" s="1272">
        <v>0.05</v>
      </c>
    </row>
    <row r="193" spans="1:6" ht="24">
      <c r="A193" s="1266" t="s">
        <v>299</v>
      </c>
      <c r="B193" s="1270" t="s">
        <v>1763</v>
      </c>
      <c r="C193" s="1280"/>
      <c r="D193" s="1280"/>
      <c r="E193" s="1280"/>
      <c r="F193" s="1272">
        <v>0.05</v>
      </c>
    </row>
    <row r="194" spans="1:6" ht="24">
      <c r="A194" s="1266" t="s">
        <v>299</v>
      </c>
      <c r="B194" s="1270" t="s">
        <v>1767</v>
      </c>
      <c r="C194" s="1280"/>
      <c r="D194" s="1280"/>
      <c r="E194" s="1280"/>
      <c r="F194" s="1272">
        <v>0.05</v>
      </c>
    </row>
    <row r="195" spans="1:6">
      <c r="A195" s="1266" t="s">
        <v>299</v>
      </c>
      <c r="B195" s="1270" t="s">
        <v>1771</v>
      </c>
      <c r="C195" s="1280"/>
      <c r="D195" s="1280"/>
      <c r="E195" s="1280"/>
      <c r="F195" s="1272">
        <v>0.05</v>
      </c>
    </row>
    <row r="196" spans="1:6" ht="24">
      <c r="A196" s="1266" t="s">
        <v>299</v>
      </c>
      <c r="B196" s="1270" t="s">
        <v>1775</v>
      </c>
      <c r="C196" s="1280"/>
      <c r="D196" s="1280"/>
      <c r="E196" s="1280"/>
      <c r="F196" s="1272">
        <v>0.05</v>
      </c>
    </row>
    <row r="197" spans="1:6" ht="24">
      <c r="A197" s="1266" t="s">
        <v>299</v>
      </c>
      <c r="B197" s="1270" t="s">
        <v>1779</v>
      </c>
      <c r="C197" s="1280"/>
      <c r="D197" s="1280"/>
      <c r="E197" s="1280"/>
      <c r="F197" s="1272">
        <v>0.05</v>
      </c>
    </row>
    <row r="198" spans="1:6" ht="24">
      <c r="A198" s="1266" t="s">
        <v>299</v>
      </c>
      <c r="B198" s="1270" t="s">
        <v>1782</v>
      </c>
      <c r="C198" s="1280"/>
      <c r="D198" s="1280"/>
      <c r="E198" s="1280"/>
      <c r="F198" s="1272">
        <v>0.05</v>
      </c>
    </row>
    <row r="199" spans="1:6" ht="24">
      <c r="A199" s="1266" t="s">
        <v>299</v>
      </c>
      <c r="B199" s="1270" t="s">
        <v>1785</v>
      </c>
      <c r="C199" s="1280"/>
      <c r="D199" s="1280"/>
      <c r="E199" s="1280"/>
      <c r="F199" s="1272">
        <v>0.05</v>
      </c>
    </row>
    <row r="200" spans="1:6" ht="24">
      <c r="A200" s="1266" t="s">
        <v>299</v>
      </c>
      <c r="B200" s="1270" t="s">
        <v>1788</v>
      </c>
      <c r="C200" s="1280"/>
      <c r="D200" s="1280"/>
      <c r="E200" s="1280"/>
      <c r="F200" s="1272">
        <v>0.05</v>
      </c>
    </row>
    <row r="201" spans="1:6" ht="24">
      <c r="A201" s="1266" t="s">
        <v>299</v>
      </c>
      <c r="B201" s="1270" t="s">
        <v>1791</v>
      </c>
      <c r="C201" s="1280"/>
      <c r="D201" s="1280"/>
      <c r="E201" s="1280"/>
      <c r="F201" s="1272">
        <v>0.05</v>
      </c>
    </row>
    <row r="202" spans="1:6" ht="24">
      <c r="A202" s="1266" t="s">
        <v>299</v>
      </c>
      <c r="B202" s="1270" t="s">
        <v>1794</v>
      </c>
      <c r="C202" s="1280"/>
      <c r="D202" s="1280"/>
      <c r="E202" s="1280"/>
      <c r="F202" s="1272">
        <v>0.05</v>
      </c>
    </row>
    <row r="203" spans="1:6" ht="24">
      <c r="A203" s="1266" t="s">
        <v>299</v>
      </c>
      <c r="B203" s="1270" t="s">
        <v>1797</v>
      </c>
      <c r="C203" s="1280"/>
      <c r="D203" s="1280"/>
      <c r="E203" s="1280"/>
      <c r="F203" s="1272">
        <v>0.05</v>
      </c>
    </row>
    <row r="204" spans="1:6">
      <c r="A204" s="1266" t="s">
        <v>299</v>
      </c>
      <c r="B204" s="1270" t="s">
        <v>1799</v>
      </c>
      <c r="C204" s="1280"/>
      <c r="D204" s="1280"/>
      <c r="E204" s="1280"/>
      <c r="F204" s="1272">
        <v>0.05</v>
      </c>
    </row>
    <row r="205" spans="1:6">
      <c r="A205" s="1274" t="s">
        <v>299</v>
      </c>
      <c r="B205" s="1281" t="s">
        <v>1801</v>
      </c>
      <c r="C205" s="1277"/>
      <c r="D205" s="1277"/>
      <c r="E205" s="1277"/>
      <c r="F205" s="1282">
        <v>0.05</v>
      </c>
    </row>
    <row r="206" spans="1:6">
      <c r="A206" s="1266" t="s">
        <v>304</v>
      </c>
      <c r="B206" s="1267" t="s">
        <v>1468</v>
      </c>
      <c r="C206" s="1268">
        <v>0.15</v>
      </c>
      <c r="D206" s="1268">
        <v>0.15</v>
      </c>
      <c r="E206" s="1268">
        <v>0.15</v>
      </c>
      <c r="F206" s="1269">
        <v>0.15</v>
      </c>
    </row>
    <row r="207" spans="1:6">
      <c r="A207" s="1266" t="s">
        <v>304</v>
      </c>
      <c r="B207" s="1270" t="s">
        <v>1481</v>
      </c>
      <c r="C207" s="1271">
        <v>0.15</v>
      </c>
      <c r="D207" s="1271">
        <v>0.15</v>
      </c>
      <c r="E207" s="1271">
        <v>0.15</v>
      </c>
      <c r="F207" s="1272">
        <v>0.14399999999999999</v>
      </c>
    </row>
    <row r="208" spans="1:6">
      <c r="A208" s="1266" t="s">
        <v>304</v>
      </c>
      <c r="B208" s="1270" t="s">
        <v>1494</v>
      </c>
      <c r="C208" s="1271">
        <v>0.15</v>
      </c>
      <c r="D208" s="1271">
        <v>0.15</v>
      </c>
      <c r="E208" s="1271">
        <v>0.15</v>
      </c>
      <c r="F208" s="1272">
        <v>0.15</v>
      </c>
    </row>
    <row r="209" spans="1:6">
      <c r="A209" s="1266" t="s">
        <v>304</v>
      </c>
      <c r="B209" s="1270" t="s">
        <v>1506</v>
      </c>
      <c r="C209" s="1271">
        <v>0.13700000000000001</v>
      </c>
      <c r="D209" s="1271">
        <v>0.13700000000000001</v>
      </c>
      <c r="E209" s="1271">
        <v>0.14000000000000001</v>
      </c>
      <c r="F209" s="1272">
        <v>0.11700000000000001</v>
      </c>
    </row>
    <row r="210" spans="1:6">
      <c r="A210" s="1266" t="s">
        <v>304</v>
      </c>
      <c r="B210" s="1270" t="s">
        <v>1518</v>
      </c>
      <c r="C210" s="1271">
        <v>0.15</v>
      </c>
      <c r="D210" s="1271">
        <v>0.15</v>
      </c>
      <c r="E210" s="1271">
        <v>0.15</v>
      </c>
      <c r="F210" s="1272">
        <v>0.13800000000000001</v>
      </c>
    </row>
    <row r="211" spans="1:6">
      <c r="A211" s="1266" t="s">
        <v>304</v>
      </c>
      <c r="B211" s="1270" t="s">
        <v>1529</v>
      </c>
      <c r="C211" s="1271">
        <v>0.13700000000000001</v>
      </c>
      <c r="D211" s="1271">
        <v>0.13500000000000001</v>
      </c>
      <c r="E211" s="1271">
        <v>0.13600000000000001</v>
      </c>
      <c r="F211" s="1272">
        <v>0.1</v>
      </c>
    </row>
    <row r="212" spans="1:6">
      <c r="A212" s="1266" t="s">
        <v>304</v>
      </c>
      <c r="B212" s="1270" t="s">
        <v>1540</v>
      </c>
      <c r="C212" s="1271">
        <v>0.15</v>
      </c>
      <c r="D212" s="1271">
        <v>0.15</v>
      </c>
      <c r="E212" s="1271">
        <v>0.14799999999999999</v>
      </c>
      <c r="F212" s="1272">
        <v>0.13600000000000001</v>
      </c>
    </row>
    <row r="213" spans="1:6">
      <c r="A213" s="1266" t="s">
        <v>304</v>
      </c>
      <c r="B213" s="1270" t="s">
        <v>1551</v>
      </c>
      <c r="C213" s="1271">
        <v>0.15</v>
      </c>
      <c r="D213" s="1271">
        <v>0.15</v>
      </c>
      <c r="E213" s="1271">
        <v>0.15</v>
      </c>
      <c r="F213" s="1272">
        <v>0.13800000000000001</v>
      </c>
    </row>
    <row r="214" spans="1:6">
      <c r="A214" s="1266" t="s">
        <v>304</v>
      </c>
      <c r="B214" s="1270" t="s">
        <v>1561</v>
      </c>
      <c r="C214" s="1271">
        <v>9.0999999999999998E-2</v>
      </c>
      <c r="D214" s="1271">
        <v>0.09</v>
      </c>
      <c r="E214" s="1271">
        <v>9.1999999999999998E-2</v>
      </c>
      <c r="F214" s="1279"/>
    </row>
    <row r="215" spans="1:6">
      <c r="A215" s="1266" t="s">
        <v>304</v>
      </c>
      <c r="B215" s="1270" t="s">
        <v>1571</v>
      </c>
      <c r="C215" s="1271">
        <v>0.15</v>
      </c>
      <c r="D215" s="1271">
        <v>0.15</v>
      </c>
      <c r="E215" s="1271">
        <v>0.15</v>
      </c>
      <c r="F215" s="1272">
        <v>0.15</v>
      </c>
    </row>
    <row r="216" spans="1:6">
      <c r="A216" s="1266" t="s">
        <v>304</v>
      </c>
      <c r="B216" s="1270" t="s">
        <v>1581</v>
      </c>
      <c r="C216" s="1271">
        <v>0.14699999999999999</v>
      </c>
      <c r="D216" s="1271">
        <v>0.14699999999999999</v>
      </c>
      <c r="E216" s="1271">
        <v>0.15</v>
      </c>
      <c r="F216" s="1272">
        <v>0.14000000000000001</v>
      </c>
    </row>
    <row r="217" spans="1:6">
      <c r="A217" s="1266" t="s">
        <v>304</v>
      </c>
      <c r="B217" s="1270" t="s">
        <v>1591</v>
      </c>
      <c r="C217" s="1271">
        <v>0.15</v>
      </c>
      <c r="D217" s="1271">
        <v>0.15</v>
      </c>
      <c r="E217" s="1271">
        <v>0.15</v>
      </c>
      <c r="F217" s="1272">
        <v>0.15</v>
      </c>
    </row>
    <row r="218" spans="1:6">
      <c r="A218" s="1266" t="s">
        <v>304</v>
      </c>
      <c r="B218" s="1270" t="s">
        <v>1601</v>
      </c>
      <c r="C218" s="1271">
        <v>0.15</v>
      </c>
      <c r="D218" s="1271">
        <v>0.15</v>
      </c>
      <c r="E218" s="1271">
        <v>0.15</v>
      </c>
      <c r="F218" s="1272">
        <v>0.15</v>
      </c>
    </row>
    <row r="219" spans="1:6">
      <c r="A219" s="1266" t="s">
        <v>304</v>
      </c>
      <c r="B219" s="1270" t="s">
        <v>1611</v>
      </c>
      <c r="C219" s="1271">
        <v>0.15</v>
      </c>
      <c r="D219" s="1271">
        <v>0.15</v>
      </c>
      <c r="E219" s="1271">
        <v>0.15</v>
      </c>
      <c r="F219" s="1272">
        <v>0.14799999999999999</v>
      </c>
    </row>
    <row r="220" spans="1:6">
      <c r="A220" s="1266" t="s">
        <v>304</v>
      </c>
      <c r="B220" s="1270" t="s">
        <v>1621</v>
      </c>
      <c r="C220" s="1271">
        <v>0.15</v>
      </c>
      <c r="D220" s="1271">
        <v>0.15</v>
      </c>
      <c r="E220" s="1271">
        <v>0.15</v>
      </c>
      <c r="F220" s="1272">
        <v>0.15</v>
      </c>
    </row>
    <row r="221" spans="1:6">
      <c r="A221" s="1266" t="s">
        <v>304</v>
      </c>
      <c r="B221" s="1270" t="s">
        <v>1631</v>
      </c>
      <c r="C221" s="1271"/>
      <c r="D221" s="1280"/>
      <c r="E221" s="1280"/>
      <c r="F221" s="1272">
        <v>0.14799999999999999</v>
      </c>
    </row>
    <row r="222" spans="1:6">
      <c r="A222" s="1266" t="s">
        <v>304</v>
      </c>
      <c r="B222" s="1270" t="s">
        <v>1641</v>
      </c>
      <c r="C222" s="1271"/>
      <c r="D222" s="1280"/>
      <c r="E222" s="1280"/>
      <c r="F222" s="1272">
        <v>0.1</v>
      </c>
    </row>
    <row r="223" spans="1:6">
      <c r="A223" s="1266" t="s">
        <v>304</v>
      </c>
      <c r="B223" s="1270" t="s">
        <v>1651</v>
      </c>
      <c r="C223" s="1271"/>
      <c r="D223" s="1280"/>
      <c r="E223" s="1280"/>
      <c r="F223" s="1272">
        <v>0.15</v>
      </c>
    </row>
    <row r="224" spans="1:6">
      <c r="A224" s="1266" t="s">
        <v>304</v>
      </c>
      <c r="B224" s="1270" t="s">
        <v>1661</v>
      </c>
      <c r="C224" s="1271"/>
      <c r="D224" s="1280"/>
      <c r="E224" s="1280"/>
      <c r="F224" s="1272">
        <v>0.15</v>
      </c>
    </row>
    <row r="225" spans="1:6">
      <c r="A225" s="1266" t="s">
        <v>304</v>
      </c>
      <c r="B225" s="1270" t="s">
        <v>1670</v>
      </c>
      <c r="C225" s="1271">
        <v>0.15</v>
      </c>
      <c r="D225" s="1271">
        <v>0.15</v>
      </c>
      <c r="E225" s="1271">
        <v>0.15</v>
      </c>
      <c r="F225" s="1272">
        <v>0.15</v>
      </c>
    </row>
    <row r="226" spans="1:6">
      <c r="A226" s="1266" t="s">
        <v>304</v>
      </c>
      <c r="B226" s="1270" t="s">
        <v>1678</v>
      </c>
      <c r="C226" s="1271">
        <v>0.15</v>
      </c>
      <c r="D226" s="1271">
        <v>0.15</v>
      </c>
      <c r="E226" s="1271">
        <v>0.15</v>
      </c>
      <c r="F226" s="1272">
        <v>0.14799999999999999</v>
      </c>
    </row>
    <row r="227" spans="1:6">
      <c r="A227" s="1266" t="s">
        <v>304</v>
      </c>
      <c r="B227" s="1270" t="s">
        <v>1686</v>
      </c>
      <c r="C227" s="1271">
        <v>0.15</v>
      </c>
      <c r="D227" s="1271">
        <v>0.15</v>
      </c>
      <c r="E227" s="1271">
        <v>0.15</v>
      </c>
      <c r="F227" s="1272">
        <v>0.15</v>
      </c>
    </row>
    <row r="228" spans="1:6">
      <c r="A228" s="1266" t="s">
        <v>304</v>
      </c>
      <c r="B228" s="1270" t="s">
        <v>1693</v>
      </c>
      <c r="C228" s="1271">
        <v>0.15</v>
      </c>
      <c r="D228" s="1271">
        <v>0.15</v>
      </c>
      <c r="E228" s="1271">
        <v>0.15</v>
      </c>
      <c r="F228" s="1272">
        <v>0.15</v>
      </c>
    </row>
    <row r="229" spans="1:6">
      <c r="A229" s="1266" t="s">
        <v>304</v>
      </c>
      <c r="B229" s="1270" t="s">
        <v>1700</v>
      </c>
      <c r="C229" s="1271">
        <v>0.15</v>
      </c>
      <c r="D229" s="1271">
        <v>0.15</v>
      </c>
      <c r="E229" s="1271">
        <v>0.15</v>
      </c>
      <c r="F229" s="1279"/>
    </row>
    <row r="230" spans="1:6">
      <c r="A230" s="1266" t="s">
        <v>304</v>
      </c>
      <c r="B230" s="1270" t="s">
        <v>1707</v>
      </c>
      <c r="C230" s="1271">
        <v>0.14499999999999999</v>
      </c>
      <c r="D230" s="1271">
        <v>0.14499999999999999</v>
      </c>
      <c r="E230" s="1271">
        <v>0.14399999999999999</v>
      </c>
      <c r="F230" s="1279"/>
    </row>
    <row r="231" spans="1:6">
      <c r="A231" s="1266" t="s">
        <v>304</v>
      </c>
      <c r="B231" s="1270" t="s">
        <v>1714</v>
      </c>
      <c r="C231" s="1271">
        <v>0.128</v>
      </c>
      <c r="D231" s="1271">
        <v>0.125</v>
      </c>
      <c r="E231" s="1271">
        <v>0.13200000000000001</v>
      </c>
      <c r="F231" s="1279"/>
    </row>
    <row r="232" spans="1:6">
      <c r="A232" s="1266" t="s">
        <v>304</v>
      </c>
      <c r="B232" s="1270" t="s">
        <v>1721</v>
      </c>
      <c r="C232" s="1271">
        <v>0.14499999999999999</v>
      </c>
      <c r="D232" s="1271">
        <v>0.14399999999999999</v>
      </c>
      <c r="E232" s="1271">
        <v>0.14599999999999999</v>
      </c>
      <c r="F232" s="1272">
        <v>0.13800000000000001</v>
      </c>
    </row>
    <row r="233" spans="1:6">
      <c r="A233" s="1266" t="s">
        <v>304</v>
      </c>
      <c r="B233" s="1270" t="s">
        <v>1726</v>
      </c>
      <c r="C233" s="1271">
        <v>0.14499999999999999</v>
      </c>
      <c r="D233" s="1271">
        <v>0.14299999999999999</v>
      </c>
      <c r="E233" s="1271">
        <v>0.14199999999999999</v>
      </c>
      <c r="F233" s="1279"/>
    </row>
    <row r="234" spans="1:6">
      <c r="A234" s="1266" t="s">
        <v>304</v>
      </c>
      <c r="B234" s="1270" t="s">
        <v>1808</v>
      </c>
      <c r="C234" s="1271">
        <v>0.14000000000000001</v>
      </c>
      <c r="D234" s="1271">
        <v>0.14000000000000001</v>
      </c>
      <c r="E234" s="1271">
        <v>0.14399999999999999</v>
      </c>
      <c r="F234" s="1279"/>
    </row>
    <row r="235" spans="1:6">
      <c r="A235" s="1266" t="s">
        <v>304</v>
      </c>
      <c r="B235" s="1270" t="s">
        <v>1736</v>
      </c>
      <c r="C235" s="1271">
        <v>0.14099999999999999</v>
      </c>
      <c r="D235" s="1271">
        <v>0.14199999999999999</v>
      </c>
      <c r="E235" s="1271">
        <v>0.14499999999999999</v>
      </c>
      <c r="F235" s="1272">
        <v>0.15</v>
      </c>
    </row>
    <row r="236" spans="1:6">
      <c r="A236" s="1266" t="s">
        <v>304</v>
      </c>
      <c r="B236" s="1270" t="s">
        <v>1741</v>
      </c>
      <c r="C236" s="1280"/>
      <c r="D236" s="1280"/>
      <c r="E236" s="1280"/>
      <c r="F236" s="1272">
        <v>0.14299999999999999</v>
      </c>
    </row>
    <row r="237" spans="1:6" ht="24">
      <c r="A237" s="1266" t="s">
        <v>304</v>
      </c>
      <c r="B237" s="1270" t="s">
        <v>1746</v>
      </c>
      <c r="C237" s="1280"/>
      <c r="D237" s="1280"/>
      <c r="E237" s="1280"/>
      <c r="F237" s="1272">
        <v>0.05</v>
      </c>
    </row>
    <row r="238" spans="1:6" ht="24">
      <c r="A238" s="1266" t="s">
        <v>304</v>
      </c>
      <c r="B238" s="1270" t="s">
        <v>1751</v>
      </c>
      <c r="C238" s="1280"/>
      <c r="D238" s="1280"/>
      <c r="E238" s="1280"/>
      <c r="F238" s="1272">
        <v>0.05</v>
      </c>
    </row>
    <row r="239" spans="1:6" ht="24">
      <c r="A239" s="1266" t="s">
        <v>304</v>
      </c>
      <c r="B239" s="1270" t="s">
        <v>1756</v>
      </c>
      <c r="C239" s="1280"/>
      <c r="D239" s="1280"/>
      <c r="E239" s="1280"/>
      <c r="F239" s="1272">
        <v>0.05</v>
      </c>
    </row>
    <row r="240" spans="1:6" ht="24">
      <c r="A240" s="1266" t="s">
        <v>304</v>
      </c>
      <c r="B240" s="1270" t="s">
        <v>1760</v>
      </c>
      <c r="C240" s="1280"/>
      <c r="D240" s="1280"/>
      <c r="E240" s="1280"/>
      <c r="F240" s="1272">
        <v>0.05</v>
      </c>
    </row>
    <row r="241" spans="1:6" ht="24">
      <c r="A241" s="1266" t="s">
        <v>304</v>
      </c>
      <c r="B241" s="1270" t="s">
        <v>1764</v>
      </c>
      <c r="C241" s="1280"/>
      <c r="D241" s="1280"/>
      <c r="E241" s="1280"/>
      <c r="F241" s="1272">
        <v>0.05</v>
      </c>
    </row>
    <row r="242" spans="1:6" ht="24">
      <c r="A242" s="1266" t="s">
        <v>304</v>
      </c>
      <c r="B242" s="1270" t="s">
        <v>1768</v>
      </c>
      <c r="C242" s="1280"/>
      <c r="D242" s="1280"/>
      <c r="E242" s="1280"/>
      <c r="F242" s="1272">
        <v>0.05</v>
      </c>
    </row>
    <row r="243" spans="1:6" ht="24">
      <c r="A243" s="1266" t="s">
        <v>304</v>
      </c>
      <c r="B243" s="1270" t="s">
        <v>1772</v>
      </c>
      <c r="C243" s="1280"/>
      <c r="D243" s="1280"/>
      <c r="E243" s="1280"/>
      <c r="F243" s="1272">
        <v>0.05</v>
      </c>
    </row>
    <row r="244" spans="1:6" ht="24">
      <c r="A244" s="1274" t="s">
        <v>304</v>
      </c>
      <c r="B244" s="1281" t="s">
        <v>1776</v>
      </c>
      <c r="C244" s="1277"/>
      <c r="D244" s="1277"/>
      <c r="E244" s="1277"/>
      <c r="F244" s="1282">
        <v>0.05</v>
      </c>
    </row>
    <row r="245" spans="1:6">
      <c r="A245" s="1266" t="s">
        <v>307</v>
      </c>
      <c r="B245" s="1267" t="s">
        <v>1469</v>
      </c>
      <c r="C245" s="1268">
        <v>0.15</v>
      </c>
      <c r="D245" s="1268">
        <v>0.15</v>
      </c>
      <c r="E245" s="1268">
        <v>0.15</v>
      </c>
      <c r="F245" s="1269">
        <v>0.14299999999999999</v>
      </c>
    </row>
    <row r="246" spans="1:6">
      <c r="A246" s="1266" t="s">
        <v>307</v>
      </c>
      <c r="B246" s="1270" t="s">
        <v>1482</v>
      </c>
      <c r="C246" s="1271">
        <v>0.15</v>
      </c>
      <c r="D246" s="1271">
        <v>0.15</v>
      </c>
      <c r="E246" s="1271">
        <v>0.15</v>
      </c>
      <c r="F246" s="1272">
        <v>0.114</v>
      </c>
    </row>
    <row r="247" spans="1:6">
      <c r="A247" s="1266" t="s">
        <v>307</v>
      </c>
      <c r="B247" s="1270" t="s">
        <v>1495</v>
      </c>
      <c r="C247" s="1271">
        <v>0.15</v>
      </c>
      <c r="D247" s="1271">
        <v>0.15</v>
      </c>
      <c r="E247" s="1271">
        <v>0.15</v>
      </c>
      <c r="F247" s="1272">
        <v>0.15</v>
      </c>
    </row>
    <row r="248" spans="1:6">
      <c r="A248" s="1266" t="s">
        <v>307</v>
      </c>
      <c r="B248" s="1270" t="s">
        <v>1507</v>
      </c>
      <c r="C248" s="1271">
        <v>0.15</v>
      </c>
      <c r="D248" s="1271">
        <v>0.15</v>
      </c>
      <c r="E248" s="1271">
        <v>0.15</v>
      </c>
      <c r="F248" s="1272">
        <v>0.14000000000000001</v>
      </c>
    </row>
    <row r="249" spans="1:6">
      <c r="A249" s="1266" t="s">
        <v>307</v>
      </c>
      <c r="B249" s="1270" t="s">
        <v>1519</v>
      </c>
      <c r="C249" s="1271">
        <v>0.15</v>
      </c>
      <c r="D249" s="1271">
        <v>0.14899999999999999</v>
      </c>
      <c r="E249" s="1271">
        <v>0.15</v>
      </c>
      <c r="F249" s="1272">
        <v>0.1</v>
      </c>
    </row>
    <row r="250" spans="1:6">
      <c r="A250" s="1266" t="s">
        <v>307</v>
      </c>
      <c r="B250" s="1270" t="s">
        <v>1530</v>
      </c>
      <c r="C250" s="1271">
        <v>0.15</v>
      </c>
      <c r="D250" s="1271">
        <v>0.15</v>
      </c>
      <c r="E250" s="1271">
        <v>0.15</v>
      </c>
      <c r="F250" s="1272">
        <v>0.14399999999999999</v>
      </c>
    </row>
    <row r="251" spans="1:6">
      <c r="A251" s="1266" t="s">
        <v>307</v>
      </c>
      <c r="B251" s="1270" t="s">
        <v>1541</v>
      </c>
      <c r="C251" s="1271">
        <v>0.15</v>
      </c>
      <c r="D251" s="1271">
        <v>0.15</v>
      </c>
      <c r="E251" s="1271">
        <v>0.15</v>
      </c>
      <c r="F251" s="1272">
        <v>0.14299999999999999</v>
      </c>
    </row>
    <row r="252" spans="1:6">
      <c r="A252" s="1266" t="s">
        <v>307</v>
      </c>
      <c r="B252" s="1270" t="s">
        <v>1552</v>
      </c>
      <c r="C252" s="1271">
        <v>0.15</v>
      </c>
      <c r="D252" s="1271">
        <v>0.15</v>
      </c>
      <c r="E252" s="1271">
        <v>0.15</v>
      </c>
      <c r="F252" s="1272">
        <v>0.1</v>
      </c>
    </row>
    <row r="253" spans="1:6">
      <c r="A253" s="1266" t="s">
        <v>307</v>
      </c>
      <c r="B253" s="1270" t="s">
        <v>1562</v>
      </c>
      <c r="C253" s="1271">
        <v>0.15</v>
      </c>
      <c r="D253" s="1271">
        <v>0.15</v>
      </c>
      <c r="E253" s="1271">
        <v>0.15</v>
      </c>
      <c r="F253" s="1272">
        <v>0.1</v>
      </c>
    </row>
    <row r="254" spans="1:6">
      <c r="A254" s="1266" t="s">
        <v>307</v>
      </c>
      <c r="B254" s="1270" t="s">
        <v>1572</v>
      </c>
      <c r="C254" s="1280"/>
      <c r="D254" s="1280"/>
      <c r="E254" s="1280"/>
      <c r="F254" s="1272">
        <v>0.15</v>
      </c>
    </row>
    <row r="255" spans="1:6">
      <c r="A255" s="1266" t="s">
        <v>307</v>
      </c>
      <c r="B255" s="1270" t="s">
        <v>1582</v>
      </c>
      <c r="C255" s="1280"/>
      <c r="D255" s="1280"/>
      <c r="E255" s="1280"/>
      <c r="F255" s="1272">
        <v>0.14299999999999999</v>
      </c>
    </row>
    <row r="256" spans="1:6">
      <c r="A256" s="1266" t="s">
        <v>307</v>
      </c>
      <c r="B256" s="1270" t="s">
        <v>1592</v>
      </c>
      <c r="C256" s="1271">
        <v>0.14599999999999999</v>
      </c>
      <c r="D256" s="1271">
        <v>0.14699999999999999</v>
      </c>
      <c r="E256" s="1271">
        <v>0.15</v>
      </c>
      <c r="F256" s="1272">
        <v>0.13200000000000001</v>
      </c>
    </row>
    <row r="257" spans="1:6">
      <c r="A257" s="1266" t="s">
        <v>307</v>
      </c>
      <c r="B257" s="1270" t="s">
        <v>1602</v>
      </c>
      <c r="C257" s="1271">
        <v>0.15</v>
      </c>
      <c r="D257" s="1271">
        <v>0.15</v>
      </c>
      <c r="E257" s="1271">
        <v>0.15</v>
      </c>
      <c r="F257" s="1272">
        <v>0.13900000000000001</v>
      </c>
    </row>
    <row r="258" spans="1:6">
      <c r="A258" s="1266" t="s">
        <v>307</v>
      </c>
      <c r="B258" s="1270" t="s">
        <v>1612</v>
      </c>
      <c r="C258" s="1271">
        <v>0.15</v>
      </c>
      <c r="D258" s="1271">
        <v>0.15</v>
      </c>
      <c r="E258" s="1271">
        <v>0.15</v>
      </c>
      <c r="F258" s="1272">
        <v>0.13</v>
      </c>
    </row>
    <row r="259" spans="1:6">
      <c r="A259" s="1266" t="s">
        <v>307</v>
      </c>
      <c r="B259" s="1270" t="s">
        <v>1622</v>
      </c>
      <c r="C259" s="1271">
        <v>0.14799999999999999</v>
      </c>
      <c r="D259" s="1271">
        <v>0.14899999999999999</v>
      </c>
      <c r="E259" s="1271">
        <v>0.15</v>
      </c>
      <c r="F259" s="1272">
        <v>0.13700000000000001</v>
      </c>
    </row>
    <row r="260" spans="1:6">
      <c r="A260" s="1266" t="s">
        <v>307</v>
      </c>
      <c r="B260" s="1270" t="s">
        <v>1632</v>
      </c>
      <c r="C260" s="1271">
        <v>0.15</v>
      </c>
      <c r="D260" s="1271">
        <v>0.15</v>
      </c>
      <c r="E260" s="1271">
        <v>0.15</v>
      </c>
      <c r="F260" s="1272">
        <v>0.14199999999999999</v>
      </c>
    </row>
    <row r="261" spans="1:6">
      <c r="A261" s="1266" t="s">
        <v>307</v>
      </c>
      <c r="B261" s="1270" t="s">
        <v>1642</v>
      </c>
      <c r="C261" s="1271">
        <v>0.15</v>
      </c>
      <c r="D261" s="1271">
        <v>0.15</v>
      </c>
      <c r="E261" s="1271">
        <v>0.14899999999999999</v>
      </c>
      <c r="F261" s="1272">
        <v>0.14799999999999999</v>
      </c>
    </row>
    <row r="262" spans="1:6">
      <c r="A262" s="1266" t="s">
        <v>307</v>
      </c>
      <c r="B262" s="1270" t="s">
        <v>1652</v>
      </c>
      <c r="C262" s="1271">
        <v>0.15</v>
      </c>
      <c r="D262" s="1271">
        <v>0.15</v>
      </c>
      <c r="E262" s="1271">
        <v>0.15</v>
      </c>
      <c r="F262" s="1279"/>
    </row>
    <row r="263" spans="1:6">
      <c r="A263" s="1266" t="s">
        <v>307</v>
      </c>
      <c r="B263" s="1270" t="s">
        <v>1662</v>
      </c>
      <c r="C263" s="1271">
        <v>0.14899999999999999</v>
      </c>
      <c r="D263" s="1271">
        <v>0.14899999999999999</v>
      </c>
      <c r="E263" s="1271">
        <v>0.15</v>
      </c>
      <c r="F263" s="1272">
        <v>0.13</v>
      </c>
    </row>
    <row r="264" spans="1:6">
      <c r="A264" s="1266" t="s">
        <v>307</v>
      </c>
      <c r="B264" s="1270" t="s">
        <v>1671</v>
      </c>
      <c r="C264" s="1271">
        <v>0.14799999999999999</v>
      </c>
      <c r="D264" s="1271">
        <v>0.14699999999999999</v>
      </c>
      <c r="E264" s="1271">
        <v>0.15</v>
      </c>
      <c r="F264" s="1272">
        <v>7.8E-2</v>
      </c>
    </row>
    <row r="265" spans="1:6">
      <c r="A265" s="1266" t="s">
        <v>307</v>
      </c>
      <c r="B265" s="1270" t="s">
        <v>1679</v>
      </c>
      <c r="C265" s="1271">
        <v>0.15</v>
      </c>
      <c r="D265" s="1271">
        <v>0.15</v>
      </c>
      <c r="E265" s="1271">
        <v>0.15</v>
      </c>
      <c r="F265" s="1272">
        <v>7.3999999999999996E-2</v>
      </c>
    </row>
    <row r="266" spans="1:6">
      <c r="A266" s="1266" t="s">
        <v>307</v>
      </c>
      <c r="B266" s="1270" t="s">
        <v>1687</v>
      </c>
      <c r="C266" s="1271">
        <v>0.14699999999999999</v>
      </c>
      <c r="D266" s="1271">
        <v>0.14699999999999999</v>
      </c>
      <c r="E266" s="1271">
        <v>0.15</v>
      </c>
      <c r="F266" s="1272">
        <v>0.14299999999999999</v>
      </c>
    </row>
    <row r="267" spans="1:6">
      <c r="A267" s="1266" t="s">
        <v>307</v>
      </c>
      <c r="B267" s="1270" t="s">
        <v>1694</v>
      </c>
      <c r="C267" s="1271">
        <v>0.14199999999999999</v>
      </c>
      <c r="D267" s="1271">
        <v>0.14299999999999999</v>
      </c>
      <c r="E267" s="1271">
        <v>0.15</v>
      </c>
      <c r="F267" s="1279"/>
    </row>
    <row r="268" spans="1:6">
      <c r="A268" s="1266" t="s">
        <v>307</v>
      </c>
      <c r="B268" s="1270" t="s">
        <v>1701</v>
      </c>
      <c r="C268" s="1271">
        <v>0.15</v>
      </c>
      <c r="D268" s="1271">
        <v>0.15</v>
      </c>
      <c r="E268" s="1271">
        <v>0.15</v>
      </c>
      <c r="F268" s="1272">
        <v>0.13</v>
      </c>
    </row>
    <row r="269" spans="1:6">
      <c r="A269" s="1266" t="s">
        <v>307</v>
      </c>
      <c r="B269" s="1270" t="s">
        <v>1708</v>
      </c>
      <c r="C269" s="1271">
        <v>0.15</v>
      </c>
      <c r="D269" s="1271">
        <v>0.15</v>
      </c>
      <c r="E269" s="1271">
        <v>0.15</v>
      </c>
      <c r="F269" s="1272">
        <v>0.14299999999999999</v>
      </c>
    </row>
    <row r="270" spans="1:6">
      <c r="A270" s="1266" t="s">
        <v>307</v>
      </c>
      <c r="B270" s="1270" t="s">
        <v>1715</v>
      </c>
      <c r="C270" s="1271">
        <v>0.14499999999999999</v>
      </c>
      <c r="D270" s="1271">
        <v>0.14499999999999999</v>
      </c>
      <c r="E270" s="1271">
        <v>0.15</v>
      </c>
      <c r="F270" s="1272">
        <v>0.14699999999999999</v>
      </c>
    </row>
    <row r="271" spans="1:6">
      <c r="A271" s="1266" t="s">
        <v>307</v>
      </c>
      <c r="B271" s="1270" t="s">
        <v>1722</v>
      </c>
      <c r="C271" s="1271">
        <v>0.15</v>
      </c>
      <c r="D271" s="1271">
        <v>0.15</v>
      </c>
      <c r="E271" s="1271">
        <v>0.15</v>
      </c>
      <c r="F271" s="1272">
        <v>0.13800000000000001</v>
      </c>
    </row>
    <row r="272" spans="1:6">
      <c r="A272" s="1266" t="s">
        <v>307</v>
      </c>
      <c r="B272" s="1270" t="s">
        <v>1727</v>
      </c>
      <c r="C272" s="1280"/>
      <c r="D272" s="1280"/>
      <c r="E272" s="1280"/>
      <c r="F272" s="1272">
        <v>0.14000000000000001</v>
      </c>
    </row>
    <row r="273" spans="1:6">
      <c r="A273" s="1266" t="s">
        <v>307</v>
      </c>
      <c r="B273" s="1270" t="s">
        <v>1732</v>
      </c>
      <c r="C273" s="1271">
        <v>0.14199999999999999</v>
      </c>
      <c r="D273" s="1271">
        <v>0.14299999999999999</v>
      </c>
      <c r="E273" s="1271">
        <v>0.15</v>
      </c>
      <c r="F273" s="1272">
        <v>0.1</v>
      </c>
    </row>
    <row r="274" spans="1:6">
      <c r="A274" s="1266" t="s">
        <v>307</v>
      </c>
      <c r="B274" s="1270" t="s">
        <v>1737</v>
      </c>
      <c r="C274" s="1271">
        <v>0.14799999999999999</v>
      </c>
      <c r="D274" s="1271">
        <v>0.14799999999999999</v>
      </c>
      <c r="E274" s="1271">
        <v>0.15</v>
      </c>
      <c r="F274" s="1272">
        <v>6.7000000000000004E-2</v>
      </c>
    </row>
    <row r="275" spans="1:6">
      <c r="A275" s="1266" t="s">
        <v>307</v>
      </c>
      <c r="B275" s="1270" t="s">
        <v>1742</v>
      </c>
      <c r="C275" s="1271">
        <v>0.15</v>
      </c>
      <c r="D275" s="1271">
        <v>0.15</v>
      </c>
      <c r="E275" s="1271">
        <v>0.15</v>
      </c>
      <c r="F275" s="1272">
        <v>0.15</v>
      </c>
    </row>
    <row r="276" spans="1:6">
      <c r="A276" s="1266" t="s">
        <v>307</v>
      </c>
      <c r="B276" s="1270" t="s">
        <v>1747</v>
      </c>
      <c r="C276" s="1271">
        <v>0.14499999999999999</v>
      </c>
      <c r="D276" s="1271">
        <v>0.14299999999999999</v>
      </c>
      <c r="E276" s="1271">
        <v>0.15</v>
      </c>
      <c r="F276" s="1272">
        <v>5.8999999999999997E-2</v>
      </c>
    </row>
    <row r="277" spans="1:6">
      <c r="A277" s="1266" t="s">
        <v>307</v>
      </c>
      <c r="B277" s="1270" t="s">
        <v>1752</v>
      </c>
      <c r="C277" s="1271">
        <v>0.15</v>
      </c>
      <c r="D277" s="1271">
        <v>0.15</v>
      </c>
      <c r="E277" s="1271">
        <v>0.15</v>
      </c>
      <c r="F277" s="1272">
        <v>0.121</v>
      </c>
    </row>
    <row r="278" spans="1:6">
      <c r="A278" s="1266" t="s">
        <v>307</v>
      </c>
      <c r="B278" s="1270" t="s">
        <v>1757</v>
      </c>
      <c r="C278" s="1271">
        <v>0.15</v>
      </c>
      <c r="D278" s="1271">
        <v>0.15</v>
      </c>
      <c r="E278" s="1271">
        <v>0.15</v>
      </c>
      <c r="F278" s="1272">
        <v>0.13800000000000001</v>
      </c>
    </row>
    <row r="279" spans="1:6" ht="24">
      <c r="A279" s="1266" t="s">
        <v>307</v>
      </c>
      <c r="B279" s="1270" t="s">
        <v>1761</v>
      </c>
      <c r="C279" s="1280"/>
      <c r="D279" s="1280"/>
      <c r="E279" s="1280"/>
      <c r="F279" s="1272">
        <v>0.05</v>
      </c>
    </row>
    <row r="280" spans="1:6" ht="24">
      <c r="A280" s="1266" t="s">
        <v>307</v>
      </c>
      <c r="B280" s="1270" t="s">
        <v>1765</v>
      </c>
      <c r="C280" s="1280"/>
      <c r="D280" s="1280"/>
      <c r="E280" s="1280"/>
      <c r="F280" s="1272">
        <v>0.05</v>
      </c>
    </row>
    <row r="281" spans="1:6" ht="24">
      <c r="A281" s="1266" t="s">
        <v>307</v>
      </c>
      <c r="B281" s="1270" t="s">
        <v>1769</v>
      </c>
      <c r="C281" s="1280"/>
      <c r="D281" s="1280"/>
      <c r="E281" s="1280"/>
      <c r="F281" s="1272">
        <v>0.05</v>
      </c>
    </row>
    <row r="282" spans="1:6" ht="24">
      <c r="A282" s="1266" t="s">
        <v>307</v>
      </c>
      <c r="B282" s="1270" t="s">
        <v>1773</v>
      </c>
      <c r="C282" s="1280"/>
      <c r="D282" s="1280"/>
      <c r="E282" s="1280"/>
      <c r="F282" s="1272">
        <v>0.05</v>
      </c>
    </row>
    <row r="283" spans="1:6" ht="24">
      <c r="A283" s="1266" t="s">
        <v>307</v>
      </c>
      <c r="B283" s="1270" t="s">
        <v>1777</v>
      </c>
      <c r="C283" s="1280"/>
      <c r="D283" s="1280"/>
      <c r="E283" s="1280"/>
      <c r="F283" s="1272">
        <v>0.05</v>
      </c>
    </row>
    <row r="284" spans="1:6" ht="24">
      <c r="A284" s="1266" t="s">
        <v>307</v>
      </c>
      <c r="B284" s="1270" t="s">
        <v>1780</v>
      </c>
      <c r="C284" s="1280"/>
      <c r="D284" s="1280"/>
      <c r="E284" s="1280"/>
      <c r="F284" s="1272">
        <v>0.05</v>
      </c>
    </row>
    <row r="285" spans="1:6" ht="24">
      <c r="A285" s="1266" t="s">
        <v>307</v>
      </c>
      <c r="B285" s="1270" t="s">
        <v>1783</v>
      </c>
      <c r="C285" s="1280"/>
      <c r="D285" s="1280"/>
      <c r="E285" s="1280"/>
      <c r="F285" s="1272">
        <v>0.05</v>
      </c>
    </row>
    <row r="286" spans="1:6" ht="24">
      <c r="A286" s="1266" t="s">
        <v>307</v>
      </c>
      <c r="B286" s="1270" t="s">
        <v>1786</v>
      </c>
      <c r="C286" s="1280"/>
      <c r="D286" s="1280"/>
      <c r="E286" s="1280"/>
      <c r="F286" s="1272">
        <v>0.05</v>
      </c>
    </row>
    <row r="287" spans="1:6" ht="24">
      <c r="A287" s="1266" t="s">
        <v>307</v>
      </c>
      <c r="B287" s="1270" t="s">
        <v>1789</v>
      </c>
      <c r="C287" s="1280"/>
      <c r="D287" s="1280"/>
      <c r="E287" s="1280"/>
      <c r="F287" s="1272">
        <v>0.05</v>
      </c>
    </row>
    <row r="288" spans="1:6" ht="24">
      <c r="A288" s="1266" t="s">
        <v>307</v>
      </c>
      <c r="B288" s="1270" t="s">
        <v>1792</v>
      </c>
      <c r="C288" s="1280"/>
      <c r="D288" s="1280"/>
      <c r="E288" s="1280"/>
      <c r="F288" s="1272">
        <v>0.05</v>
      </c>
    </row>
    <row r="289" spans="1:6" ht="24">
      <c r="A289" s="1274" t="s">
        <v>307</v>
      </c>
      <c r="B289" s="1281" t="s">
        <v>1795</v>
      </c>
      <c r="C289" s="1277"/>
      <c r="D289" s="1277"/>
      <c r="E289" s="1277"/>
      <c r="F289" s="1282">
        <v>0.05</v>
      </c>
    </row>
    <row r="290" spans="1:6">
      <c r="A290" s="1266" t="s">
        <v>310</v>
      </c>
      <c r="B290" s="1267" t="s">
        <v>1470</v>
      </c>
      <c r="C290" s="1268">
        <v>0.15</v>
      </c>
      <c r="D290" s="1268">
        <v>0.15</v>
      </c>
      <c r="E290" s="1268">
        <v>0.15</v>
      </c>
      <c r="F290" s="1290"/>
    </row>
    <row r="291" spans="1:6">
      <c r="A291" s="1266" t="s">
        <v>310</v>
      </c>
      <c r="B291" s="1270" t="s">
        <v>1483</v>
      </c>
      <c r="C291" s="1271">
        <v>0.15</v>
      </c>
      <c r="D291" s="1271">
        <v>0.15</v>
      </c>
      <c r="E291" s="1271">
        <v>0.15</v>
      </c>
      <c r="F291" s="1279"/>
    </row>
    <row r="292" spans="1:6">
      <c r="A292" s="1266" t="s">
        <v>310</v>
      </c>
      <c r="B292" s="1270" t="s">
        <v>1496</v>
      </c>
      <c r="C292" s="1271">
        <v>0.15</v>
      </c>
      <c r="D292" s="1271">
        <v>0.15</v>
      </c>
      <c r="E292" s="1271">
        <v>0.15</v>
      </c>
      <c r="F292" s="1272">
        <v>0.14699999999999999</v>
      </c>
    </row>
    <row r="293" spans="1:6">
      <c r="A293" s="1266" t="s">
        <v>310</v>
      </c>
      <c r="B293" s="1270" t="s">
        <v>1802</v>
      </c>
      <c r="C293" s="1280"/>
      <c r="D293" s="1280"/>
      <c r="E293" s="1280"/>
      <c r="F293" s="1272">
        <v>0.1</v>
      </c>
    </row>
    <row r="294" spans="1:6">
      <c r="A294" s="1266" t="s">
        <v>310</v>
      </c>
      <c r="B294" s="1270" t="s">
        <v>1508</v>
      </c>
      <c r="C294" s="1271">
        <v>0.15</v>
      </c>
      <c r="D294" s="1271">
        <v>0.15</v>
      </c>
      <c r="E294" s="1271">
        <v>0.15</v>
      </c>
      <c r="F294" s="1272">
        <v>0.15</v>
      </c>
    </row>
    <row r="295" spans="1:6">
      <c r="A295" s="1266" t="s">
        <v>310</v>
      </c>
      <c r="B295" s="1270" t="s">
        <v>1520</v>
      </c>
      <c r="C295" s="1271">
        <v>0.15</v>
      </c>
      <c r="D295" s="1271">
        <v>0.15</v>
      </c>
      <c r="E295" s="1271">
        <v>0.15</v>
      </c>
      <c r="F295" s="1272">
        <v>0.15</v>
      </c>
    </row>
    <row r="296" spans="1:6">
      <c r="A296" s="1266" t="s">
        <v>310</v>
      </c>
      <c r="B296" s="1270" t="s">
        <v>1531</v>
      </c>
      <c r="C296" s="1271">
        <v>0.15</v>
      </c>
      <c r="D296" s="1271">
        <v>0.15</v>
      </c>
      <c r="E296" s="1271">
        <v>0.15</v>
      </c>
      <c r="F296" s="1272">
        <v>0.15</v>
      </c>
    </row>
    <row r="297" spans="1:6">
      <c r="A297" s="1266" t="s">
        <v>310</v>
      </c>
      <c r="B297" s="1270" t="s">
        <v>1542</v>
      </c>
      <c r="C297" s="1271">
        <v>0.14799999999999999</v>
      </c>
      <c r="D297" s="1271">
        <v>0.14899999999999999</v>
      </c>
      <c r="E297" s="1271">
        <v>0.15</v>
      </c>
      <c r="F297" s="1272">
        <v>0.13700000000000001</v>
      </c>
    </row>
    <row r="298" spans="1:6">
      <c r="A298" s="1266" t="s">
        <v>310</v>
      </c>
      <c r="B298" s="1270" t="s">
        <v>1553</v>
      </c>
      <c r="C298" s="1271">
        <v>0.13400000000000001</v>
      </c>
      <c r="D298" s="1271">
        <v>0.13400000000000001</v>
      </c>
      <c r="E298" s="1271">
        <v>0.14499999999999999</v>
      </c>
      <c r="F298" s="1272">
        <v>0.14799999999999999</v>
      </c>
    </row>
    <row r="299" spans="1:6">
      <c r="A299" s="1266" t="s">
        <v>310</v>
      </c>
      <c r="B299" s="1270" t="s">
        <v>1563</v>
      </c>
      <c r="C299" s="1271">
        <v>0.15</v>
      </c>
      <c r="D299" s="1271">
        <v>0.15</v>
      </c>
      <c r="E299" s="1271">
        <v>0.15</v>
      </c>
      <c r="F299" s="1279"/>
    </row>
    <row r="300" spans="1:6">
      <c r="A300" s="1266" t="s">
        <v>310</v>
      </c>
      <c r="B300" s="1270" t="s">
        <v>1573</v>
      </c>
      <c r="C300" s="1271">
        <v>0.15</v>
      </c>
      <c r="D300" s="1271">
        <v>0.15</v>
      </c>
      <c r="E300" s="1271">
        <v>0.15</v>
      </c>
      <c r="F300" s="1272">
        <v>0.15</v>
      </c>
    </row>
    <row r="301" spans="1:6">
      <c r="A301" s="1266" t="s">
        <v>310</v>
      </c>
      <c r="B301" s="1270" t="s">
        <v>1583</v>
      </c>
      <c r="C301" s="1271">
        <v>0.15</v>
      </c>
      <c r="D301" s="1271">
        <v>0.15</v>
      </c>
      <c r="E301" s="1271">
        <v>0.15</v>
      </c>
      <c r="F301" s="1279"/>
    </row>
    <row r="302" spans="1:6">
      <c r="A302" s="1266" t="s">
        <v>310</v>
      </c>
      <c r="B302" s="1270" t="s">
        <v>1593</v>
      </c>
      <c r="C302" s="1271">
        <v>0.15</v>
      </c>
      <c r="D302" s="1271">
        <v>0.15</v>
      </c>
      <c r="E302" s="1271">
        <v>0.15</v>
      </c>
      <c r="F302" s="1272">
        <v>0.15</v>
      </c>
    </row>
    <row r="303" spans="1:6">
      <c r="A303" s="1266" t="s">
        <v>310</v>
      </c>
      <c r="B303" s="1270" t="s">
        <v>1603</v>
      </c>
      <c r="C303" s="1271">
        <v>0.15</v>
      </c>
      <c r="D303" s="1271">
        <v>0.15</v>
      </c>
      <c r="E303" s="1271">
        <v>0.15</v>
      </c>
      <c r="F303" s="1272">
        <v>0.15</v>
      </c>
    </row>
    <row r="304" spans="1:6">
      <c r="A304" s="1266" t="s">
        <v>310</v>
      </c>
      <c r="B304" s="1270" t="s">
        <v>1613</v>
      </c>
      <c r="C304" s="1271">
        <v>0.15</v>
      </c>
      <c r="D304" s="1271">
        <v>0.15</v>
      </c>
      <c r="E304" s="1271">
        <v>0.15</v>
      </c>
      <c r="F304" s="1279"/>
    </row>
    <row r="305" spans="1:6">
      <c r="A305" s="1266" t="s">
        <v>310</v>
      </c>
      <c r="B305" s="1270" t="s">
        <v>1623</v>
      </c>
      <c r="C305" s="1271">
        <v>0.15</v>
      </c>
      <c r="D305" s="1271">
        <v>0.15</v>
      </c>
      <c r="E305" s="1271">
        <v>0.15</v>
      </c>
      <c r="F305" s="1272">
        <v>0.14000000000000001</v>
      </c>
    </row>
    <row r="306" spans="1:6">
      <c r="A306" s="1266" t="s">
        <v>310</v>
      </c>
      <c r="B306" s="1270" t="s">
        <v>1633</v>
      </c>
      <c r="C306" s="1271">
        <v>0.15</v>
      </c>
      <c r="D306" s="1271">
        <v>0.15</v>
      </c>
      <c r="E306" s="1271">
        <v>0.15</v>
      </c>
      <c r="F306" s="1279"/>
    </row>
    <row r="307" spans="1:6">
      <c r="A307" s="1266" t="s">
        <v>310</v>
      </c>
      <c r="B307" s="1270" t="s">
        <v>1643</v>
      </c>
      <c r="C307" s="1271">
        <v>0.15</v>
      </c>
      <c r="D307" s="1271">
        <v>0.15</v>
      </c>
      <c r="E307" s="1271">
        <v>0.15</v>
      </c>
      <c r="F307" s="1272">
        <v>0.14299999999999999</v>
      </c>
    </row>
    <row r="308" spans="1:6">
      <c r="A308" s="1266" t="s">
        <v>310</v>
      </c>
      <c r="B308" s="1270" t="s">
        <v>1653</v>
      </c>
      <c r="C308" s="1271">
        <v>0.15</v>
      </c>
      <c r="D308" s="1271">
        <v>0.15</v>
      </c>
      <c r="E308" s="1271">
        <v>0.15</v>
      </c>
      <c r="F308" s="1272">
        <v>0.15</v>
      </c>
    </row>
    <row r="309" spans="1:6">
      <c r="A309" s="1266" t="s">
        <v>310</v>
      </c>
      <c r="B309" s="1270" t="s">
        <v>1663</v>
      </c>
      <c r="C309" s="1271">
        <v>0.15</v>
      </c>
      <c r="D309" s="1271">
        <v>0.15</v>
      </c>
      <c r="E309" s="1271">
        <v>0.15</v>
      </c>
      <c r="F309" s="1279"/>
    </row>
    <row r="310" spans="1:6">
      <c r="A310" s="1266" t="s">
        <v>310</v>
      </c>
      <c r="B310" s="1270" t="s">
        <v>1672</v>
      </c>
      <c r="C310" s="1271">
        <v>0.15</v>
      </c>
      <c r="D310" s="1271">
        <v>0.15</v>
      </c>
      <c r="E310" s="1271">
        <v>0.15</v>
      </c>
      <c r="F310" s="1272">
        <v>0.13700000000000001</v>
      </c>
    </row>
    <row r="311" spans="1:6">
      <c r="A311" s="1266" t="s">
        <v>310</v>
      </c>
      <c r="B311" s="1270" t="s">
        <v>1680</v>
      </c>
      <c r="C311" s="1271">
        <v>0.15</v>
      </c>
      <c r="D311" s="1271">
        <v>0.15</v>
      </c>
      <c r="E311" s="1271">
        <v>0.15</v>
      </c>
      <c r="F311" s="1272">
        <v>0.15</v>
      </c>
    </row>
    <row r="312" spans="1:6">
      <c r="A312" s="1266" t="s">
        <v>310</v>
      </c>
      <c r="B312" s="1270" t="s">
        <v>1688</v>
      </c>
      <c r="C312" s="1271">
        <v>0.15</v>
      </c>
      <c r="D312" s="1271">
        <v>0.15</v>
      </c>
      <c r="E312" s="1271">
        <v>0.15</v>
      </c>
      <c r="F312" s="1272">
        <v>0.1</v>
      </c>
    </row>
    <row r="313" spans="1:6">
      <c r="A313" s="1266" t="s">
        <v>310</v>
      </c>
      <c r="B313" s="1270" t="s">
        <v>1695</v>
      </c>
      <c r="C313" s="1271">
        <v>0.15</v>
      </c>
      <c r="D313" s="1271">
        <v>0.15</v>
      </c>
      <c r="E313" s="1271">
        <v>0.15</v>
      </c>
      <c r="F313" s="1272">
        <v>0.15</v>
      </c>
    </row>
    <row r="314" spans="1:6" ht="24">
      <c r="A314" s="1266" t="s">
        <v>310</v>
      </c>
      <c r="B314" s="1270" t="s">
        <v>1702</v>
      </c>
      <c r="C314" s="1280"/>
      <c r="D314" s="1280"/>
      <c r="E314" s="1280"/>
      <c r="F314" s="1272">
        <v>0.05</v>
      </c>
    </row>
    <row r="315" spans="1:6" ht="24">
      <c r="A315" s="1266" t="s">
        <v>310</v>
      </c>
      <c r="B315" s="1270" t="s">
        <v>1709</v>
      </c>
      <c r="C315" s="1280"/>
      <c r="D315" s="1280"/>
      <c r="E315" s="1280"/>
      <c r="F315" s="1272">
        <v>0.05</v>
      </c>
    </row>
    <row r="316" spans="1:6" ht="24">
      <c r="A316" s="1274" t="s">
        <v>310</v>
      </c>
      <c r="B316" s="1281" t="s">
        <v>1716</v>
      </c>
      <c r="C316" s="1277"/>
      <c r="D316" s="1277"/>
      <c r="E316" s="1277"/>
      <c r="F316" s="1282">
        <v>0.05</v>
      </c>
    </row>
    <row r="317" spans="1:6">
      <c r="A317" s="1266" t="s">
        <v>313</v>
      </c>
      <c r="B317" s="1267" t="s">
        <v>1471</v>
      </c>
      <c r="C317" s="1268">
        <v>0.15</v>
      </c>
      <c r="D317" s="1268">
        <v>0.15</v>
      </c>
      <c r="E317" s="1268">
        <v>0.15</v>
      </c>
      <c r="F317" s="1269">
        <v>0.15</v>
      </c>
    </row>
    <row r="318" spans="1:6">
      <c r="A318" s="1266" t="s">
        <v>313</v>
      </c>
      <c r="B318" s="1270" t="s">
        <v>1484</v>
      </c>
      <c r="C318" s="1271">
        <v>0.107</v>
      </c>
      <c r="D318" s="1271">
        <v>0.11</v>
      </c>
      <c r="E318" s="1271">
        <v>0.112</v>
      </c>
      <c r="F318" s="1279"/>
    </row>
    <row r="319" spans="1:6">
      <c r="A319" s="1266" t="s">
        <v>313</v>
      </c>
      <c r="B319" s="1270" t="s">
        <v>1497</v>
      </c>
      <c r="C319" s="1271">
        <v>0.15</v>
      </c>
      <c r="D319" s="1271">
        <v>0.15</v>
      </c>
      <c r="E319" s="1271">
        <v>0.15</v>
      </c>
      <c r="F319" s="1272">
        <v>0.15</v>
      </c>
    </row>
    <row r="320" spans="1:6">
      <c r="A320" s="1266" t="s">
        <v>313</v>
      </c>
      <c r="B320" s="1270" t="s">
        <v>1509</v>
      </c>
      <c r="C320" s="1271">
        <v>0.15</v>
      </c>
      <c r="D320" s="1271">
        <v>0.15</v>
      </c>
      <c r="E320" s="1271">
        <v>0.15</v>
      </c>
      <c r="F320" s="1279"/>
    </row>
    <row r="321" spans="1:6">
      <c r="A321" s="1266" t="s">
        <v>313</v>
      </c>
      <c r="B321" s="1270" t="s">
        <v>1521</v>
      </c>
      <c r="C321" s="1271">
        <v>0.15</v>
      </c>
      <c r="D321" s="1271">
        <v>0.15</v>
      </c>
      <c r="E321" s="1271">
        <v>0.15</v>
      </c>
      <c r="F321" s="1279"/>
    </row>
    <row r="322" spans="1:6">
      <c r="A322" s="1266" t="s">
        <v>313</v>
      </c>
      <c r="B322" s="1270" t="s">
        <v>1532</v>
      </c>
      <c r="C322" s="1271">
        <v>0.15</v>
      </c>
      <c r="D322" s="1271">
        <v>0.15</v>
      </c>
      <c r="E322" s="1271">
        <v>0.15</v>
      </c>
      <c r="F322" s="1272">
        <v>0.15</v>
      </c>
    </row>
    <row r="323" spans="1:6">
      <c r="A323" s="1266" t="s">
        <v>313</v>
      </c>
      <c r="B323" s="1270" t="s">
        <v>1543</v>
      </c>
      <c r="C323" s="1271">
        <v>0.15</v>
      </c>
      <c r="D323" s="1271">
        <v>0.15</v>
      </c>
      <c r="E323" s="1271">
        <v>0.15</v>
      </c>
      <c r="F323" s="1279"/>
    </row>
    <row r="324" spans="1:6">
      <c r="A324" s="1266" t="s">
        <v>313</v>
      </c>
      <c r="B324" s="1270" t="s">
        <v>1554</v>
      </c>
      <c r="C324" s="1271">
        <v>0.15</v>
      </c>
      <c r="D324" s="1271">
        <v>0.15</v>
      </c>
      <c r="E324" s="1271">
        <v>0.15</v>
      </c>
      <c r="F324" s="1279"/>
    </row>
    <row r="325" spans="1:6">
      <c r="A325" s="1266" t="s">
        <v>313</v>
      </c>
      <c r="B325" s="1270" t="s">
        <v>1564</v>
      </c>
      <c r="C325" s="1271">
        <v>0.15</v>
      </c>
      <c r="D325" s="1271">
        <v>0.15</v>
      </c>
      <c r="E325" s="1271">
        <v>0.15</v>
      </c>
      <c r="F325" s="1272">
        <v>0.14699999999999999</v>
      </c>
    </row>
    <row r="326" spans="1:6">
      <c r="A326" s="1266" t="s">
        <v>313</v>
      </c>
      <c r="B326" s="1270" t="s">
        <v>1574</v>
      </c>
      <c r="C326" s="1271">
        <v>0.15</v>
      </c>
      <c r="D326" s="1271">
        <v>0.15</v>
      </c>
      <c r="E326" s="1271">
        <v>0.15</v>
      </c>
      <c r="F326" s="1279"/>
    </row>
    <row r="327" spans="1:6">
      <c r="A327" s="1266" t="s">
        <v>313</v>
      </c>
      <c r="B327" s="1270" t="s">
        <v>1584</v>
      </c>
      <c r="C327" s="1271">
        <v>0.15</v>
      </c>
      <c r="D327" s="1271">
        <v>0.15</v>
      </c>
      <c r="E327" s="1271">
        <v>0.15</v>
      </c>
      <c r="F327" s="1272">
        <v>0.15</v>
      </c>
    </row>
    <row r="328" spans="1:6">
      <c r="A328" s="1266" t="s">
        <v>313</v>
      </c>
      <c r="B328" s="1270" t="s">
        <v>1594</v>
      </c>
      <c r="C328" s="1271">
        <v>0.15</v>
      </c>
      <c r="D328" s="1271">
        <v>0.15</v>
      </c>
      <c r="E328" s="1271">
        <v>0.15</v>
      </c>
      <c r="F328" s="1272">
        <v>0.14099999999999999</v>
      </c>
    </row>
    <row r="329" spans="1:6">
      <c r="A329" s="1266" t="s">
        <v>313</v>
      </c>
      <c r="B329" s="1270" t="s">
        <v>1604</v>
      </c>
      <c r="C329" s="1271">
        <v>0.15</v>
      </c>
      <c r="D329" s="1271">
        <v>0.15</v>
      </c>
      <c r="E329" s="1271">
        <v>0.15</v>
      </c>
      <c r="F329" s="1272">
        <v>0.15</v>
      </c>
    </row>
    <row r="330" spans="1:6">
      <c r="A330" s="1266" t="s">
        <v>313</v>
      </c>
      <c r="B330" s="1270" t="s">
        <v>1614</v>
      </c>
      <c r="C330" s="1271">
        <v>0.15</v>
      </c>
      <c r="D330" s="1271">
        <v>0.15</v>
      </c>
      <c r="E330" s="1271">
        <v>0.15</v>
      </c>
      <c r="F330" s="1279"/>
    </row>
    <row r="331" spans="1:6">
      <c r="A331" s="1266" t="s">
        <v>313</v>
      </c>
      <c r="B331" s="1270" t="s">
        <v>1624</v>
      </c>
      <c r="C331" s="1271">
        <v>0.15</v>
      </c>
      <c r="D331" s="1271">
        <v>0.15</v>
      </c>
      <c r="E331" s="1271">
        <v>0.15</v>
      </c>
      <c r="F331" s="1272">
        <v>0.15</v>
      </c>
    </row>
    <row r="332" spans="1:6">
      <c r="A332" s="1266" t="s">
        <v>313</v>
      </c>
      <c r="B332" s="1270" t="s">
        <v>1634</v>
      </c>
      <c r="C332" s="1271">
        <v>0.15</v>
      </c>
      <c r="D332" s="1271">
        <v>0.15</v>
      </c>
      <c r="E332" s="1271">
        <v>0.15</v>
      </c>
      <c r="F332" s="1272">
        <v>0.15</v>
      </c>
    </row>
    <row r="333" spans="1:6">
      <c r="A333" s="1266" t="s">
        <v>313</v>
      </c>
      <c r="B333" s="1270" t="s">
        <v>1644</v>
      </c>
      <c r="C333" s="1271">
        <v>0.15</v>
      </c>
      <c r="D333" s="1271">
        <v>0.15</v>
      </c>
      <c r="E333" s="1271">
        <v>0.15</v>
      </c>
      <c r="F333" s="1272">
        <v>0.14099999999999999</v>
      </c>
    </row>
    <row r="334" spans="1:6">
      <c r="A334" s="1266" t="s">
        <v>313</v>
      </c>
      <c r="B334" s="1270" t="s">
        <v>1654</v>
      </c>
      <c r="C334" s="1271">
        <v>0.15</v>
      </c>
      <c r="D334" s="1271">
        <v>0.15</v>
      </c>
      <c r="E334" s="1271">
        <v>0.15</v>
      </c>
      <c r="F334" s="1272">
        <v>0.15</v>
      </c>
    </row>
    <row r="335" spans="1:6">
      <c r="A335" s="1266" t="s">
        <v>313</v>
      </c>
      <c r="B335" s="1270" t="s">
        <v>1664</v>
      </c>
      <c r="C335" s="1271">
        <v>0.15</v>
      </c>
      <c r="D335" s="1271">
        <v>0.15</v>
      </c>
      <c r="E335" s="1271">
        <v>0.15</v>
      </c>
      <c r="F335" s="1279"/>
    </row>
    <row r="336" spans="1:6">
      <c r="A336" s="1266" t="s">
        <v>313</v>
      </c>
      <c r="B336" s="1270" t="s">
        <v>1673</v>
      </c>
      <c r="C336" s="1271">
        <v>0.15</v>
      </c>
      <c r="D336" s="1271">
        <v>0.15</v>
      </c>
      <c r="E336" s="1271">
        <v>0.15</v>
      </c>
      <c r="F336" s="1272">
        <v>0.11799999999999999</v>
      </c>
    </row>
    <row r="337" spans="1:6">
      <c r="A337" s="1274" t="s">
        <v>313</v>
      </c>
      <c r="B337" s="1281" t="s">
        <v>1681</v>
      </c>
      <c r="C337" s="1277"/>
      <c r="D337" s="1277"/>
      <c r="E337" s="1277"/>
      <c r="F337" s="1282">
        <v>0.14299999999999999</v>
      </c>
    </row>
    <row r="338" spans="1:6">
      <c r="A338" s="1266" t="s">
        <v>316</v>
      </c>
      <c r="B338" s="1267" t="s">
        <v>1472</v>
      </c>
      <c r="C338" s="1268">
        <v>0.15</v>
      </c>
      <c r="D338" s="1268">
        <v>0.15</v>
      </c>
      <c r="E338" s="1268">
        <v>0.15</v>
      </c>
      <c r="F338" s="1290"/>
    </row>
    <row r="339" spans="1:6">
      <c r="A339" s="1266" t="s">
        <v>316</v>
      </c>
      <c r="B339" s="1270" t="s">
        <v>1485</v>
      </c>
      <c r="C339" s="1271">
        <v>0.15</v>
      </c>
      <c r="D339" s="1271">
        <v>0.15</v>
      </c>
      <c r="E339" s="1271">
        <v>0.15</v>
      </c>
      <c r="F339" s="1279"/>
    </row>
    <row r="340" spans="1:6">
      <c r="A340" s="1266" t="s">
        <v>316</v>
      </c>
      <c r="B340" s="1270" t="s">
        <v>1498</v>
      </c>
      <c r="C340" s="1271">
        <v>0.15</v>
      </c>
      <c r="D340" s="1271">
        <v>0.15</v>
      </c>
      <c r="E340" s="1271">
        <v>0.15</v>
      </c>
      <c r="F340" s="1279"/>
    </row>
    <row r="341" spans="1:6">
      <c r="A341" s="1266" t="s">
        <v>316</v>
      </c>
      <c r="B341" s="1270" t="s">
        <v>1510</v>
      </c>
      <c r="C341" s="1271">
        <v>0.15</v>
      </c>
      <c r="D341" s="1271">
        <v>0.15</v>
      </c>
      <c r="E341" s="1271">
        <v>0.15</v>
      </c>
      <c r="F341" s="1272">
        <v>0.15</v>
      </c>
    </row>
    <row r="342" spans="1:6">
      <c r="A342" s="1266" t="s">
        <v>316</v>
      </c>
      <c r="B342" s="1270" t="s">
        <v>1522</v>
      </c>
      <c r="C342" s="1271">
        <v>0.15</v>
      </c>
      <c r="D342" s="1271">
        <v>0.15</v>
      </c>
      <c r="E342" s="1271">
        <v>0.15</v>
      </c>
      <c r="F342" s="1272">
        <v>0.15</v>
      </c>
    </row>
    <row r="343" spans="1:6">
      <c r="A343" s="1266" t="s">
        <v>316</v>
      </c>
      <c r="B343" s="1270" t="s">
        <v>1533</v>
      </c>
      <c r="C343" s="1271">
        <v>0.15</v>
      </c>
      <c r="D343" s="1271">
        <v>0.15</v>
      </c>
      <c r="E343" s="1271">
        <v>0.15</v>
      </c>
      <c r="F343" s="1272">
        <v>0.15</v>
      </c>
    </row>
    <row r="344" spans="1:6">
      <c r="A344" s="1274" t="s">
        <v>316</v>
      </c>
      <c r="B344" s="1281" t="s">
        <v>1544</v>
      </c>
      <c r="C344" s="1276">
        <v>0.15</v>
      </c>
      <c r="D344" s="1276">
        <v>0.15</v>
      </c>
      <c r="E344" s="1276">
        <v>0.15</v>
      </c>
      <c r="F344" s="1282">
        <v>0.15</v>
      </c>
    </row>
  </sheetData>
  <sheetProtection password="C66D" sheet="1" objects="1" scenarios="1"/>
  <mergeCells count="1">
    <mergeCell ref="A1:B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326</v>
      </c>
      <c r="B1" s="1251"/>
      <c r="C1" s="1251"/>
      <c r="D1" s="1251"/>
      <c r="E1" s="1251"/>
      <c r="F1" s="1251"/>
    </row>
    <row r="2" spans="1:6" ht="14.25">
      <c r="A2" s="1252" t="s">
        <v>1114</v>
      </c>
      <c r="B2" s="1253" t="e">
        <f ca="1">SUMIF(B7:B14,"&lt;&gt;#ref!",B7:B14)</f>
        <v>#DIV/0!</v>
      </c>
      <c r="C2" s="1252" t="s">
        <v>1040</v>
      </c>
      <c r="D2" s="1251"/>
      <c r="E2" s="1251"/>
      <c r="F2" s="1251"/>
    </row>
    <row r="3" spans="1:6" ht="14.25">
      <c r="A3" s="1252" t="s">
        <v>918</v>
      </c>
      <c r="B3" s="1253" t="e">
        <f ca="1">ROUND(B2*10000/E3,0)</f>
        <v>#DIV/0!</v>
      </c>
      <c r="C3" s="1252" t="s">
        <v>1116</v>
      </c>
      <c r="D3" s="1252" t="s">
        <v>1809</v>
      </c>
      <c r="E3" s="1253">
        <f ca="1">SUMIF(E7:E14,"&lt;&gt;#ref!",E7:E14)</f>
        <v>0</v>
      </c>
      <c r="F3" s="1251"/>
    </row>
    <row r="4" spans="1:6" ht="14.25">
      <c r="A4" s="1252" t="s">
        <v>966</v>
      </c>
      <c r="B4" s="1253" t="e">
        <f ca="1">ROUND(B2*10000/E4,0)</f>
        <v>#DIV/0!</v>
      </c>
      <c r="C4" s="1252" t="s">
        <v>1116</v>
      </c>
      <c r="D4" s="1252" t="s">
        <v>1810</v>
      </c>
      <c r="E4" s="1253">
        <f ca="1">SUMIF(F7:F14,"&lt;&gt;#ref!",F7:F14)</f>
        <v>0</v>
      </c>
      <c r="F4" s="1251"/>
    </row>
    <row r="5" spans="1:6" ht="14.25">
      <c r="A5" s="1254"/>
      <c r="B5" s="1255"/>
      <c r="C5" s="1255"/>
      <c r="D5" s="1255"/>
      <c r="E5" s="1255"/>
      <c r="F5" s="1251"/>
    </row>
    <row r="6" spans="1:6" ht="28.5">
      <c r="A6" s="1256" t="s">
        <v>1811</v>
      </c>
      <c r="B6" s="1252" t="s">
        <v>1812</v>
      </c>
      <c r="C6" s="1253"/>
      <c r="D6" s="1255"/>
      <c r="E6" s="1252" t="s">
        <v>389</v>
      </c>
      <c r="F6" s="1252" t="s">
        <v>392</v>
      </c>
    </row>
    <row r="7" spans="1:6" ht="14.25">
      <c r="A7" s="1257" t="s">
        <v>173</v>
      </c>
      <c r="B7" s="1258" t="e">
        <f ca="1">SUMIF(INDIRECT("'"&amp;A7&amp;"'"&amp;"!A:A"),"总价",INDIRECT("'"&amp;A7&amp;"'"&amp;"!B:B"))</f>
        <v>#DIV/0!</v>
      </c>
      <c r="C7" s="1252" t="s">
        <v>1040</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1040</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1040</v>
      </c>
      <c r="D9" s="1255"/>
      <c r="E9" s="1259" t="e">
        <f t="shared" ca="1" si="1"/>
        <v>#REF!</v>
      </c>
      <c r="F9" s="1259" t="e">
        <f t="shared" ca="1" si="2"/>
        <v>#REF!</v>
      </c>
    </row>
    <row r="10" spans="1:6" ht="14.25">
      <c r="A10" s="1257"/>
      <c r="B10" s="1258" t="e">
        <f t="shared" ca="1" si="0"/>
        <v>#REF!</v>
      </c>
      <c r="C10" s="1252" t="s">
        <v>1040</v>
      </c>
      <c r="D10" s="1255"/>
      <c r="E10" s="1259" t="e">
        <f t="shared" ca="1" si="1"/>
        <v>#REF!</v>
      </c>
      <c r="F10" s="1259" t="e">
        <f t="shared" ca="1" si="2"/>
        <v>#REF!</v>
      </c>
    </row>
    <row r="11" spans="1:6" ht="14.25">
      <c r="A11" s="1257"/>
      <c r="B11" s="1258" t="e">
        <f t="shared" ca="1" si="0"/>
        <v>#REF!</v>
      </c>
      <c r="C11" s="1252" t="s">
        <v>1040</v>
      </c>
      <c r="D11" s="1255"/>
      <c r="E11" s="1259" t="e">
        <f t="shared" ca="1" si="1"/>
        <v>#REF!</v>
      </c>
      <c r="F11" s="1259" t="e">
        <f t="shared" ca="1" si="2"/>
        <v>#REF!</v>
      </c>
    </row>
    <row r="12" spans="1:6" ht="14.25">
      <c r="A12" s="1257"/>
      <c r="B12" s="1258" t="e">
        <f t="shared" ca="1" si="0"/>
        <v>#REF!</v>
      </c>
      <c r="C12" s="1252" t="s">
        <v>1040</v>
      </c>
      <c r="D12" s="1255"/>
      <c r="E12" s="1259" t="e">
        <f t="shared" ca="1" si="1"/>
        <v>#REF!</v>
      </c>
      <c r="F12" s="1259" t="e">
        <f t="shared" ca="1" si="2"/>
        <v>#REF!</v>
      </c>
    </row>
    <row r="13" spans="1:6" ht="14.25">
      <c r="A13" s="1257"/>
      <c r="B13" s="1258" t="e">
        <f t="shared" ca="1" si="0"/>
        <v>#REF!</v>
      </c>
      <c r="C13" s="1252" t="s">
        <v>1040</v>
      </c>
      <c r="D13" s="1255"/>
      <c r="E13" s="1259" t="e">
        <f t="shared" ca="1" si="1"/>
        <v>#REF!</v>
      </c>
      <c r="F13" s="1259" t="e">
        <f t="shared" ca="1" si="2"/>
        <v>#REF!</v>
      </c>
    </row>
    <row r="14" spans="1:6" ht="14.25">
      <c r="A14" s="1260"/>
      <c r="B14" s="1258" t="e">
        <f t="shared" ca="1" si="0"/>
        <v>#REF!</v>
      </c>
      <c r="C14" s="1252" t="s">
        <v>1040</v>
      </c>
      <c r="D14" s="1255"/>
      <c r="E14" s="1259" t="e">
        <f t="shared" ca="1" si="1"/>
        <v>#REF!</v>
      </c>
      <c r="F14" s="1259" t="e">
        <f t="shared" ca="1" si="2"/>
        <v>#REF!</v>
      </c>
    </row>
  </sheetData>
  <sheetProtection password="C66D" sheet="1" objects="1" scenarios="1"/>
  <phoneticPr fontId="22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1" sqref="G1"/>
    </sheetView>
  </sheetViews>
  <sheetFormatPr defaultColWidth="9" defaultRowHeight="15"/>
  <cols>
    <col min="1" max="1" width="9" style="1193" customWidth="1"/>
    <col min="2" max="2" width="20.625" style="703" customWidth="1"/>
    <col min="3" max="3" width="11.875" style="703" customWidth="1"/>
    <col min="4" max="4" width="40.5" style="702" customWidth="1"/>
    <col min="5" max="5" width="15.75" style="702" customWidth="1"/>
    <col min="6" max="6" width="10.625" style="702" customWidth="1"/>
    <col min="7" max="7" width="7.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94" t="s">
        <v>1813</v>
      </c>
      <c r="B1" s="707"/>
      <c r="C1" s="708" t="s">
        <v>492</v>
      </c>
      <c r="D1" s="713"/>
      <c r="E1" s="710" t="s">
        <v>589</v>
      </c>
      <c r="F1" s="711">
        <f ca="1">J54</f>
        <v>0</v>
      </c>
      <c r="G1" s="712">
        <f>MATCH(C1,'数据-取费表'!A6:A16,0)+5</f>
        <v>7</v>
      </c>
      <c r="H1" s="1195"/>
      <c r="I1" s="851"/>
      <c r="J1" s="851"/>
      <c r="K1" s="852"/>
      <c r="L1" s="851"/>
      <c r="M1" s="851"/>
      <c r="N1" s="853"/>
      <c r="O1" s="853"/>
      <c r="P1" s="853"/>
      <c r="Q1" s="853"/>
      <c r="R1" s="853"/>
      <c r="S1" s="853"/>
      <c r="T1" s="853"/>
      <c r="U1" s="853"/>
      <c r="V1" s="853"/>
      <c r="W1" s="853"/>
      <c r="X1" s="853"/>
      <c r="Y1" s="853"/>
    </row>
    <row r="2" spans="1:25" ht="18" customHeight="1">
      <c r="A2" s="1196" t="s">
        <v>917</v>
      </c>
      <c r="B2" s="119">
        <f ca="1">IF(ISERROR(C45+J31),0,C45+J31)</f>
        <v>0</v>
      </c>
      <c r="C2" s="1197"/>
      <c r="D2" s="715"/>
      <c r="E2" s="716"/>
      <c r="F2" s="716"/>
      <c r="G2" s="717"/>
      <c r="H2" s="855"/>
      <c r="I2" s="714"/>
      <c r="J2" s="714"/>
      <c r="K2" s="854"/>
      <c r="L2" s="714"/>
      <c r="M2" s="714"/>
    </row>
    <row r="3" spans="1:25" ht="18" customHeight="1">
      <c r="A3" s="1198" t="s">
        <v>918</v>
      </c>
      <c r="B3" s="1199">
        <f ca="1">ROUND(B2*10000/'数据-汇总表'!E3,0)</f>
        <v>0</v>
      </c>
      <c r="C3" s="1197"/>
      <c r="D3" s="715"/>
      <c r="E3" s="716"/>
      <c r="F3" s="716"/>
      <c r="G3" s="717"/>
      <c r="H3" s="720" t="s">
        <v>1814</v>
      </c>
      <c r="I3" s="714"/>
      <c r="J3" s="714"/>
      <c r="K3" s="854"/>
      <c r="L3" s="714"/>
      <c r="M3" s="714"/>
    </row>
    <row r="4" spans="1:25" ht="18" customHeight="1">
      <c r="A4" s="1200" t="s">
        <v>1008</v>
      </c>
      <c r="B4" s="1201">
        <f ca="1">ROUND(B2*10000/'数据-汇总表'!D3,0)</f>
        <v>0</v>
      </c>
      <c r="C4" s="462"/>
      <c r="D4" s="715"/>
      <c r="E4" s="716"/>
      <c r="F4" s="716"/>
      <c r="G4" s="717"/>
      <c r="H4" s="720"/>
      <c r="I4" s="714"/>
      <c r="J4" s="714"/>
      <c r="K4" s="854"/>
      <c r="L4" s="714"/>
      <c r="M4" s="714"/>
    </row>
    <row r="5" spans="1:25" ht="18" customHeight="1">
      <c r="A5" s="1202"/>
      <c r="B5" s="625">
        <f ca="1">ROUND(B2/('数据-汇总表'!D3/666.67),0)</f>
        <v>0</v>
      </c>
      <c r="C5" s="626" t="s">
        <v>920</v>
      </c>
      <c r="D5" s="715"/>
      <c r="E5" s="716"/>
      <c r="F5" s="716"/>
      <c r="G5" s="717"/>
      <c r="H5" s="720"/>
      <c r="I5" s="714"/>
      <c r="J5" s="714"/>
      <c r="K5" s="854"/>
      <c r="L5" s="714"/>
      <c r="M5" s="714"/>
    </row>
    <row r="6" spans="1:25" ht="18" customHeight="1">
      <c r="A6" s="1203" t="s">
        <v>1815</v>
      </c>
      <c r="B6" s="1204" t="s">
        <v>1816</v>
      </c>
      <c r="C6" s="1204" t="s">
        <v>1817</v>
      </c>
      <c r="D6" s="1204" t="s">
        <v>1818</v>
      </c>
      <c r="E6" s="723" t="s">
        <v>1819</v>
      </c>
      <c r="F6" s="724"/>
      <c r="G6" s="725"/>
      <c r="H6" s="1203" t="s">
        <v>1815</v>
      </c>
      <c r="I6" s="1204" t="s">
        <v>1816</v>
      </c>
      <c r="J6" s="1204" t="s">
        <v>1817</v>
      </c>
      <c r="K6" s="1204" t="s">
        <v>1818</v>
      </c>
      <c r="L6" s="723" t="s">
        <v>1819</v>
      </c>
      <c r="M6" s="724"/>
    </row>
    <row r="7" spans="1:25" ht="18" customHeight="1">
      <c r="A7" s="726">
        <v>1</v>
      </c>
      <c r="B7" s="727" t="s">
        <v>1820</v>
      </c>
      <c r="C7" s="121">
        <f ca="1">C8+C12+C14</f>
        <v>0</v>
      </c>
      <c r="D7" s="729" t="s">
        <v>1821</v>
      </c>
      <c r="E7" s="730"/>
      <c r="F7" s="731"/>
      <c r="G7" s="725"/>
      <c r="H7" s="726">
        <v>1</v>
      </c>
      <c r="I7" s="727" t="s">
        <v>1820</v>
      </c>
      <c r="J7" s="121">
        <f ca="1">J8+J12+J14</f>
        <v>0</v>
      </c>
      <c r="K7" s="729" t="s">
        <v>1821</v>
      </c>
      <c r="L7" s="730"/>
      <c r="M7" s="731"/>
    </row>
    <row r="8" spans="1:25" ht="18" customHeight="1">
      <c r="A8" s="732" t="s">
        <v>853</v>
      </c>
      <c r="B8" s="3393" t="s">
        <v>1822</v>
      </c>
      <c r="C8" s="1205">
        <f ca="1">ROUND(F8*F10*F9*(1-F11)/10000,0)</f>
        <v>0</v>
      </c>
      <c r="D8" s="1206" t="s">
        <v>1823</v>
      </c>
      <c r="E8" s="1207" t="s">
        <v>1824</v>
      </c>
      <c r="F8" s="736">
        <f ca="1">INDIRECT("'数据-取费表'!u"&amp;$G$1)</f>
        <v>0</v>
      </c>
      <c r="G8" s="725"/>
      <c r="H8" s="737" t="s">
        <v>853</v>
      </c>
      <c r="I8" s="3393" t="s">
        <v>1822</v>
      </c>
      <c r="J8" s="733">
        <f ca="1">ROUND(M8*M10*M9*(1-M11)/10000,0)</f>
        <v>0</v>
      </c>
      <c r="K8" s="806" t="s">
        <v>1823</v>
      </c>
      <c r="L8" s="735" t="s">
        <v>1824</v>
      </c>
      <c r="M8" s="736">
        <f ca="1">INDIRECT("'数据-取费表'!z"&amp;$G$1)</f>
        <v>0</v>
      </c>
    </row>
    <row r="9" spans="1:25" ht="18" customHeight="1">
      <c r="A9" s="738"/>
      <c r="B9" s="3394"/>
      <c r="C9" s="1208"/>
      <c r="D9" s="1209"/>
      <c r="E9" s="1207" t="s">
        <v>1825</v>
      </c>
      <c r="F9" s="736">
        <f ca="1">IF(INDIRECT("'数据-取费表'!ah"&amp;$G$1)="",INDIRECT("'数据-取费表'!k"&amp;$G$1),INDIRECT("'数据-取费表'!ah"&amp;$G$1))</f>
        <v>1733.03</v>
      </c>
      <c r="G9" s="725"/>
      <c r="H9" s="741"/>
      <c r="I9" s="3394"/>
      <c r="J9" s="739"/>
      <c r="K9" s="740"/>
      <c r="L9" s="735" t="s">
        <v>1825</v>
      </c>
      <c r="M9" s="736">
        <f ca="1">F9</f>
        <v>1733.03</v>
      </c>
    </row>
    <row r="10" spans="1:25" ht="18" customHeight="1">
      <c r="A10" s="742"/>
      <c r="B10" s="3395"/>
      <c r="C10" s="1208"/>
      <c r="D10" s="1209"/>
      <c r="E10" s="1207" t="s">
        <v>1826</v>
      </c>
      <c r="F10" s="736">
        <f ca="1">INDIRECT("'数据-取费表'!ai"&amp;$G$1)</f>
        <v>0</v>
      </c>
      <c r="G10" s="725"/>
      <c r="H10" s="741"/>
      <c r="I10" s="3395"/>
      <c r="J10" s="739"/>
      <c r="K10" s="740"/>
      <c r="L10" s="735" t="s">
        <v>1826</v>
      </c>
      <c r="M10" s="736">
        <f ca="1">INDIRECT("'数据-取费表'!ai"&amp;$G$1)</f>
        <v>0</v>
      </c>
    </row>
    <row r="11" spans="1:25" ht="18" customHeight="1">
      <c r="A11" s="743"/>
      <c r="B11" s="3396"/>
      <c r="C11" s="1208"/>
      <c r="D11" s="1209"/>
      <c r="E11" s="1207" t="s">
        <v>1827</v>
      </c>
      <c r="F11" s="744">
        <f ca="1">INDIRECT("'数据-取费表'!w"&amp;$G$1)</f>
        <v>0</v>
      </c>
      <c r="G11" s="725"/>
      <c r="H11" s="745"/>
      <c r="I11" s="3395"/>
      <c r="J11" s="739"/>
      <c r="K11" s="740"/>
      <c r="L11" s="788" t="s">
        <v>1827</v>
      </c>
      <c r="M11" s="754">
        <f ca="1">INDIRECT("'数据-取费表'!ab"&amp;$G$1)</f>
        <v>0</v>
      </c>
    </row>
    <row r="12" spans="1:25" ht="18" customHeight="1">
      <c r="A12" s="732" t="s">
        <v>855</v>
      </c>
      <c r="B12" s="746" t="s">
        <v>1828</v>
      </c>
      <c r="C12" s="120">
        <f ca="1">ROUND(IF(F12="押一",C8/12*F13,IF(F12="押二",C8/12*2*F13,IF(F12="押三",C8/12*3*F13,C13*F13))),0)</f>
        <v>0</v>
      </c>
      <c r="D12" s="747" t="s">
        <v>1829</v>
      </c>
      <c r="E12" s="748" t="s">
        <v>1830</v>
      </c>
      <c r="F12" s="749"/>
      <c r="G12" s="725"/>
      <c r="H12" s="750" t="s">
        <v>855</v>
      </c>
      <c r="I12" s="857" t="s">
        <v>1828</v>
      </c>
      <c r="J12" s="733">
        <f ca="1">ROUND(IF(M12="押一",J8/12*M13,IF(M12="押二",J8/12*2*M13,IF(M12="押三",J8/12*3*M13,J13*M13))),0)</f>
        <v>0</v>
      </c>
      <c r="K12" s="747" t="s">
        <v>1829</v>
      </c>
      <c r="L12" s="748" t="s">
        <v>1830</v>
      </c>
      <c r="M12" s="749"/>
    </row>
    <row r="13" spans="1:25" ht="18" customHeight="1">
      <c r="A13" s="751"/>
      <c r="B13" s="752" t="s">
        <v>1831</v>
      </c>
      <c r="C13" s="753"/>
      <c r="D13" s="740"/>
      <c r="E13" s="748" t="s">
        <v>635</v>
      </c>
      <c r="F13" s="754">
        <f ca="1">'数据-取费表'!B39</f>
        <v>1.4999999999999999E-2</v>
      </c>
      <c r="G13" s="725"/>
      <c r="H13" s="755"/>
      <c r="I13" s="752" t="s">
        <v>1831</v>
      </c>
      <c r="J13" s="753"/>
      <c r="K13" s="858"/>
      <c r="L13" s="748" t="s">
        <v>635</v>
      </c>
      <c r="M13" s="859">
        <f ca="1">'数据-取费表'!B39</f>
        <v>1.4999999999999999E-2</v>
      </c>
    </row>
    <row r="14" spans="1:25" ht="18" customHeight="1">
      <c r="A14" s="756" t="s">
        <v>1013</v>
      </c>
      <c r="B14" s="757" t="s">
        <v>1832</v>
      </c>
      <c r="C14" s="758"/>
      <c r="D14" s="759"/>
      <c r="E14" s="760"/>
      <c r="F14" s="761"/>
      <c r="G14" s="725"/>
      <c r="H14" s="762" t="s">
        <v>1013</v>
      </c>
      <c r="I14" s="860" t="s">
        <v>1832</v>
      </c>
      <c r="J14" s="861"/>
      <c r="K14" s="759"/>
      <c r="L14" s="760"/>
      <c r="M14" s="862"/>
    </row>
    <row r="15" spans="1:25" ht="18" customHeight="1">
      <c r="A15" s="763" t="s">
        <v>859</v>
      </c>
      <c r="B15" s="764" t="s">
        <v>1833</v>
      </c>
      <c r="C15" s="765">
        <f ca="1">ROUND(C31*F15,0)</f>
        <v>0</v>
      </c>
      <c r="D15" s="766" t="s">
        <v>1834</v>
      </c>
      <c r="E15" s="788" t="s">
        <v>1835</v>
      </c>
      <c r="F15" s="846">
        <f ca="1">INDIRECT("'数据-取费表'!y"&amp;$G$1)</f>
        <v>0</v>
      </c>
      <c r="G15" s="725"/>
      <c r="H15" s="763" t="s">
        <v>859</v>
      </c>
      <c r="I15" s="764" t="s">
        <v>1836</v>
      </c>
      <c r="J15" s="863">
        <f ca="1">ROUND(J16*J17,0)</f>
        <v>0</v>
      </c>
      <c r="K15" s="797" t="s">
        <v>1834</v>
      </c>
      <c r="L15" s="866"/>
      <c r="M15" s="867"/>
    </row>
    <row r="16" spans="1:25" ht="18" customHeight="1">
      <c r="A16" s="1210" t="s">
        <v>877</v>
      </c>
      <c r="B16" s="735" t="s">
        <v>1020</v>
      </c>
      <c r="C16" s="769">
        <f ca="1">INDIRECT("'数据-取费表'!m"&amp;$G$1)+INDIRECT("'数据-取费表'!t"&amp;$G$1)</f>
        <v>381</v>
      </c>
      <c r="D16" s="770" t="s">
        <v>1837</v>
      </c>
      <c r="E16" s="771"/>
      <c r="F16" s="772"/>
      <c r="G16" s="725"/>
      <c r="H16" s="1210" t="s">
        <v>853</v>
      </c>
      <c r="I16" s="849" t="s">
        <v>1838</v>
      </c>
      <c r="J16" s="121">
        <f ca="1">C31</f>
        <v>495</v>
      </c>
      <c r="K16" s="850"/>
      <c r="L16" s="866"/>
      <c r="M16" s="867"/>
    </row>
    <row r="17" spans="1:25" s="701" customFormat="1" ht="18" customHeight="1">
      <c r="A17" s="1210" t="s">
        <v>1021</v>
      </c>
      <c r="B17" s="735" t="s">
        <v>1022</v>
      </c>
      <c r="C17" s="121">
        <f ca="1">ROUND(C16*F17,0)</f>
        <v>11</v>
      </c>
      <c r="D17" s="774" t="s">
        <v>1839</v>
      </c>
      <c r="E17" s="774" t="s">
        <v>1840</v>
      </c>
      <c r="F17" s="775">
        <f>'数据-取费表'!B33</f>
        <v>0.03</v>
      </c>
      <c r="G17" s="776"/>
      <c r="H17" s="1210" t="s">
        <v>855</v>
      </c>
      <c r="I17" s="735" t="s">
        <v>1835</v>
      </c>
      <c r="J17" s="1243">
        <f ca="1">INDIRECT("'数据-取费表'!ad"&amp;$G$1)</f>
        <v>0</v>
      </c>
      <c r="K17" s="850"/>
      <c r="L17" s="866"/>
      <c r="M17" s="867"/>
      <c r="N17" s="872"/>
      <c r="O17" s="872"/>
      <c r="P17" s="872"/>
      <c r="Q17" s="872"/>
      <c r="R17" s="872"/>
      <c r="S17" s="872"/>
      <c r="T17" s="872"/>
      <c r="U17" s="872"/>
      <c r="V17" s="872"/>
      <c r="W17" s="872"/>
      <c r="X17" s="872"/>
      <c r="Y17" s="872"/>
    </row>
    <row r="18" spans="1:25" ht="18" customHeight="1">
      <c r="A18" s="1210" t="s">
        <v>1024</v>
      </c>
      <c r="B18" s="735" t="s">
        <v>1025</v>
      </c>
      <c r="C18" s="121">
        <f ca="1">ROUND(INDIRECT("'数据-取费表'!m"&amp;$G$1)*F18,0)</f>
        <v>0</v>
      </c>
      <c r="D18" s="735" t="s">
        <v>1839</v>
      </c>
      <c r="E18" s="735" t="s">
        <v>1840</v>
      </c>
      <c r="F18" s="777">
        <f ca="1">IF(INDIRECT("'数据-取费表'!c"&amp;$G$1)="住宅",'数据-取费表'!B34,0)</f>
        <v>0</v>
      </c>
      <c r="G18" s="725"/>
      <c r="H18" s="847" t="s">
        <v>864</v>
      </c>
      <c r="I18" s="848" t="s">
        <v>1841</v>
      </c>
      <c r="J18" s="120">
        <f ca="1">ROUND(J19+J24+J25+J26,0)</f>
        <v>5</v>
      </c>
      <c r="K18" s="850" t="s">
        <v>1842</v>
      </c>
      <c r="L18" s="123"/>
      <c r="M18" s="778"/>
    </row>
    <row r="19" spans="1:25" s="701" customFormat="1" ht="18" customHeight="1">
      <c r="A19" s="1210" t="s">
        <v>1027</v>
      </c>
      <c r="B19" s="735" t="s">
        <v>1843</v>
      </c>
      <c r="C19" s="121">
        <f ca="1">ROUND(F19*(INDIRECT("'数据-取费表'!k"&amp;$G$1)+INDIRECT("'数据-取费表'!S"&amp;$G$1))/10000,0)</f>
        <v>35</v>
      </c>
      <c r="D19" s="735" t="s">
        <v>1844</v>
      </c>
      <c r="E19" s="735" t="s">
        <v>1845</v>
      </c>
      <c r="F19" s="778">
        <f>'数据-取费表'!B35</f>
        <v>200</v>
      </c>
      <c r="G19" s="776"/>
      <c r="H19" s="1210" t="s">
        <v>853</v>
      </c>
      <c r="I19" s="735" t="s">
        <v>1846</v>
      </c>
      <c r="J19" s="121">
        <f ca="1">ROUND(IF(项目基本情况!B11="自然人",J7*M19,J20+J21+J22),0)</f>
        <v>5</v>
      </c>
      <c r="K19" s="770" t="s">
        <v>1847</v>
      </c>
      <c r="L19" s="801" t="s">
        <v>1848</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10" t="s">
        <v>1029</v>
      </c>
      <c r="B20" s="735" t="s">
        <v>1030</v>
      </c>
      <c r="C20" s="121">
        <f ca="1">ROUND(C16*F20,0)</f>
        <v>6</v>
      </c>
      <c r="D20" s="735" t="s">
        <v>1839</v>
      </c>
      <c r="E20" s="735" t="s">
        <v>1840</v>
      </c>
      <c r="F20" s="777">
        <f>'数据-取费表'!B36</f>
        <v>1.4999999999999999E-2</v>
      </c>
      <c r="G20" s="776"/>
      <c r="H20" s="1210" t="s">
        <v>877</v>
      </c>
      <c r="I20" s="735" t="s">
        <v>1849</v>
      </c>
      <c r="J20" s="121">
        <f ca="1">ROUND(J7*M20/1.05,1)</f>
        <v>0</v>
      </c>
      <c r="K20" s="801" t="s">
        <v>1850</v>
      </c>
      <c r="L20" s="735" t="s">
        <v>1840</v>
      </c>
      <c r="M20" s="777">
        <f>'数据-取费表'!B41</f>
        <v>5.6300000000000003E-2</v>
      </c>
      <c r="N20" s="872"/>
      <c r="O20" s="872"/>
      <c r="P20" s="872"/>
      <c r="Q20" s="872"/>
      <c r="R20" s="872"/>
      <c r="S20" s="872"/>
      <c r="T20" s="872"/>
      <c r="U20" s="872"/>
      <c r="V20" s="872"/>
      <c r="W20" s="872"/>
      <c r="X20" s="872"/>
      <c r="Y20" s="872"/>
    </row>
    <row r="21" spans="1:25" ht="18" customHeight="1">
      <c r="A21" s="1210" t="s">
        <v>853</v>
      </c>
      <c r="B21" s="735" t="s">
        <v>1851</v>
      </c>
      <c r="C21" s="121">
        <f ca="1">SUM(C16:C20)</f>
        <v>433</v>
      </c>
      <c r="D21" s="779" t="s">
        <v>1852</v>
      </c>
      <c r="E21" s="123"/>
      <c r="F21" s="778"/>
      <c r="G21" s="725"/>
      <c r="H21" s="732" t="s">
        <v>1021</v>
      </c>
      <c r="I21" s="735" t="s">
        <v>1853</v>
      </c>
      <c r="J21" s="121">
        <f ca="1">IF(K21="按租金收入计税",ROUND(J7*M21,1),ROUND(C31*F35*0.7,1))</f>
        <v>4.2</v>
      </c>
      <c r="K21" s="804" t="s">
        <v>1854</v>
      </c>
      <c r="L21" s="735" t="s">
        <v>1840</v>
      </c>
      <c r="M21" s="777">
        <f>IF(K21="按租金收入计税",'数据-取费表'!B51,'数据-取费表'!B50)</f>
        <v>1.2E-2</v>
      </c>
    </row>
    <row r="22" spans="1:25" s="701" customFormat="1" ht="18" customHeight="1">
      <c r="A22" s="1210" t="s">
        <v>1855</v>
      </c>
      <c r="B22" s="735" t="s">
        <v>1856</v>
      </c>
      <c r="C22" s="121">
        <f ca="1">ROUND(C21*F22,0)</f>
        <v>9</v>
      </c>
      <c r="D22" s="780" t="s">
        <v>1857</v>
      </c>
      <c r="E22" s="735" t="s">
        <v>1840</v>
      </c>
      <c r="F22" s="777">
        <f>'数据-取费表'!B37</f>
        <v>0.02</v>
      </c>
      <c r="G22" s="776"/>
      <c r="H22" s="1211" t="s">
        <v>1024</v>
      </c>
      <c r="I22" s="1206" t="s">
        <v>1858</v>
      </c>
      <c r="J22" s="807">
        <f ca="1">ROUND(M22*M23/10000,0)</f>
        <v>1</v>
      </c>
      <c r="K22" s="808" t="s">
        <v>1859</v>
      </c>
      <c r="L22" s="735" t="s">
        <v>1860</v>
      </c>
      <c r="M22" s="785">
        <f>'数据-取费表'!B52</f>
        <v>8</v>
      </c>
      <c r="N22" s="872"/>
      <c r="O22" s="872"/>
      <c r="P22" s="872"/>
      <c r="Q22" s="872"/>
      <c r="R22" s="872"/>
      <c r="S22" s="872"/>
      <c r="T22" s="872"/>
      <c r="U22" s="872"/>
      <c r="V22" s="872"/>
      <c r="W22" s="872"/>
      <c r="X22" s="872"/>
      <c r="Y22" s="872"/>
    </row>
    <row r="23" spans="1:25" s="701" customFormat="1" ht="18" customHeight="1">
      <c r="A23" s="1210" t="s">
        <v>1861</v>
      </c>
      <c r="B23" s="735" t="s">
        <v>1862</v>
      </c>
      <c r="C23" s="121" t="s">
        <v>138</v>
      </c>
      <c r="D23" s="780" t="s">
        <v>1863</v>
      </c>
      <c r="E23" s="735" t="s">
        <v>1864</v>
      </c>
      <c r="F23" s="777">
        <f>'数据-取费表'!B38</f>
        <v>0.01</v>
      </c>
      <c r="G23" s="776"/>
      <c r="H23" s="1212"/>
      <c r="I23" s="1244"/>
      <c r="J23" s="811"/>
      <c r="K23" s="812"/>
      <c r="L23" s="735" t="s">
        <v>1865</v>
      </c>
      <c r="M23" s="736">
        <f ca="1">INDIRECT("'数据-取费表'!r"&amp;$G$1)</f>
        <v>1014.37</v>
      </c>
      <c r="N23" s="872"/>
      <c r="O23" s="872"/>
      <c r="P23" s="872"/>
      <c r="Q23" s="872"/>
      <c r="R23" s="872"/>
      <c r="S23" s="872"/>
      <c r="T23" s="872"/>
      <c r="U23" s="872"/>
      <c r="V23" s="872"/>
      <c r="W23" s="872"/>
      <c r="X23" s="872"/>
      <c r="Y23" s="872"/>
    </row>
    <row r="24" spans="1:25" ht="18" customHeight="1">
      <c r="A24" s="1210" t="s">
        <v>1866</v>
      </c>
      <c r="B24" s="735" t="s">
        <v>1867</v>
      </c>
      <c r="C24" s="121"/>
      <c r="D24" s="783" t="str">
        <f>IF(F25&lt;=1,"单利计息。","复利计息。")&amp;"建造成本、管理费用、销售费用产生的利息。"</f>
        <v>复利计息。建造成本、管理费用、销售费用产生的利息。</v>
      </c>
      <c r="E24" s="123"/>
      <c r="F24" s="778"/>
      <c r="G24" s="725"/>
      <c r="H24" s="1213" t="s">
        <v>855</v>
      </c>
      <c r="I24" s="735" t="s">
        <v>1868</v>
      </c>
      <c r="J24" s="121">
        <f ca="1">ROUND(J16*M24,0)</f>
        <v>0</v>
      </c>
      <c r="K24" s="801" t="s">
        <v>1869</v>
      </c>
      <c r="L24" s="735" t="s">
        <v>1840</v>
      </c>
      <c r="M24" s="813">
        <f ca="1">INDIRECT("'数据-取费表'!Ak"&amp;$G$1)</f>
        <v>0</v>
      </c>
    </row>
    <row r="25" spans="1:25" s="701" customFormat="1" ht="18" customHeight="1">
      <c r="A25" s="1210" t="s">
        <v>877</v>
      </c>
      <c r="B25" s="735" t="s">
        <v>1870</v>
      </c>
      <c r="C25" s="121">
        <f ca="1">ROUND(IF('数据-取费表'!B22&lt;=1,(C21+C22)*F26*F25/2,(C21+C22)*(POWER((1+F26),F25/2)-1)),0)</f>
        <v>21</v>
      </c>
      <c r="D25" s="784" t="str">
        <f>IF(F25&lt;=1,"(建造成本+管理费用)×利率×(建设周期÷2)","(建造成本+管理费用)×((1+利率)^(建设周期÷2)-1)")</f>
        <v>(建造成本+管理费用)×((1+利率)^(建设周期÷2)-1)</v>
      </c>
      <c r="E25" s="735" t="s">
        <v>1871</v>
      </c>
      <c r="F25" s="785">
        <f>'数据-取费表'!B20</f>
        <v>2</v>
      </c>
      <c r="G25" s="776"/>
      <c r="H25" s="1210" t="s">
        <v>1861</v>
      </c>
      <c r="I25" s="735" t="s">
        <v>1872</v>
      </c>
      <c r="J25" s="121">
        <f ca="1">ROUND(J15*M25,0)</f>
        <v>0</v>
      </c>
      <c r="K25" s="801" t="s">
        <v>1873</v>
      </c>
      <c r="L25" s="735" t="s">
        <v>1840</v>
      </c>
      <c r="M25" s="814">
        <f ca="1">INDIRECT("'数据-取费表'!Al"&amp;$G$1)</f>
        <v>0</v>
      </c>
      <c r="N25" s="872"/>
      <c r="O25" s="872"/>
      <c r="P25" s="872"/>
      <c r="Q25" s="872"/>
      <c r="R25" s="872"/>
      <c r="S25" s="872"/>
      <c r="T25" s="872"/>
      <c r="U25" s="872"/>
      <c r="V25" s="872"/>
      <c r="W25" s="872"/>
      <c r="X25" s="872"/>
      <c r="Y25" s="872"/>
    </row>
    <row r="26" spans="1:25" s="701" customFormat="1" ht="18" customHeight="1">
      <c r="A26" s="1210" t="s">
        <v>1021</v>
      </c>
      <c r="B26" s="735" t="s">
        <v>1874</v>
      </c>
      <c r="C26" s="121">
        <f ca="1">ROUND(IF('数据-取费表'!B22&lt;=1,F23*F26*F25/2,F23*(POWER((1+F26),F25/2)-1)),4)</f>
        <v>5.0000000000000001E-4</v>
      </c>
      <c r="D26" s="784" t="str">
        <f>IF(F25&lt;=1,"销售费用×利率×(建设周期÷2)","销售费用×((1+利率)^(建设周期÷2)-1)")</f>
        <v>销售费用×((1+利率)^(建设周期÷2)-1)</v>
      </c>
      <c r="E26" s="735" t="s">
        <v>1875</v>
      </c>
      <c r="F26" s="786">
        <f ca="1">'数据-取费表'!B40</f>
        <v>4.7500000000000001E-2</v>
      </c>
      <c r="G26" s="776"/>
      <c r="H26" s="1210" t="s">
        <v>1866</v>
      </c>
      <c r="I26" s="735" t="s">
        <v>1856</v>
      </c>
      <c r="J26" s="121">
        <f ca="1">ROUND(J7*M26,0)</f>
        <v>0</v>
      </c>
      <c r="K26" s="801" t="s">
        <v>1876</v>
      </c>
      <c r="L26" s="735" t="s">
        <v>1840</v>
      </c>
      <c r="M26" s="744">
        <f ca="1">INDIRECT("'数据-取费表'!Am"&amp;$G$1)</f>
        <v>0</v>
      </c>
      <c r="N26" s="872"/>
      <c r="O26" s="872"/>
      <c r="P26" s="872"/>
      <c r="Q26" s="872"/>
      <c r="R26" s="872"/>
      <c r="S26" s="872"/>
      <c r="T26" s="872"/>
      <c r="U26" s="872"/>
      <c r="V26" s="872"/>
      <c r="W26" s="872"/>
      <c r="X26" s="872"/>
      <c r="Y26" s="872"/>
    </row>
    <row r="27" spans="1:25" ht="18" customHeight="1">
      <c r="A27" s="1210" t="s">
        <v>1877</v>
      </c>
      <c r="B27" s="735" t="s">
        <v>1878</v>
      </c>
      <c r="C27" s="121"/>
      <c r="D27" s="779" t="s">
        <v>1879</v>
      </c>
      <c r="E27" s="123"/>
      <c r="F27" s="778"/>
      <c r="G27" s="725"/>
      <c r="H27" s="847" t="s">
        <v>867</v>
      </c>
      <c r="I27" s="956" t="s">
        <v>1880</v>
      </c>
      <c r="J27" s="120">
        <f ca="1">J7-J18</f>
        <v>-5</v>
      </c>
      <c r="K27" s="770" t="s">
        <v>1881</v>
      </c>
      <c r="L27" s="957"/>
      <c r="M27" s="958"/>
    </row>
    <row r="28" spans="1:25" ht="18" customHeight="1">
      <c r="A28" s="1210" t="s">
        <v>877</v>
      </c>
      <c r="B28" s="735" t="s">
        <v>1882</v>
      </c>
      <c r="C28" s="121">
        <f ca="1">ROUND((C21+C22)*F28,0)</f>
        <v>0</v>
      </c>
      <c r="D28" s="780" t="s">
        <v>1883</v>
      </c>
      <c r="E28" s="788" t="s">
        <v>1884</v>
      </c>
      <c r="F28" s="744">
        <f ca="1">INDIRECT("'数据-取费表'!q"&amp;$G$1)</f>
        <v>0</v>
      </c>
      <c r="G28" s="725"/>
      <c r="H28" s="726" t="s">
        <v>893</v>
      </c>
      <c r="I28" s="727" t="s">
        <v>1885</v>
      </c>
      <c r="J28" s="733">
        <f ca="1">IF(J7&lt;&gt;0,ROUND(J27*(1-((1+M30)/(1+M28))^M29)/(M28-M30),0),0)</f>
        <v>0</v>
      </c>
      <c r="K28" s="808" t="s">
        <v>1886</v>
      </c>
      <c r="L28" s="735" t="s">
        <v>1887</v>
      </c>
      <c r="M28" s="744">
        <f ca="1">INDIRECT("'数据-取费表'!I"&amp;$G$1)</f>
        <v>5.5E-2</v>
      </c>
    </row>
    <row r="29" spans="1:25" ht="18" customHeight="1">
      <c r="A29" s="1210" t="s">
        <v>1021</v>
      </c>
      <c r="B29" s="735" t="s">
        <v>1888</v>
      </c>
      <c r="C29" s="121">
        <f ca="1">ROUND(F23*F28,4)</f>
        <v>0</v>
      </c>
      <c r="D29" s="780" t="s">
        <v>1889</v>
      </c>
      <c r="E29" s="774"/>
      <c r="F29" s="775"/>
      <c r="G29" s="725"/>
      <c r="H29" s="743"/>
      <c r="I29" s="820"/>
      <c r="J29" s="739"/>
      <c r="K29" s="821" t="s">
        <v>1890</v>
      </c>
      <c r="L29" s="735" t="s">
        <v>1891</v>
      </c>
      <c r="M29" s="822">
        <f ca="1">INDIRECT("'数据-取费表'!ag"&amp;$G$1)</f>
        <v>0</v>
      </c>
    </row>
    <row r="30" spans="1:25" s="701" customFormat="1" ht="18" customHeight="1">
      <c r="A30" s="1210" t="s">
        <v>1892</v>
      </c>
      <c r="B30" s="735" t="s">
        <v>1893</v>
      </c>
      <c r="C30" s="121">
        <f>ROUND(F30/(1+'数据-取费表'!C42),4)</f>
        <v>5.3600000000000002E-2</v>
      </c>
      <c r="D30" s="780" t="s">
        <v>1894</v>
      </c>
      <c r="E30" s="735" t="s">
        <v>1840</v>
      </c>
      <c r="F30" s="777">
        <f>'数据-取费表'!B41</f>
        <v>5.6300000000000003E-2</v>
      </c>
      <c r="G30" s="776"/>
      <c r="H30" s="751"/>
      <c r="I30" s="824"/>
      <c r="J30" s="765"/>
      <c r="K30" s="812"/>
      <c r="L30" s="735" t="s">
        <v>1895</v>
      </c>
      <c r="M30" s="744">
        <f ca="1">INDIRECT("'数据-取费表'!aa"&amp;$G$1)</f>
        <v>0</v>
      </c>
      <c r="N30" s="872"/>
      <c r="O30" s="872"/>
      <c r="P30" s="872"/>
      <c r="Q30" s="872"/>
      <c r="R30" s="872"/>
      <c r="S30" s="872"/>
      <c r="T30" s="872"/>
      <c r="U30" s="872"/>
      <c r="V30" s="872"/>
      <c r="W30" s="872"/>
      <c r="X30" s="872"/>
      <c r="Y30" s="872"/>
    </row>
    <row r="31" spans="1:25" s="701" customFormat="1" ht="18" customHeight="1">
      <c r="A31" s="1214" t="s">
        <v>1896</v>
      </c>
      <c r="B31" s="760" t="s">
        <v>1897</v>
      </c>
      <c r="C31" s="792">
        <f ca="1">ROUND((C21+C22+C25+C28)/(1-F23-C26-C29-C30),0)</f>
        <v>495</v>
      </c>
      <c r="D31" s="793"/>
      <c r="E31" s="794"/>
      <c r="F31" s="795"/>
      <c r="G31" s="776"/>
      <c r="H31" s="796" t="s">
        <v>1204</v>
      </c>
      <c r="I31" s="1245" t="s">
        <v>1898</v>
      </c>
      <c r="J31" s="826">
        <f ca="1">ROUND(J28/(1+F45)^F46,0)</f>
        <v>0</v>
      </c>
      <c r="K31" s="827" t="s">
        <v>1899</v>
      </c>
      <c r="L31" s="828"/>
      <c r="M31" s="829">
        <f ca="1">INDIRECT("'数据-取费表'!k"&amp;$G$1)</f>
        <v>1733.03</v>
      </c>
      <c r="N31" s="872"/>
      <c r="O31" s="872"/>
      <c r="P31" s="872"/>
      <c r="Q31" s="872"/>
      <c r="R31" s="872"/>
      <c r="S31" s="872"/>
      <c r="T31" s="872"/>
      <c r="U31" s="872"/>
      <c r="V31" s="872"/>
      <c r="W31" s="872"/>
      <c r="X31" s="872"/>
      <c r="Y31" s="872"/>
    </row>
    <row r="32" spans="1:25" ht="18" customHeight="1">
      <c r="A32" s="763" t="s">
        <v>1900</v>
      </c>
      <c r="B32" s="764" t="s">
        <v>1901</v>
      </c>
      <c r="C32" s="765">
        <f ca="1">ROUND(C33+C38+C39+C40,0)</f>
        <v>5</v>
      </c>
      <c r="D32" s="797" t="s">
        <v>1842</v>
      </c>
      <c r="E32" s="798"/>
      <c r="F32" s="731"/>
      <c r="G32" s="799"/>
      <c r="H32" s="800"/>
      <c r="I32" s="873"/>
      <c r="J32" s="874"/>
      <c r="K32" s="875"/>
      <c r="L32" s="876"/>
      <c r="M32" s="877"/>
    </row>
    <row r="33" spans="1:18" ht="18" customHeight="1">
      <c r="A33" s="1210" t="s">
        <v>853</v>
      </c>
      <c r="B33" s="735" t="s">
        <v>1846</v>
      </c>
      <c r="C33" s="121">
        <f ca="1">ROUND(IF(项目基本情况!B11="自然人",C7*F33,C34+C35+C36),1)</f>
        <v>5</v>
      </c>
      <c r="D33" s="770" t="s">
        <v>1847</v>
      </c>
      <c r="E33" s="801" t="s">
        <v>1848</v>
      </c>
      <c r="F33" s="802" t="str">
        <f ca="1">IF(项目基本情况!B11="企业","",IF(INDIRECT("'数据-取费表'!c"&amp;$G$1)="住宅",5%,IF(F8*F9*F10/12/(1+'数据-取费表'!C42)&gt;20000,12%,7%)))</f>
        <v/>
      </c>
      <c r="G33" s="799"/>
      <c r="H33" s="800"/>
      <c r="I33" s="873"/>
      <c r="J33" s="874"/>
      <c r="K33" s="875"/>
      <c r="L33" s="876"/>
      <c r="M33" s="877"/>
    </row>
    <row r="34" spans="1:18" ht="18" customHeight="1">
      <c r="A34" s="1210" t="s">
        <v>877</v>
      </c>
      <c r="B34" s="735" t="s">
        <v>1849</v>
      </c>
      <c r="C34" s="121">
        <f ca="1">ROUND(C7*F34/1.05,1)</f>
        <v>0</v>
      </c>
      <c r="D34" s="801" t="s">
        <v>1850</v>
      </c>
      <c r="E34" s="735" t="s">
        <v>1840</v>
      </c>
      <c r="F34" s="777">
        <f>'数据-取费表'!B41</f>
        <v>5.6300000000000003E-2</v>
      </c>
      <c r="G34" s="799"/>
      <c r="H34" s="803"/>
      <c r="I34" s="878"/>
      <c r="J34" s="879"/>
      <c r="K34" s="880"/>
      <c r="L34" s="881"/>
      <c r="M34" s="882"/>
    </row>
    <row r="35" spans="1:18" ht="18" customHeight="1">
      <c r="A35" s="1210" t="s">
        <v>1021</v>
      </c>
      <c r="B35" s="735" t="s">
        <v>1853</v>
      </c>
      <c r="C35" s="121">
        <f ca="1">IF(D35="按租金收入计税",ROUND(C7*F35,1),IF(D35="按房产原值计税",ROUND(C31*F35*0.7,1),INDIRECT("'数据-取费表'!Aj"&amp;$G$1)))</f>
        <v>4.2</v>
      </c>
      <c r="D35" s="804" t="s">
        <v>1902</v>
      </c>
      <c r="E35" s="735" t="s">
        <v>1840</v>
      </c>
      <c r="F35" s="777">
        <f>IF(D35="按租金收入计税",'数据-取费表'!B51,'数据-取费表'!B50)</f>
        <v>1.2E-2</v>
      </c>
      <c r="G35" s="799"/>
      <c r="H35" s="805"/>
      <c r="I35" s="805"/>
      <c r="J35" s="805"/>
      <c r="K35" s="883"/>
      <c r="L35" s="805"/>
      <c r="M35" s="805"/>
    </row>
    <row r="36" spans="1:18" ht="18" customHeight="1">
      <c r="A36" s="1215" t="s">
        <v>885</v>
      </c>
      <c r="B36" s="806" t="s">
        <v>1858</v>
      </c>
      <c r="C36" s="807">
        <f ca="1">ROUND(F36*F37/10000,1)</f>
        <v>0.8</v>
      </c>
      <c r="D36" s="808" t="s">
        <v>1859</v>
      </c>
      <c r="E36" s="735" t="s">
        <v>1860</v>
      </c>
      <c r="F36" s="785">
        <f>'数据-取费表'!B52</f>
        <v>8</v>
      </c>
      <c r="G36" s="799"/>
      <c r="H36" s="800"/>
      <c r="I36" s="3397"/>
      <c r="J36" s="887"/>
      <c r="K36" s="886"/>
      <c r="L36" s="887"/>
      <c r="M36" s="887"/>
    </row>
    <row r="37" spans="1:18" ht="18" customHeight="1">
      <c r="A37" s="809"/>
      <c r="B37" s="810"/>
      <c r="C37" s="811"/>
      <c r="D37" s="812"/>
      <c r="E37" s="735" t="s">
        <v>1865</v>
      </c>
      <c r="F37" s="736">
        <f ca="1">INDIRECT("'数据-取费表'!r"&amp;$G$1)</f>
        <v>1014.37</v>
      </c>
      <c r="G37" s="799"/>
      <c r="H37" s="800"/>
      <c r="I37" s="3397"/>
      <c r="J37" s="805"/>
      <c r="K37" s="883"/>
      <c r="L37" s="805"/>
      <c r="M37" s="805"/>
    </row>
    <row r="38" spans="1:18" ht="18" customHeight="1">
      <c r="A38" s="1210" t="s">
        <v>1855</v>
      </c>
      <c r="B38" s="735" t="s">
        <v>1868</v>
      </c>
      <c r="C38" s="121">
        <f ca="1">ROUND(C31*F38,1)</f>
        <v>0</v>
      </c>
      <c r="D38" s="801" t="s">
        <v>1903</v>
      </c>
      <c r="E38" s="735" t="s">
        <v>1840</v>
      </c>
      <c r="F38" s="813">
        <f ca="1">INDIRECT("'数据-取费表'!Ak"&amp;$G$1)</f>
        <v>0</v>
      </c>
      <c r="G38" s="799"/>
      <c r="H38" s="805"/>
      <c r="I38" s="1246"/>
      <c r="J38" s="823"/>
      <c r="K38" s="892"/>
      <c r="L38" s="805"/>
      <c r="M38" s="805"/>
    </row>
    <row r="39" spans="1:18" ht="18" customHeight="1">
      <c r="A39" s="1210" t="s">
        <v>1861</v>
      </c>
      <c r="B39" s="735" t="s">
        <v>1872</v>
      </c>
      <c r="C39" s="121">
        <f ca="1">ROUND(C15*F39,1)</f>
        <v>0</v>
      </c>
      <c r="D39" s="801" t="s">
        <v>1873</v>
      </c>
      <c r="E39" s="735" t="s">
        <v>1840</v>
      </c>
      <c r="F39" s="814">
        <f ca="1">INDIRECT("'数据-取费表'!Al"&amp;$G$1)</f>
        <v>0</v>
      </c>
      <c r="G39" s="799"/>
      <c r="H39" s="805"/>
      <c r="I39" s="1246"/>
      <c r="J39" s="823"/>
      <c r="K39" s="892"/>
      <c r="L39" s="805"/>
      <c r="M39" s="805"/>
    </row>
    <row r="40" spans="1:18" ht="18" customHeight="1">
      <c r="A40" s="1214" t="s">
        <v>1866</v>
      </c>
      <c r="B40" s="794" t="s">
        <v>1856</v>
      </c>
      <c r="C40" s="792">
        <f ca="1">ROUND(C7*F40,1)</f>
        <v>0</v>
      </c>
      <c r="D40" s="793" t="s">
        <v>1876</v>
      </c>
      <c r="E40" s="794" t="s">
        <v>1840</v>
      </c>
      <c r="F40" s="761">
        <f ca="1">INDIRECT("'数据-取费表'!Am"&amp;$G$1)</f>
        <v>0</v>
      </c>
      <c r="G40" s="799"/>
      <c r="H40" s="805"/>
      <c r="I40" s="1246"/>
      <c r="J40" s="823"/>
      <c r="K40" s="897"/>
      <c r="L40" s="805"/>
      <c r="M40" s="805"/>
    </row>
    <row r="41" spans="1:18" ht="18" customHeight="1">
      <c r="A41" s="763">
        <v>4</v>
      </c>
      <c r="B41" s="764" t="s">
        <v>1904</v>
      </c>
      <c r="C41" s="1216"/>
      <c r="D41" s="1217"/>
      <c r="E41" s="1217"/>
      <c r="F41" s="1218"/>
      <c r="G41" s="799"/>
      <c r="H41" s="799"/>
      <c r="I41" s="799"/>
      <c r="J41" s="799"/>
      <c r="K41" s="897"/>
      <c r="L41" s="799"/>
      <c r="M41" s="799"/>
    </row>
    <row r="42" spans="1:18" ht="18" customHeight="1">
      <c r="A42" s="1210" t="s">
        <v>853</v>
      </c>
      <c r="B42" s="884" t="s">
        <v>1905</v>
      </c>
      <c r="C42" s="1219">
        <f ca="1">C7-C32</f>
        <v>-5</v>
      </c>
      <c r="D42" s="770" t="s">
        <v>1906</v>
      </c>
      <c r="E42" s="957"/>
      <c r="F42" s="958"/>
      <c r="G42" s="799"/>
      <c r="H42" s="799"/>
      <c r="I42" s="799"/>
      <c r="J42" s="799"/>
      <c r="K42" s="897"/>
      <c r="L42" s="799"/>
      <c r="M42" s="799"/>
    </row>
    <row r="43" spans="1:18" ht="18" customHeight="1">
      <c r="A43" s="1210" t="s">
        <v>1855</v>
      </c>
      <c r="B43" s="884" t="s">
        <v>1907</v>
      </c>
      <c r="C43" s="885">
        <f ca="1">ROUND(C15*F43,0)</f>
        <v>0</v>
      </c>
      <c r="D43" s="1220" t="s">
        <v>1908</v>
      </c>
      <c r="E43" s="1221" t="s">
        <v>1909</v>
      </c>
      <c r="F43" s="1222">
        <f ca="1">INDIRECT("'数据-取费表'!j"&amp;$G$1)</f>
        <v>0.08</v>
      </c>
      <c r="G43" s="799"/>
      <c r="H43" s="799"/>
      <c r="I43" s="799"/>
      <c r="J43" s="799"/>
      <c r="K43" s="897"/>
      <c r="L43" s="799"/>
      <c r="M43" s="799"/>
    </row>
    <row r="44" spans="1:18" ht="18" customHeight="1">
      <c r="A44" s="1210" t="s">
        <v>1861</v>
      </c>
      <c r="B44" s="884" t="s">
        <v>1910</v>
      </c>
      <c r="C44" s="1223">
        <f ca="1">C42-C43</f>
        <v>-5</v>
      </c>
      <c r="D44" s="1224" t="s">
        <v>1911</v>
      </c>
      <c r="E44" s="1225"/>
      <c r="F44" s="1226"/>
      <c r="G44" s="799"/>
      <c r="H44" s="799"/>
      <c r="I44" s="799"/>
      <c r="J44" s="799"/>
      <c r="K44" s="897"/>
      <c r="L44" s="799"/>
      <c r="M44" s="799"/>
    </row>
    <row r="45" spans="1:18" ht="18" customHeight="1">
      <c r="A45" s="1210" t="s">
        <v>1866</v>
      </c>
      <c r="B45" s="1220" t="s">
        <v>1912</v>
      </c>
      <c r="C45" s="1227">
        <f ca="1">ROUND(-PV(F45,F46,C44,0),0)</f>
        <v>0</v>
      </c>
      <c r="D45" s="1228" t="s">
        <v>1913</v>
      </c>
      <c r="E45" s="774" t="s">
        <v>1914</v>
      </c>
      <c r="F45" s="1229">
        <f ca="1">INDIRECT("'数据-取费表'!h"&amp;$G$1)</f>
        <v>0.05</v>
      </c>
      <c r="G45" s="799"/>
      <c r="H45" s="799"/>
      <c r="I45" s="799"/>
      <c r="J45" s="799"/>
      <c r="K45" s="897"/>
      <c r="L45" s="799"/>
      <c r="M45" s="799"/>
    </row>
    <row r="46" spans="1:18" ht="18" customHeight="1">
      <c r="A46" s="1230"/>
      <c r="B46" s="1231"/>
      <c r="C46" s="1232"/>
      <c r="D46" s="1233"/>
      <c r="E46" s="1234" t="s">
        <v>1915</v>
      </c>
      <c r="F46" s="829">
        <f ca="1">IF(INDIRECT("'数据-取费表'!af"&amp;$G$1)=0,INDIRECT("'数据-取费表'!ae"&amp;$G$1),INDIRECT("'数据-取费表'!af"&amp;$G$1))</f>
        <v>0</v>
      </c>
      <c r="G46" s="799"/>
      <c r="H46" s="799"/>
      <c r="I46" s="799"/>
      <c r="J46" s="799"/>
      <c r="K46" s="897"/>
      <c r="L46" s="799"/>
      <c r="M46" s="799"/>
    </row>
    <row r="47" spans="1:18" s="609" customFormat="1" ht="18" customHeight="1">
      <c r="A47" s="1235"/>
      <c r="D47" s="830"/>
      <c r="E47" s="830"/>
      <c r="F47" s="830"/>
      <c r="I47" s="903" t="s">
        <v>1916</v>
      </c>
      <c r="J47" s="904"/>
      <c r="K47" s="905"/>
      <c r="L47" s="906" t="e">
        <f ca="1">IF(M48="住宅",0,IF(L49&gt;J52,L61,J61))</f>
        <v>#DIV/0!</v>
      </c>
      <c r="O47" s="907" t="s">
        <v>1917</v>
      </c>
      <c r="P47" s="725"/>
      <c r="Q47" s="912"/>
      <c r="R47" s="725"/>
    </row>
    <row r="48" spans="1:18" s="609" customFormat="1" ht="18" customHeight="1">
      <c r="A48" s="1235"/>
      <c r="C48" s="1236"/>
      <c r="D48" s="1237"/>
      <c r="E48" s="1237"/>
      <c r="F48" s="1238"/>
      <c r="G48" s="842"/>
      <c r="I48" s="908" t="s">
        <v>1918</v>
      </c>
      <c r="J48" s="909"/>
      <c r="K48" s="910" t="s">
        <v>1919</v>
      </c>
      <c r="L48" s="911">
        <f ca="1">INDIRECT("'数据-取费表'!d"&amp;$G$1)</f>
        <v>40</v>
      </c>
      <c r="M48" s="1247" t="str">
        <f>IF(ISNUMBER(FIND("住宅",C1)),"住宅","非住宅")</f>
        <v>非住宅</v>
      </c>
      <c r="O48" s="913" t="s">
        <v>1322</v>
      </c>
      <c r="P48" s="914" t="s">
        <v>1920</v>
      </c>
      <c r="Q48" s="952" t="s">
        <v>1921</v>
      </c>
      <c r="R48" s="914" t="s">
        <v>1922</v>
      </c>
    </row>
    <row r="49" spans="1:18" s="609" customFormat="1" ht="18" customHeight="1">
      <c r="A49" s="1235"/>
      <c r="D49" s="1239"/>
      <c r="E49" s="1240"/>
      <c r="F49" s="1238"/>
      <c r="G49" s="842"/>
      <c r="H49" s="843"/>
      <c r="I49" s="915" t="s">
        <v>1923</v>
      </c>
      <c r="J49" s="916"/>
      <c r="K49" s="917" t="s">
        <v>1924</v>
      </c>
      <c r="L49" s="918">
        <f ca="1">INDIRECT("'数据-取费表'!f"&amp;$G$1)</f>
        <v>39.549999999999997</v>
      </c>
      <c r="O49" s="919" t="s">
        <v>1925</v>
      </c>
      <c r="P49" s="920" t="s">
        <v>1926</v>
      </c>
      <c r="Q49" s="953">
        <f ca="1">C41+J31</f>
        <v>0</v>
      </c>
      <c r="R49" s="920" t="s">
        <v>1927</v>
      </c>
    </row>
    <row r="50" spans="1:18" s="609" customFormat="1" ht="18" customHeight="1">
      <c r="A50" s="1235"/>
      <c r="D50" s="1241"/>
      <c r="E50" s="1241"/>
      <c r="F50" s="1237"/>
      <c r="G50" s="844"/>
      <c r="H50" s="843"/>
      <c r="I50" s="915" t="s">
        <v>1928</v>
      </c>
      <c r="J50" s="921"/>
      <c r="K50" s="922" t="s">
        <v>1929</v>
      </c>
      <c r="L50" s="923"/>
      <c r="O50" s="919" t="s">
        <v>1930</v>
      </c>
      <c r="P50" s="920" t="s">
        <v>1931</v>
      </c>
      <c r="Q50" s="953" t="str">
        <f ca="1">J61</f>
        <v>0</v>
      </c>
      <c r="R50" s="920" t="s">
        <v>1932</v>
      </c>
    </row>
    <row r="51" spans="1:18" s="609" customFormat="1" ht="18" customHeight="1">
      <c r="A51" s="1242"/>
      <c r="D51" s="1241"/>
      <c r="E51" s="1241"/>
      <c r="F51" s="830"/>
      <c r="H51" s="843"/>
      <c r="I51" s="915" t="s">
        <v>1933</v>
      </c>
      <c r="J51" s="924">
        <f>SUMPRODUCT((I64:I66=J48)*(J63:L63=J49)*(J64:L66))</f>
        <v>0</v>
      </c>
      <c r="K51" s="922" t="s">
        <v>1934</v>
      </c>
      <c r="L51" s="923"/>
      <c r="O51" s="925" t="s">
        <v>1935</v>
      </c>
      <c r="P51" s="920" t="s">
        <v>1936</v>
      </c>
      <c r="Q51" s="953">
        <f ca="1">C31</f>
        <v>495</v>
      </c>
      <c r="R51" s="920" t="s">
        <v>1927</v>
      </c>
    </row>
    <row r="52" spans="1:18" s="609" customFormat="1" ht="18" customHeight="1">
      <c r="A52" s="1242"/>
      <c r="F52" s="830"/>
      <c r="I52" s="926" t="s">
        <v>1937</v>
      </c>
      <c r="J52" s="927">
        <f>IF(J50="",J51,J50+J51-YEAR('数据-取费表'!B3))</f>
        <v>0</v>
      </c>
      <c r="K52" s="915" t="s">
        <v>1938</v>
      </c>
      <c r="L52" s="928">
        <f ca="1">ROUND(-PV(INDIRECT("'数据-取费表'!h"&amp;$G$1),L49,(C40-C14*J36),0),0)</f>
        <v>0</v>
      </c>
      <c r="O52" s="925" t="s">
        <v>1939</v>
      </c>
      <c r="P52" s="920" t="s">
        <v>1940</v>
      </c>
      <c r="Q52" s="954" t="e">
        <f ca="1">J59</f>
        <v>#VALUE!</v>
      </c>
      <c r="R52" s="955"/>
    </row>
    <row r="53" spans="1:18" s="609" customFormat="1" ht="18" customHeight="1">
      <c r="A53" s="1242"/>
      <c r="F53" s="830"/>
      <c r="I53" s="929" t="s">
        <v>1941</v>
      </c>
      <c r="J53" s="930"/>
      <c r="K53" s="929" t="s">
        <v>1185</v>
      </c>
      <c r="L53" s="930"/>
      <c r="O53" s="925" t="s">
        <v>1942</v>
      </c>
      <c r="P53" s="920" t="s">
        <v>1943</v>
      </c>
      <c r="Q53" s="954">
        <f>J53</f>
        <v>0</v>
      </c>
      <c r="R53" s="955"/>
    </row>
    <row r="54" spans="1:18" s="609" customFormat="1" ht="28.5">
      <c r="A54" s="1242"/>
      <c r="I54" s="931" t="s">
        <v>1944</v>
      </c>
      <c r="J54" s="932">
        <f ca="1">IF(M48="住宅",MAX(J52,L49-'数据-取费表'!B20),MIN(J52,L49-'数据-取费表'!B20))</f>
        <v>0</v>
      </c>
      <c r="K54" s="3391"/>
      <c r="L54" s="3392"/>
      <c r="O54" s="925" t="s">
        <v>1945</v>
      </c>
      <c r="P54" s="920" t="s">
        <v>1946</v>
      </c>
      <c r="Q54" s="953">
        <f ca="1">J54</f>
        <v>0</v>
      </c>
      <c r="R54" s="920" t="s">
        <v>1947</v>
      </c>
    </row>
    <row r="55" spans="1:18" s="609" customFormat="1" ht="18" customHeight="1">
      <c r="A55" s="1242"/>
      <c r="I55" s="12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8"/>
      <c r="K55" s="1249"/>
      <c r="O55" s="919" t="s">
        <v>1948</v>
      </c>
      <c r="P55" s="920" t="s">
        <v>1949</v>
      </c>
      <c r="Q55" s="953">
        <f ca="1">Q49+Q50</f>
        <v>0</v>
      </c>
      <c r="R55" s="955" t="s">
        <v>1950</v>
      </c>
    </row>
    <row r="56" spans="1:18" s="609" customFormat="1" ht="15.75">
      <c r="A56" s="1242"/>
      <c r="B56" s="705"/>
      <c r="C56" s="705"/>
      <c r="I56" s="933" t="s">
        <v>1951</v>
      </c>
      <c r="J56" s="934" t="e">
        <f ca="1">ROUND(IF(J48="钢混",J58/J51,1-(1-2%)*(J51-J58)/J51),3)</f>
        <v>#VALUE!</v>
      </c>
      <c r="K56" s="935" t="s">
        <v>1952</v>
      </c>
      <c r="L56" s="936"/>
      <c r="O56" s="937" t="s">
        <v>1953</v>
      </c>
      <c r="P56" s="725"/>
      <c r="Q56" s="912"/>
      <c r="R56" s="725"/>
    </row>
    <row r="57" spans="1:18" s="609" customFormat="1" ht="42.75">
      <c r="A57" s="1242"/>
      <c r="B57" s="705"/>
      <c r="C57" s="705"/>
      <c r="I57" s="938" t="s">
        <v>1954</v>
      </c>
      <c r="J57" s="939" t="s">
        <v>491</v>
      </c>
      <c r="K57" s="915" t="s">
        <v>1955</v>
      </c>
      <c r="L57" s="918">
        <f ca="1">IF(L49&lt;J52,"——",L49-J52)</f>
        <v>39.549999999999997</v>
      </c>
      <c r="O57" s="913" t="s">
        <v>1322</v>
      </c>
      <c r="P57" s="914" t="s">
        <v>1920</v>
      </c>
      <c r="Q57" s="952" t="s">
        <v>1921</v>
      </c>
      <c r="R57" s="914" t="s">
        <v>1922</v>
      </c>
    </row>
    <row r="58" spans="1:18" s="609" customFormat="1" ht="28.5">
      <c r="A58" s="1242"/>
      <c r="B58" s="705"/>
      <c r="C58" s="705"/>
      <c r="I58" s="940" t="s">
        <v>1956</v>
      </c>
      <c r="J58" s="941" t="str">
        <f ca="1">IF(OR(M48="住宅",J52&lt;L49,J57="是"),"——",J52-L49)</f>
        <v>——</v>
      </c>
      <c r="K58" s="915" t="s">
        <v>1957</v>
      </c>
      <c r="L58" s="918">
        <f ca="1">IF(L49&lt;J52,"——",IF(L56="比较法",L50,IF(L56="基准地价",L51,L52)))</f>
        <v>0</v>
      </c>
      <c r="O58" s="919" t="s">
        <v>1925</v>
      </c>
      <c r="P58" s="920" t="s">
        <v>1926</v>
      </c>
      <c r="Q58" s="953">
        <f ca="1">C41+J31</f>
        <v>0</v>
      </c>
      <c r="R58" s="920" t="s">
        <v>1927</v>
      </c>
    </row>
    <row r="59" spans="1:18" s="609" customFormat="1" ht="28.5">
      <c r="A59" s="1242"/>
      <c r="B59" s="705"/>
      <c r="C59" s="705"/>
      <c r="I59" s="940" t="s">
        <v>1958</v>
      </c>
      <c r="J59" s="942" t="e">
        <f ca="1">IF(J56&lt;0.4,0.4,J56)</f>
        <v>#VALUE!</v>
      </c>
      <c r="K59" s="915" t="s">
        <v>1959</v>
      </c>
      <c r="L59" s="918">
        <f ca="1">IF(ISERROR(POWER(1+L53,L48-L49)*(POWER(1+L53,L49)-1)/(POWER(1+L53,L48)-1)),0,POWER(1+L53,L48-L49)*(POWER(1+L53,L49)-1)/(POWER(1+L53,L48)-1))</f>
        <v>0</v>
      </c>
      <c r="O59" s="919" t="s">
        <v>1930</v>
      </c>
      <c r="P59" s="920" t="s">
        <v>1960</v>
      </c>
      <c r="Q59" s="953" t="e">
        <f ca="1">L61</f>
        <v>#DIV/0!</v>
      </c>
      <c r="R59" s="955" t="s">
        <v>1961</v>
      </c>
    </row>
    <row r="60" spans="1:18" s="609" customFormat="1" ht="28.5">
      <c r="A60" s="1242"/>
      <c r="B60" s="705"/>
      <c r="C60" s="705"/>
      <c r="I60" s="940" t="s">
        <v>1962</v>
      </c>
      <c r="J60" s="941" t="str">
        <f ca="1">IF(OR(M48="住宅",J52&lt;L49,J57="是"),"——",ROUND(C30*J59,0))</f>
        <v>——</v>
      </c>
      <c r="K60" s="915" t="s">
        <v>1963</v>
      </c>
      <c r="L60" s="918">
        <f ca="1">IF(ISERROR(POWER(1+L53,L48-J52)*(POWER(1+L53,J52)-1)/(POWER(1+L53,L48)-1)),0,POWER(1+L53,L48-J52)*(POWER(1+L53,J52)-1)/(POWER(1+L53,L48)-1))</f>
        <v>0</v>
      </c>
      <c r="O60" s="925" t="s">
        <v>1935</v>
      </c>
      <c r="P60" s="920" t="s">
        <v>1964</v>
      </c>
      <c r="Q60" s="953">
        <f>IF(L56="比较法",L50,IF(L56="基准地价",L51,0))</f>
        <v>0</v>
      </c>
      <c r="R60" s="920" t="s">
        <v>1927</v>
      </c>
    </row>
    <row r="61" spans="1:18" s="609" customFormat="1">
      <c r="A61" s="1242"/>
      <c r="B61" s="705"/>
      <c r="C61" s="705"/>
      <c r="I61" s="943" t="s">
        <v>1965</v>
      </c>
      <c r="J61" s="944" t="str">
        <f ca="1">IF(OR(M48="住宅",J52&lt;L49,J57="是"),"0",ROUND(J60/(1+J53)^J54,0))</f>
        <v>0</v>
      </c>
      <c r="K61" s="945" t="s">
        <v>1966</v>
      </c>
      <c r="L61" s="944" t="e">
        <f ca="1">IF(OR(M48="住宅",L49&lt;J52),0,ROUND(L58*(L59/L60-1),0))</f>
        <v>#DIV/0!</v>
      </c>
      <c r="O61" s="925" t="s">
        <v>1939</v>
      </c>
      <c r="P61" s="920" t="s">
        <v>1967</v>
      </c>
      <c r="Q61" s="954">
        <f>L53</f>
        <v>0</v>
      </c>
      <c r="R61" s="955"/>
    </row>
    <row r="62" spans="1:18" s="609" customFormat="1" ht="19.5">
      <c r="A62" s="1242"/>
      <c r="B62" s="705"/>
      <c r="C62" s="705"/>
      <c r="K62" s="902"/>
      <c r="O62" s="925" t="s">
        <v>1942</v>
      </c>
      <c r="P62" s="920" t="s">
        <v>1968</v>
      </c>
      <c r="Q62" s="953">
        <f ca="1">L59</f>
        <v>0</v>
      </c>
      <c r="R62" s="955" t="s">
        <v>1969</v>
      </c>
    </row>
    <row r="63" spans="1:18" s="609" customFormat="1" ht="19.5">
      <c r="A63" s="1242"/>
      <c r="B63" s="705"/>
      <c r="C63" s="705"/>
      <c r="I63" s="946" t="s">
        <v>1970</v>
      </c>
      <c r="J63" s="947" t="s">
        <v>1971</v>
      </c>
      <c r="K63" s="947" t="s">
        <v>1972</v>
      </c>
      <c r="L63" s="947" t="s">
        <v>1973</v>
      </c>
      <c r="M63" s="948" t="s">
        <v>1974</v>
      </c>
      <c r="O63" s="925" t="s">
        <v>1945</v>
      </c>
      <c r="P63" s="920" t="s">
        <v>1975</v>
      </c>
      <c r="Q63" s="953">
        <f ca="1">L60</f>
        <v>0</v>
      </c>
      <c r="R63" s="955" t="s">
        <v>1976</v>
      </c>
    </row>
    <row r="64" spans="1:18" s="609" customFormat="1">
      <c r="A64" s="1242"/>
      <c r="B64" s="705"/>
      <c r="C64" s="705"/>
      <c r="I64" s="946" t="s">
        <v>1977</v>
      </c>
      <c r="J64" s="947">
        <v>70</v>
      </c>
      <c r="K64" s="947">
        <v>50</v>
      </c>
      <c r="L64" s="947">
        <v>80</v>
      </c>
      <c r="M64" s="949">
        <v>0.02</v>
      </c>
      <c r="O64" s="919" t="s">
        <v>1948</v>
      </c>
      <c r="P64" s="920" t="s">
        <v>1949</v>
      </c>
      <c r="Q64" s="953" t="e">
        <f ca="1">Q58+Q59</f>
        <v>#DIV/0!</v>
      </c>
      <c r="R64" s="955" t="s">
        <v>1950</v>
      </c>
    </row>
    <row r="65" spans="1:18" s="609" customFormat="1" ht="15.75">
      <c r="A65" s="1242"/>
      <c r="B65" s="705"/>
      <c r="C65" s="705"/>
      <c r="I65" s="946" t="s">
        <v>1978</v>
      </c>
      <c r="J65" s="947">
        <v>50</v>
      </c>
      <c r="K65" s="947">
        <v>35</v>
      </c>
      <c r="L65" s="947">
        <v>60</v>
      </c>
      <c r="M65" s="899">
        <v>0</v>
      </c>
      <c r="O65" s="937" t="s">
        <v>1979</v>
      </c>
      <c r="P65" s="725"/>
      <c r="Q65" s="912"/>
      <c r="R65" s="725"/>
    </row>
    <row r="66" spans="1:18" s="609" customFormat="1">
      <c r="A66" s="1242"/>
      <c r="B66" s="705"/>
      <c r="C66" s="705"/>
      <c r="I66" s="946" t="s">
        <v>1980</v>
      </c>
      <c r="J66" s="947">
        <v>40</v>
      </c>
      <c r="K66" s="947">
        <v>30</v>
      </c>
      <c r="L66" s="947">
        <v>50</v>
      </c>
      <c r="M66" s="949">
        <v>0.02</v>
      </c>
      <c r="O66" s="913" t="s">
        <v>1322</v>
      </c>
      <c r="P66" s="914" t="s">
        <v>1920</v>
      </c>
      <c r="Q66" s="952" t="s">
        <v>1921</v>
      </c>
      <c r="R66" s="914" t="s">
        <v>1922</v>
      </c>
    </row>
    <row r="67" spans="1:18" s="609" customFormat="1">
      <c r="A67" s="1242"/>
      <c r="B67" s="705"/>
      <c r="C67" s="705"/>
      <c r="K67" s="902"/>
      <c r="O67" s="919" t="s">
        <v>1925</v>
      </c>
      <c r="P67" s="920" t="s">
        <v>1926</v>
      </c>
      <c r="Q67" s="953">
        <f ca="1">C41+J31</f>
        <v>0</v>
      </c>
      <c r="R67" s="920" t="s">
        <v>1927</v>
      </c>
    </row>
    <row r="68" spans="1:18" s="609" customFormat="1" ht="19.5">
      <c r="A68" s="1242"/>
      <c r="B68" s="705"/>
      <c r="C68" s="705"/>
      <c r="K68" s="902"/>
      <c r="O68" s="919" t="s">
        <v>1930</v>
      </c>
      <c r="P68" s="920" t="s">
        <v>1960</v>
      </c>
      <c r="Q68" s="953" t="e">
        <f ca="1">L61</f>
        <v>#DIV/0!</v>
      </c>
      <c r="R68" s="955" t="s">
        <v>1961</v>
      </c>
    </row>
    <row r="69" spans="1:18" s="609" customFormat="1" ht="21">
      <c r="A69" s="1242"/>
      <c r="B69" s="705"/>
      <c r="C69" s="705"/>
      <c r="K69" s="902"/>
      <c r="O69" s="925" t="s">
        <v>1935</v>
      </c>
      <c r="P69" s="920" t="s">
        <v>1964</v>
      </c>
      <c r="Q69" s="960">
        <f ca="1">L52</f>
        <v>0</v>
      </c>
      <c r="R69" s="961" t="s">
        <v>1981</v>
      </c>
    </row>
    <row r="70" spans="1:18" s="609" customFormat="1" ht="19.5">
      <c r="A70" s="1242"/>
      <c r="B70" s="705"/>
      <c r="C70" s="705"/>
      <c r="K70" s="902"/>
      <c r="O70" s="925" t="s">
        <v>1939</v>
      </c>
      <c r="P70" s="959" t="s">
        <v>1982</v>
      </c>
      <c r="Q70" s="953">
        <f ca="1">ROUND(Q71-Q72*Q73,0)</f>
        <v>-5</v>
      </c>
      <c r="R70" s="955"/>
    </row>
    <row r="71" spans="1:18" s="609" customFormat="1">
      <c r="A71" s="1242"/>
      <c r="B71" s="705"/>
      <c r="C71" s="705"/>
      <c r="K71" s="902"/>
      <c r="O71" s="925" t="s">
        <v>1983</v>
      </c>
      <c r="P71" s="959" t="s">
        <v>1984</v>
      </c>
      <c r="Q71" s="953">
        <f ca="1">C42</f>
        <v>-5</v>
      </c>
      <c r="R71" s="920" t="s">
        <v>1927</v>
      </c>
    </row>
    <row r="72" spans="1:18" s="609" customFormat="1">
      <c r="A72" s="1242"/>
      <c r="B72" s="705"/>
      <c r="C72" s="705"/>
      <c r="K72" s="902"/>
      <c r="O72" s="925" t="s">
        <v>1985</v>
      </c>
      <c r="P72" s="959" t="s">
        <v>1986</v>
      </c>
      <c r="Q72" s="953">
        <f ca="1">C15</f>
        <v>0</v>
      </c>
      <c r="R72" s="920" t="s">
        <v>1927</v>
      </c>
    </row>
    <row r="73" spans="1:18" s="609" customFormat="1">
      <c r="A73" s="1242"/>
      <c r="B73" s="705"/>
      <c r="C73" s="705"/>
      <c r="K73" s="902"/>
      <c r="O73" s="925" t="s">
        <v>1987</v>
      </c>
      <c r="P73" s="959" t="s">
        <v>1988</v>
      </c>
      <c r="Q73" s="954">
        <f ca="1">F43</f>
        <v>0.08</v>
      </c>
      <c r="R73" s="955"/>
    </row>
    <row r="74" spans="1:18" s="609" customFormat="1">
      <c r="A74" s="1242"/>
      <c r="B74" s="705"/>
      <c r="C74" s="705"/>
      <c r="K74" s="902"/>
      <c r="O74" s="925" t="s">
        <v>1942</v>
      </c>
      <c r="P74" s="920" t="s">
        <v>1967</v>
      </c>
      <c r="Q74" s="954">
        <f>L53</f>
        <v>0</v>
      </c>
      <c r="R74" s="955"/>
    </row>
    <row r="75" spans="1:18" s="609" customFormat="1" ht="19.5">
      <c r="A75" s="1242"/>
      <c r="B75" s="705"/>
      <c r="C75" s="705"/>
      <c r="K75" s="902"/>
      <c r="O75" s="925" t="s">
        <v>1945</v>
      </c>
      <c r="P75" s="920" t="s">
        <v>1968</v>
      </c>
      <c r="Q75" s="953">
        <f ca="1">L59</f>
        <v>0</v>
      </c>
      <c r="R75" s="955" t="s">
        <v>1969</v>
      </c>
    </row>
    <row r="76" spans="1:18" s="609" customFormat="1" ht="19.5">
      <c r="A76" s="1242"/>
      <c r="B76" s="705"/>
      <c r="C76" s="705"/>
      <c r="K76" s="902"/>
      <c r="O76" s="925" t="s">
        <v>1989</v>
      </c>
      <c r="P76" s="920" t="s">
        <v>1975</v>
      </c>
      <c r="Q76" s="953">
        <f ca="1">L60</f>
        <v>0</v>
      </c>
      <c r="R76" s="955" t="s">
        <v>1976</v>
      </c>
    </row>
    <row r="77" spans="1:18" s="609" customFormat="1">
      <c r="A77" s="1242"/>
      <c r="B77" s="705"/>
      <c r="C77" s="705"/>
      <c r="K77" s="902"/>
      <c r="O77" s="919" t="s">
        <v>1948</v>
      </c>
      <c r="P77" s="920" t="s">
        <v>1949</v>
      </c>
      <c r="Q77" s="953" t="e">
        <f ca="1">Q67+Q68</f>
        <v>#DIV/0!</v>
      </c>
      <c r="R77" s="955" t="s">
        <v>1950</v>
      </c>
    </row>
    <row r="78" spans="1:18" s="609" customFormat="1">
      <c r="A78" s="1242"/>
      <c r="B78" s="705"/>
      <c r="C78" s="705"/>
      <c r="K78" s="902"/>
    </row>
    <row r="79" spans="1:18" s="609" customFormat="1">
      <c r="A79" s="1242"/>
      <c r="B79" s="705"/>
      <c r="C79" s="705"/>
      <c r="K79" s="902"/>
    </row>
    <row r="80" spans="1:18" s="609" customFormat="1">
      <c r="A80" s="1242"/>
      <c r="B80" s="705"/>
      <c r="C80" s="705"/>
      <c r="K80" s="902"/>
    </row>
    <row r="81" spans="1:11" s="609" customFormat="1">
      <c r="A81" s="1242"/>
      <c r="B81" s="705"/>
      <c r="C81" s="705"/>
      <c r="K81" s="902"/>
    </row>
    <row r="82" spans="1:11" s="609" customFormat="1">
      <c r="A82" s="1242"/>
      <c r="B82" s="705"/>
      <c r="C82" s="705"/>
      <c r="K82" s="902"/>
    </row>
    <row r="83" spans="1:11" s="609" customFormat="1">
      <c r="A83" s="1242"/>
      <c r="B83" s="705"/>
      <c r="C83" s="705"/>
      <c r="K83" s="902"/>
    </row>
    <row r="84" spans="1:11" s="609" customFormat="1">
      <c r="A84" s="1242"/>
      <c r="B84" s="705"/>
      <c r="C84" s="705"/>
      <c r="K84" s="902"/>
    </row>
    <row r="85" spans="1:11" s="609" customFormat="1">
      <c r="A85" s="1242"/>
      <c r="B85" s="705"/>
      <c r="C85" s="705"/>
      <c r="K85" s="902"/>
    </row>
    <row r="86" spans="1:11" s="609" customFormat="1">
      <c r="A86" s="1242"/>
      <c r="B86" s="705"/>
      <c r="C86" s="705"/>
      <c r="K86" s="902"/>
    </row>
    <row r="87" spans="1:11" s="609" customFormat="1">
      <c r="A87" s="1242"/>
      <c r="B87" s="705"/>
      <c r="C87" s="705"/>
      <c r="K87" s="902"/>
    </row>
    <row r="88" spans="1:11" s="609" customFormat="1">
      <c r="A88" s="1242"/>
      <c r="B88" s="705"/>
      <c r="C88" s="705"/>
      <c r="K88" s="902"/>
    </row>
    <row r="89" spans="1:11" s="609" customFormat="1">
      <c r="A89" s="1242"/>
      <c r="B89" s="705"/>
      <c r="C89" s="705"/>
      <c r="K89" s="902"/>
    </row>
    <row r="90" spans="1:11" s="609" customFormat="1">
      <c r="A90" s="1242"/>
      <c r="B90" s="705"/>
      <c r="C90" s="705"/>
      <c r="K90" s="902"/>
    </row>
    <row r="91" spans="1:11" s="609" customFormat="1">
      <c r="A91" s="1242"/>
      <c r="B91" s="705"/>
      <c r="C91" s="705"/>
      <c r="K91" s="902"/>
    </row>
    <row r="92" spans="1:11" s="609" customFormat="1">
      <c r="A92" s="1242"/>
      <c r="B92" s="705"/>
      <c r="C92" s="705"/>
      <c r="K92" s="902"/>
    </row>
    <row r="93" spans="1:11" s="609" customFormat="1">
      <c r="A93" s="1242"/>
      <c r="B93" s="705"/>
      <c r="C93" s="705"/>
      <c r="K93" s="902"/>
    </row>
    <row r="94" spans="1:11" s="609" customFormat="1">
      <c r="A94" s="1242"/>
      <c r="B94" s="705"/>
      <c r="C94" s="705"/>
      <c r="K94" s="902"/>
    </row>
  </sheetData>
  <sheetProtection password="C66D" sheet="1" objects="1" scenarios="1" formatCells="0" formatColumns="0" formatRows="0"/>
  <mergeCells count="4">
    <mergeCell ref="K54:L54"/>
    <mergeCell ref="B8:B11"/>
    <mergeCell ref="I8:I11"/>
    <mergeCell ref="I36:I37"/>
  </mergeCells>
  <phoneticPr fontId="22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56.25">
      <c r="A7" s="3115" t="s">
        <v>84</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88</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18.75">
      <c r="A21" s="3103" t="s">
        <v>91</v>
      </c>
    </row>
    <row r="22" spans="1:1" ht="56.25">
      <c r="A22" s="31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23" spans="1:1" ht="18.75">
      <c r="A23" s="3103" t="str">
        <f>IF(项目基本情况!B16="出让","本次评估设定估价对象剩余土地使用年限为"&amp;项目基本情况!D20&amp;"。","")</f>
        <v>本次评估设定估价对象剩余土地使用年限为住宅69.57年、商业39.55年。</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IF(项目基本情况!B9="市场价格","——",IF(项目基本情况!E9="——","",定义!C57))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1059"/>
    <col min="2" max="6" width="9" style="1059" customWidth="1"/>
    <col min="7" max="7" width="9" style="1060" customWidth="1"/>
    <col min="8" max="12" width="9" style="1059" customWidth="1"/>
    <col min="13" max="13" width="2.25" style="1059" customWidth="1"/>
    <col min="14" max="14" width="9" style="1060" customWidth="1"/>
    <col min="15" max="17" width="9" style="1059" customWidth="1"/>
    <col min="18" max="18" width="2.375" style="1059" customWidth="1"/>
    <col min="19" max="19" width="7.125" style="1060" customWidth="1"/>
    <col min="20" max="22" width="7.125" style="1059" customWidth="1"/>
    <col min="23" max="23" width="24" style="1059" customWidth="1"/>
    <col min="24" max="25" width="9" style="1059"/>
    <col min="26" max="27" width="11.625" style="1059" customWidth="1"/>
    <col min="28" max="28" width="9" style="1059"/>
    <col min="29" max="29" width="2" style="1059" customWidth="1"/>
    <col min="30" max="16384" width="9" style="1059"/>
  </cols>
  <sheetData>
    <row r="1" spans="1:34" s="1050" customFormat="1">
      <c r="B1" s="3398" t="s">
        <v>1990</v>
      </c>
      <c r="C1" s="3398"/>
      <c r="D1" s="3398"/>
      <c r="E1" s="3398"/>
      <c r="F1" s="3398"/>
      <c r="G1" s="3399" t="s">
        <v>1991</v>
      </c>
      <c r="H1" s="3399"/>
      <c r="I1" s="3399"/>
      <c r="J1" s="3399"/>
      <c r="K1" s="3399"/>
      <c r="L1" s="3399"/>
      <c r="N1" s="3399" t="s">
        <v>1992</v>
      </c>
      <c r="O1" s="3399"/>
      <c r="P1" s="3399"/>
      <c r="Q1" s="3399"/>
      <c r="R1" s="1061"/>
      <c r="S1" s="3399" t="s">
        <v>1993</v>
      </c>
      <c r="T1" s="3399"/>
      <c r="U1" s="3399"/>
      <c r="V1" s="3399"/>
      <c r="X1" s="3400" t="s">
        <v>1994</v>
      </c>
      <c r="Y1" s="3399"/>
      <c r="Z1" s="3399"/>
      <c r="AA1" s="3399"/>
      <c r="AB1" s="3399"/>
      <c r="AD1" s="3400" t="s">
        <v>1995</v>
      </c>
      <c r="AE1" s="3399"/>
      <c r="AF1" s="3399"/>
      <c r="AG1" s="3399"/>
      <c r="AH1" s="3399"/>
    </row>
    <row r="2" spans="1:34" s="1051" customFormat="1" ht="13.5">
      <c r="B2" s="1062" t="s">
        <v>995</v>
      </c>
      <c r="C2" s="1062" t="s">
        <v>1996</v>
      </c>
      <c r="D2" s="1063" t="s">
        <v>378</v>
      </c>
      <c r="E2" s="1063" t="s">
        <v>376</v>
      </c>
      <c r="F2" s="1062" t="s">
        <v>1997</v>
      </c>
      <c r="G2" s="1064"/>
      <c r="H2" s="1065"/>
      <c r="I2" s="1062" t="s">
        <v>995</v>
      </c>
      <c r="J2" s="1063" t="s">
        <v>1998</v>
      </c>
      <c r="K2" s="1063" t="s">
        <v>376</v>
      </c>
      <c r="L2" s="1062" t="s">
        <v>1997</v>
      </c>
      <c r="N2" s="1062" t="s">
        <v>995</v>
      </c>
      <c r="O2" s="1063" t="s">
        <v>1998</v>
      </c>
      <c r="P2" s="1063" t="s">
        <v>376</v>
      </c>
      <c r="Q2" s="1062" t="s">
        <v>1997</v>
      </c>
      <c r="R2" s="1135"/>
      <c r="S2" s="1062" t="s">
        <v>995</v>
      </c>
      <c r="T2" s="1063" t="s">
        <v>1998</v>
      </c>
      <c r="U2" s="1063" t="s">
        <v>376</v>
      </c>
      <c r="V2" s="1062" t="s">
        <v>1997</v>
      </c>
      <c r="X2" s="1062" t="s">
        <v>995</v>
      </c>
      <c r="Y2" s="1062" t="s">
        <v>1996</v>
      </c>
      <c r="Z2" s="1063" t="s">
        <v>378</v>
      </c>
      <c r="AA2" s="1063" t="s">
        <v>376</v>
      </c>
      <c r="AB2" s="1062" t="s">
        <v>1997</v>
      </c>
      <c r="AD2" s="1062" t="s">
        <v>995</v>
      </c>
      <c r="AE2" s="1062" t="s">
        <v>1996</v>
      </c>
      <c r="AF2" s="1063" t="s">
        <v>378</v>
      </c>
      <c r="AG2" s="1063" t="s">
        <v>376</v>
      </c>
      <c r="AH2" s="1062" t="s">
        <v>1997</v>
      </c>
    </row>
    <row r="3" spans="1:34" s="1052" customFormat="1" ht="14.25">
      <c r="A3" s="1066" t="s">
        <v>1999</v>
      </c>
      <c r="B3" s="1067"/>
      <c r="C3" s="1067"/>
      <c r="D3" s="1068"/>
      <c r="E3" s="1068"/>
      <c r="F3" s="1067"/>
      <c r="G3" s="1069"/>
      <c r="H3" s="1070"/>
      <c r="I3" s="1102">
        <f>ROUND(AVERAGE($I4:$I25),2)</f>
        <v>2.13</v>
      </c>
      <c r="J3" s="1102">
        <f>ROUND(AVERAGE($J4:$J25),2)</f>
        <v>1.51</v>
      </c>
      <c r="K3" s="1102">
        <f>ROUND(AVERAGE($K4:$K25),2)</f>
        <v>2.34</v>
      </c>
      <c r="L3" s="1102">
        <f>ROUND(AVERAGE($L4:$L25),2)</f>
        <v>1.42</v>
      </c>
      <c r="N3" s="1069"/>
      <c r="O3" s="1103"/>
      <c r="P3" s="1103"/>
      <c r="Q3" s="1103"/>
      <c r="R3" s="1103"/>
      <c r="S3" s="1069"/>
      <c r="T3" s="1103"/>
      <c r="U3" s="1103"/>
      <c r="V3" s="1103"/>
      <c r="W3" s="1136"/>
      <c r="X3" s="1137">
        <f>ROUND(SUMPRODUCT(PRODUCT(1+N3:N$24)),4)</f>
        <v>1.5099</v>
      </c>
      <c r="Y3" s="1137">
        <f>ROUND(SUMPRODUCT(PRODUCT(1+O3:O$24)),4)</f>
        <v>1.3372999999999999</v>
      </c>
      <c r="Z3" s="1137">
        <f t="shared" ref="Z3:Z22" si="0">Y3</f>
        <v>1.3372999999999999</v>
      </c>
      <c r="AA3" s="1137">
        <f>ROUND(SUMPRODUCT(PRODUCT(1+P3:P$24)),4)</f>
        <v>1.5683</v>
      </c>
      <c r="AB3" s="1137">
        <f>ROUND(SUMPRODUCT(PRODUCT(1+Q3:Q$24)),4)</f>
        <v>1.3255999999999999</v>
      </c>
      <c r="AD3" s="1158">
        <f>ROUND(AVERAGE(I3:I$25)/100,4)</f>
        <v>2.1299999999999999E-2</v>
      </c>
      <c r="AE3" s="1158">
        <f>ROUND(AVERAGE(J3:J$25)/100,4)</f>
        <v>1.5100000000000001E-2</v>
      </c>
      <c r="AF3" s="1158">
        <f t="shared" ref="AF3:AF23" si="1">AE3</f>
        <v>1.5100000000000001E-2</v>
      </c>
      <c r="AG3" s="1158">
        <f>ROUND(AVERAGE(K3:K$25)/100,4)</f>
        <v>2.3400000000000001E-2</v>
      </c>
      <c r="AH3" s="1158">
        <f>ROUND(AVERAGE(L3:L$25)/100,4)</f>
        <v>1.4200000000000001E-2</v>
      </c>
    </row>
    <row r="4" spans="1:34" s="1053" customFormat="1" ht="14.25">
      <c r="B4" s="1071"/>
      <c r="C4" s="1071"/>
      <c r="D4" s="1072"/>
      <c r="E4" s="1072"/>
      <c r="F4" s="1071"/>
      <c r="G4" s="1073"/>
      <c r="H4" s="1074"/>
      <c r="I4" s="1104"/>
      <c r="J4" s="1104"/>
      <c r="K4" s="1104"/>
      <c r="L4" s="1104"/>
      <c r="N4" s="1073"/>
      <c r="O4" s="1105"/>
      <c r="P4" s="1105"/>
      <c r="Q4" s="1105"/>
      <c r="R4" s="1105"/>
      <c r="S4" s="1073"/>
      <c r="T4" s="1105"/>
      <c r="U4" s="1105"/>
      <c r="V4" s="1105"/>
      <c r="W4" s="1138"/>
      <c r="X4" s="1139"/>
      <c r="Y4" s="1139"/>
      <c r="Z4" s="1139"/>
      <c r="AA4" s="1139"/>
      <c r="AB4" s="1139"/>
      <c r="AD4" s="1154"/>
      <c r="AE4" s="1154"/>
      <c r="AF4" s="1154"/>
      <c r="AG4" s="1154"/>
      <c r="AH4" s="1154"/>
    </row>
    <row r="5" spans="1:34" s="1054" customFormat="1">
      <c r="A5" s="1075" t="s">
        <v>2000</v>
      </c>
      <c r="B5" s="1076">
        <f>B6*(1+N5)</f>
        <v>464.37293017158942</v>
      </c>
      <c r="C5" s="1076">
        <f t="shared" ref="C5" si="2">C6*(1+O5)</f>
        <v>344.73679941385956</v>
      </c>
      <c r="D5" s="1076">
        <f t="shared" ref="D5" si="3">C5</f>
        <v>344.73679941385956</v>
      </c>
      <c r="E5" s="1076">
        <f t="shared" ref="E5" si="4">E6*(1+P5)</f>
        <v>663.2377795103107</v>
      </c>
      <c r="F5" s="1076">
        <f t="shared" ref="F5" si="5">F6*(1+Q5)</f>
        <v>304.75936311478398</v>
      </c>
      <c r="G5" s="1073">
        <v>2019</v>
      </c>
      <c r="H5" s="1077">
        <v>1</v>
      </c>
      <c r="I5" s="1106">
        <v>0</v>
      </c>
      <c r="J5" s="1106">
        <v>0</v>
      </c>
      <c r="K5" s="1106">
        <v>0</v>
      </c>
      <c r="L5" s="1106">
        <v>0</v>
      </c>
      <c r="N5" s="1107">
        <f t="shared" ref="N5" si="6">I5/100</f>
        <v>0</v>
      </c>
      <c r="O5" s="1107">
        <f t="shared" ref="O5" si="7">J5/100</f>
        <v>0</v>
      </c>
      <c r="P5" s="1107">
        <f t="shared" ref="P5" si="8">K5/100</f>
        <v>0</v>
      </c>
      <c r="Q5" s="1107">
        <f t="shared" ref="Q5" si="9">L5/100</f>
        <v>0</v>
      </c>
      <c r="R5" s="1140"/>
      <c r="S5" s="1141"/>
      <c r="T5" s="1140"/>
      <c r="U5" s="1140"/>
      <c r="V5" s="1140"/>
      <c r="W5" s="1142" t="s">
        <v>2001</v>
      </c>
      <c r="X5" s="1143">
        <f>ROUND(IF(项目基本情况!B8="出让",SUMPRODUCT(PRODUCT(1+N5:N$25)),SUMPRODUCT(PRODUCT(1+N5:N$24))),4)</f>
        <v>1.5099</v>
      </c>
      <c r="Y5" s="1143">
        <f>ROUND(IF(项目基本情况!B8="出让",SUMPRODUCT(PRODUCT(1+O5:O$25)),SUMPRODUCT(PRODUCT(1+O5:O$24))),4)</f>
        <v>1.3372999999999999</v>
      </c>
      <c r="Z5" s="1143">
        <f t="shared" ref="Z5" si="10">Y5</f>
        <v>1.3372999999999999</v>
      </c>
      <c r="AA5" s="1143">
        <f>ROUND(IF(项目基本情况!B8="出让",SUMPRODUCT(PRODUCT(1+P5:P$25)),SUMPRODUCT(PRODUCT(1+P5:P$24))),4)</f>
        <v>1.5683</v>
      </c>
      <c r="AB5" s="1143">
        <f>ROUND(IF(项目基本情况!B8="出让",SUMPRODUCT(PRODUCT(1+Q5:Q$25)),SUMPRODUCT(PRODUCT(1+Q5:Q$24))),4)</f>
        <v>1.3255999999999999</v>
      </c>
      <c r="AD5" s="1159">
        <f>ROUND(AVERAGE(I5:I$25)/100,4)</f>
        <v>2.1299999999999999E-2</v>
      </c>
      <c r="AE5" s="1159">
        <f>ROUND(AVERAGE(J5:J$25)/100,4)</f>
        <v>1.5100000000000001E-2</v>
      </c>
      <c r="AF5" s="1159">
        <f t="shared" ref="AF5" si="11">AE5</f>
        <v>1.5100000000000001E-2</v>
      </c>
      <c r="AG5" s="1159">
        <f>ROUND(AVERAGE(K5:K$25)/100,4)</f>
        <v>2.3400000000000001E-2</v>
      </c>
      <c r="AH5" s="1159">
        <f>ROUND(AVERAGE(L5:L$25)/100,4)</f>
        <v>1.4200000000000001E-2</v>
      </c>
    </row>
    <row r="6" spans="1:34" s="1055" customFormat="1">
      <c r="A6" s="1078" t="s">
        <v>2002</v>
      </c>
      <c r="B6" s="1079">
        <f>B7*(1+N6)</f>
        <v>464.37293017158942</v>
      </c>
      <c r="C6" s="1079">
        <f t="shared" ref="C6" si="12">C7*(1+O6)</f>
        <v>344.73679941385956</v>
      </c>
      <c r="D6" s="1079">
        <f t="shared" ref="D6" si="13">C6</f>
        <v>344.73679941385956</v>
      </c>
      <c r="E6" s="1079">
        <f t="shared" ref="E6" si="14">E7*(1+P6)</f>
        <v>663.2377795103107</v>
      </c>
      <c r="F6" s="1079">
        <f t="shared" ref="F6" si="15">F7*(1+Q6)</f>
        <v>304.75936311478398</v>
      </c>
      <c r="G6" s="3401">
        <v>2018</v>
      </c>
      <c r="H6" s="1080">
        <v>4</v>
      </c>
      <c r="I6" s="1108">
        <v>0.96</v>
      </c>
      <c r="J6" s="1108">
        <v>1.03</v>
      </c>
      <c r="K6" s="1108">
        <v>0.92</v>
      </c>
      <c r="L6" s="1109">
        <v>1.29</v>
      </c>
      <c r="M6" s="1059"/>
      <c r="N6" s="1110">
        <f t="shared" ref="N6" si="16">I6/100</f>
        <v>9.5999999999999992E-3</v>
      </c>
      <c r="O6" s="1111">
        <f t="shared" ref="O6" si="17">J6/100</f>
        <v>1.03E-2</v>
      </c>
      <c r="P6" s="1111">
        <f t="shared" ref="P6" si="18">K6/100</f>
        <v>9.1999999999999998E-3</v>
      </c>
      <c r="Q6" s="1111">
        <f t="shared" ref="Q6" si="19">L6/100</f>
        <v>1.29E-2</v>
      </c>
      <c r="R6" s="1144"/>
      <c r="S6" s="1145"/>
      <c r="T6" s="1146"/>
      <c r="U6" s="1146"/>
      <c r="V6" s="1146"/>
      <c r="W6" s="1059"/>
      <c r="X6" s="1139">
        <f>ROUND(SUMPRODUCT(PRODUCT(1+N6:N$24)),4)</f>
        <v>1.5099</v>
      </c>
      <c r="Y6" s="1139">
        <f>ROUND(SUMPRODUCT(PRODUCT(1+O6:O$24)),4)</f>
        <v>1.3372999999999999</v>
      </c>
      <c r="Z6" s="1139">
        <f t="shared" ref="Z6" si="20">Y6</f>
        <v>1.3372999999999999</v>
      </c>
      <c r="AA6" s="1139">
        <f>ROUND(SUMPRODUCT(PRODUCT(1+P6:P$24)),4)</f>
        <v>1.5683</v>
      </c>
      <c r="AB6" s="1139">
        <f>ROUND(SUMPRODUCT(PRODUCT(1+Q6:Q$24)),4)</f>
        <v>1.3255999999999999</v>
      </c>
      <c r="AC6" s="1059"/>
      <c r="AD6" s="1154">
        <f>ROUND(AVERAGE(I6:I$25)/100,4)</f>
        <v>2.24E-2</v>
      </c>
      <c r="AE6" s="1154">
        <f>ROUND(AVERAGE(J6:J$25)/100,4)</f>
        <v>1.5800000000000002E-2</v>
      </c>
      <c r="AF6" s="1154">
        <f t="shared" ref="AF6" si="21">AE6</f>
        <v>1.5800000000000002E-2</v>
      </c>
      <c r="AG6" s="1154">
        <f>ROUND(AVERAGE(K6:K$25)/100,4)</f>
        <v>2.4500000000000001E-2</v>
      </c>
      <c r="AH6" s="1154">
        <f>ROUND(AVERAGE(L6:L$25)/100,4)</f>
        <v>1.49E-2</v>
      </c>
    </row>
    <row r="7" spans="1:34" s="1055" customFormat="1" ht="14.45" customHeight="1">
      <c r="A7" s="1078" t="s">
        <v>2003</v>
      </c>
      <c r="B7" s="1079">
        <f>B8*(1+N7)</f>
        <v>459.95733971036987</v>
      </c>
      <c r="C7" s="1079">
        <f t="shared" ref="C7" si="22">C8*(1+O7)</f>
        <v>341.22221064422405</v>
      </c>
      <c r="D7" s="1079">
        <f t="shared" ref="D7" si="23">C7</f>
        <v>341.22221064422405</v>
      </c>
      <c r="E7" s="1079">
        <f t="shared" ref="E7" si="24">E8*(1+P7)</f>
        <v>657.19161663724799</v>
      </c>
      <c r="F7" s="1079">
        <f t="shared" ref="F7" si="25">F8*(1+Q7)</f>
        <v>300.87803644464805</v>
      </c>
      <c r="G7" s="3401"/>
      <c r="H7" s="1080">
        <v>3</v>
      </c>
      <c r="I7" s="1080">
        <v>1.51</v>
      </c>
      <c r="J7" s="1080">
        <v>1.41</v>
      </c>
      <c r="K7" s="1080">
        <v>1.52</v>
      </c>
      <c r="L7" s="1112">
        <v>1.74</v>
      </c>
      <c r="M7" s="1059"/>
      <c r="N7" s="1110">
        <f t="shared" ref="N7" si="26">I7/100</f>
        <v>1.5100000000000001E-2</v>
      </c>
      <c r="O7" s="1111">
        <f t="shared" ref="O7" si="27">J7/100</f>
        <v>1.41E-2</v>
      </c>
      <c r="P7" s="1111">
        <f t="shared" ref="P7" si="28">K7/100</f>
        <v>1.52E-2</v>
      </c>
      <c r="Q7" s="1111">
        <f t="shared" ref="Q7" si="29">L7/100</f>
        <v>1.7399999999999999E-2</v>
      </c>
      <c r="R7" s="1144"/>
      <c r="S7" s="1110"/>
      <c r="T7" s="1111"/>
      <c r="U7" s="1111"/>
      <c r="V7" s="1111"/>
      <c r="W7" s="1059"/>
      <c r="X7" s="1139">
        <f>ROUND(SUMPRODUCT(PRODUCT(1+N7:N$24)),4)</f>
        <v>1.4956</v>
      </c>
      <c r="Y7" s="1139">
        <f>ROUND(SUMPRODUCT(PRODUCT(1+O7:O$24)),4)</f>
        <v>1.3237000000000001</v>
      </c>
      <c r="Z7" s="1139">
        <f t="shared" ref="Z7" si="30">Y7</f>
        <v>1.3237000000000001</v>
      </c>
      <c r="AA7" s="1139">
        <f>ROUND(SUMPRODUCT(PRODUCT(1+P7:P$24)),4)</f>
        <v>1.554</v>
      </c>
      <c r="AB7" s="1139">
        <f>ROUND(SUMPRODUCT(PRODUCT(1+Q7:Q$24)),4)</f>
        <v>1.3087</v>
      </c>
      <c r="AC7" s="1059"/>
      <c r="AD7" s="1154">
        <f>ROUND(AVERAGE(I7:I$25)/100,4)</f>
        <v>2.3099999999999999E-2</v>
      </c>
      <c r="AE7" s="1154">
        <f>ROUND(AVERAGE(J7:J$25)/100,4)</f>
        <v>1.61E-2</v>
      </c>
      <c r="AF7" s="1154">
        <f t="shared" ref="AF7" si="31">AE7</f>
        <v>1.61E-2</v>
      </c>
      <c r="AG7" s="1154">
        <f>ROUND(AVERAGE(K7:K$25)/100,4)</f>
        <v>2.53E-2</v>
      </c>
      <c r="AH7" s="1154">
        <f>ROUND(AVERAGE(L7:L$25)/100,4)</f>
        <v>1.4999999999999999E-2</v>
      </c>
    </row>
    <row r="8" spans="1:34" s="1055" customFormat="1" ht="14.45" customHeight="1">
      <c r="A8" s="1078" t="s">
        <v>2004</v>
      </c>
      <c r="B8" s="1079">
        <f>B9*(1+N8)</f>
        <v>453.11529869999993</v>
      </c>
      <c r="C8" s="1079">
        <f t="shared" ref="C8" si="32">C9*(1+O8)</f>
        <v>336.47787264000004</v>
      </c>
      <c r="D8" s="1079">
        <f t="shared" ref="D8" si="33">C8</f>
        <v>336.47787264000004</v>
      </c>
      <c r="E8" s="1079">
        <f t="shared" ref="E8" si="34">E9*(1+P8)</f>
        <v>647.35186823999993</v>
      </c>
      <c r="F8" s="1079">
        <f t="shared" ref="F8" si="35">F9*(1+Q8)</f>
        <v>295.73229452000004</v>
      </c>
      <c r="G8" s="3401"/>
      <c r="H8" s="1080">
        <v>2</v>
      </c>
      <c r="I8" s="1080">
        <v>1.49</v>
      </c>
      <c r="J8" s="1080">
        <v>0.96</v>
      </c>
      <c r="K8" s="1080">
        <v>1.58</v>
      </c>
      <c r="L8" s="1112">
        <v>2.44</v>
      </c>
      <c r="M8" s="1059"/>
      <c r="N8" s="1110">
        <f t="shared" ref="N8" si="36">I8/100</f>
        <v>1.49E-2</v>
      </c>
      <c r="O8" s="1111">
        <f t="shared" ref="O8" si="37">J8/100</f>
        <v>9.5999999999999992E-3</v>
      </c>
      <c r="P8" s="1111">
        <f t="shared" ref="P8" si="38">K8/100</f>
        <v>1.5800000000000002E-2</v>
      </c>
      <c r="Q8" s="1111">
        <f t="shared" ref="Q8" si="39">L8/100</f>
        <v>2.4399999999999998E-2</v>
      </c>
      <c r="R8" s="1144"/>
      <c r="S8" s="1110"/>
      <c r="T8" s="1111"/>
      <c r="U8" s="1111"/>
      <c r="V8" s="1111"/>
      <c r="W8" s="1059"/>
      <c r="X8" s="1139">
        <f>ROUND(SUMPRODUCT(PRODUCT(1+N8:N$24)),4)</f>
        <v>1.4733000000000001</v>
      </c>
      <c r="Y8" s="1139">
        <f>ROUND(SUMPRODUCT(PRODUCT(1+O8:O$24)),4)</f>
        <v>1.3052999999999999</v>
      </c>
      <c r="Z8" s="1139">
        <f t="shared" ref="Z8" si="40">Y8</f>
        <v>1.3052999999999999</v>
      </c>
      <c r="AA8" s="1139">
        <f>ROUND(SUMPRODUCT(PRODUCT(1+P8:P$24)),4)</f>
        <v>1.5306999999999999</v>
      </c>
      <c r="AB8" s="1139">
        <f>ROUND(SUMPRODUCT(PRODUCT(1+Q8:Q$24)),4)</f>
        <v>1.2863</v>
      </c>
      <c r="AC8" s="1059"/>
      <c r="AD8" s="1154">
        <f>ROUND(AVERAGE(I8:I$25)/100,4)</f>
        <v>2.35E-2</v>
      </c>
      <c r="AE8" s="1154">
        <f>ROUND(AVERAGE(J8:J$25)/100,4)</f>
        <v>1.6199999999999999E-2</v>
      </c>
      <c r="AF8" s="1154">
        <f t="shared" ref="AF8" si="41">AE8</f>
        <v>1.6199999999999999E-2</v>
      </c>
      <c r="AG8" s="1154">
        <f>ROUND(AVERAGE(K8:K$25)/100,4)</f>
        <v>2.5899999999999999E-2</v>
      </c>
      <c r="AH8" s="1154">
        <f>ROUND(AVERAGE(L8:L$25)/100,4)</f>
        <v>1.49E-2</v>
      </c>
    </row>
    <row r="9" spans="1:34" s="1055" customFormat="1" ht="15" customHeight="1">
      <c r="A9" s="1078" t="s">
        <v>2005</v>
      </c>
      <c r="B9" s="1079">
        <f>B10*(1+N9)</f>
        <v>446.46299999999997</v>
      </c>
      <c r="C9" s="1079">
        <f t="shared" ref="C9" si="42">C10*(1+O9)</f>
        <v>333.27840000000003</v>
      </c>
      <c r="D9" s="1079">
        <f t="shared" ref="D9:D14" si="43">C9</f>
        <v>333.27840000000003</v>
      </c>
      <c r="E9" s="1079">
        <f t="shared" ref="E9" si="44">E10*(1+P9)</f>
        <v>637.28279999999995</v>
      </c>
      <c r="F9" s="1079">
        <f t="shared" ref="F9" si="45">F10*(1+Q9)</f>
        <v>288.68830000000003</v>
      </c>
      <c r="G9" s="3402"/>
      <c r="H9" s="1080">
        <v>1</v>
      </c>
      <c r="I9" s="1080">
        <v>1.7</v>
      </c>
      <c r="J9" s="1080">
        <v>1.92</v>
      </c>
      <c r="K9" s="1080">
        <v>1.64</v>
      </c>
      <c r="L9" s="1112">
        <v>2.0099999999999998</v>
      </c>
      <c r="M9" s="1059"/>
      <c r="N9" s="1110">
        <f t="shared" ref="N9:N14" si="46">I9/100</f>
        <v>1.7000000000000001E-2</v>
      </c>
      <c r="O9" s="1111">
        <f t="shared" ref="O9" si="47">J9/100</f>
        <v>1.9199999999999998E-2</v>
      </c>
      <c r="P9" s="1111">
        <f t="shared" ref="P9" si="48">K9/100</f>
        <v>1.6399999999999998E-2</v>
      </c>
      <c r="Q9" s="1111">
        <f t="shared" ref="Q9" si="49">L9/100</f>
        <v>2.0099999999999996E-2</v>
      </c>
      <c r="R9" s="1144"/>
      <c r="S9" s="1118">
        <f>B9/B10-1</f>
        <v>1.6999999999999904E-2</v>
      </c>
      <c r="T9" s="1119">
        <f>C9/C10-1</f>
        <v>1.9200000000000106E-2</v>
      </c>
      <c r="U9" s="1119">
        <f>E9/E10-1</f>
        <v>1.639999999999997E-2</v>
      </c>
      <c r="V9" s="1119">
        <f>F9/F10-1</f>
        <v>2.0100000000000007E-2</v>
      </c>
      <c r="W9" s="1059"/>
      <c r="X9" s="1139">
        <f>ROUND(SUMPRODUCT(PRODUCT(1+N9:N$24)),4)</f>
        <v>1.4517</v>
      </c>
      <c r="Y9" s="1139">
        <f>ROUND(SUMPRODUCT(PRODUCT(1+O9:O$24)),4)</f>
        <v>1.2928999999999999</v>
      </c>
      <c r="Z9" s="1139">
        <f t="shared" ref="Z9" si="50">Y9</f>
        <v>1.2928999999999999</v>
      </c>
      <c r="AA9" s="1139">
        <f>ROUND(SUMPRODUCT(PRODUCT(1+P9:P$24)),4)</f>
        <v>1.5068999999999999</v>
      </c>
      <c r="AB9" s="1139">
        <f>ROUND(SUMPRODUCT(PRODUCT(1+Q9:Q$24)),4)</f>
        <v>1.2557</v>
      </c>
      <c r="AC9" s="1059"/>
      <c r="AD9" s="1154">
        <f>ROUND(AVERAGE(I9:I$25)/100,4)</f>
        <v>2.4E-2</v>
      </c>
      <c r="AE9" s="1154">
        <f>ROUND(AVERAGE(J9:J$25)/100,4)</f>
        <v>1.66E-2</v>
      </c>
      <c r="AF9" s="1154">
        <f t="shared" ref="AF9" si="51">AE9</f>
        <v>1.66E-2</v>
      </c>
      <c r="AG9" s="1154">
        <f>ROUND(AVERAGE(K9:K$25)/100,4)</f>
        <v>2.6499999999999999E-2</v>
      </c>
      <c r="AH9" s="1154">
        <f>ROUND(AVERAGE(L9:L$25)/100,4)</f>
        <v>1.43E-2</v>
      </c>
    </row>
    <row r="10" spans="1:34">
      <c r="A10" s="1078" t="s">
        <v>2006</v>
      </c>
      <c r="B10" s="1081">
        <v>439</v>
      </c>
      <c r="C10" s="1081">
        <v>327</v>
      </c>
      <c r="D10" s="1081">
        <f t="shared" si="43"/>
        <v>327</v>
      </c>
      <c r="E10" s="1081">
        <v>627</v>
      </c>
      <c r="F10" s="1082">
        <v>283</v>
      </c>
      <c r="G10" s="3403">
        <v>2017</v>
      </c>
      <c r="H10" s="1083">
        <v>4</v>
      </c>
      <c r="I10" s="1083">
        <v>1.71</v>
      </c>
      <c r="J10" s="1083">
        <v>1.78</v>
      </c>
      <c r="K10" s="1083">
        <v>1.71</v>
      </c>
      <c r="L10" s="1113">
        <v>1.43</v>
      </c>
      <c r="N10" s="1114">
        <f t="shared" si="46"/>
        <v>1.7100000000000001E-2</v>
      </c>
      <c r="O10" s="1115">
        <f t="shared" ref="O10" si="52">J10/100</f>
        <v>1.78E-2</v>
      </c>
      <c r="P10" s="1115">
        <f t="shared" ref="P10" si="53">K10/100</f>
        <v>1.7100000000000001E-2</v>
      </c>
      <c r="Q10" s="1115">
        <f t="shared" ref="Q10" si="54">L10/100</f>
        <v>1.43E-2</v>
      </c>
      <c r="R10" s="1144"/>
      <c r="S10" s="1145"/>
      <c r="T10" s="1146"/>
      <c r="U10" s="1146"/>
      <c r="V10" s="1146"/>
      <c r="X10" s="1139">
        <f>ROUND(SUMPRODUCT(PRODUCT(1+N10:N$24)),4)</f>
        <v>1.4274</v>
      </c>
      <c r="Y10" s="1139">
        <f>ROUND(SUMPRODUCT(PRODUCT(1+O10:O$24)),4)</f>
        <v>1.2685</v>
      </c>
      <c r="Z10" s="1139">
        <f t="shared" si="0"/>
        <v>1.2685</v>
      </c>
      <c r="AA10" s="1139">
        <f>ROUND(SUMPRODUCT(PRODUCT(1+P10:P$24)),4)</f>
        <v>1.4825999999999999</v>
      </c>
      <c r="AB10" s="1139">
        <f>ROUND(SUMPRODUCT(PRODUCT(1+Q10:Q$24)),4)</f>
        <v>1.2309000000000001</v>
      </c>
      <c r="AD10" s="1154">
        <f>ROUND(AVERAGE(I10:I$25)/100,4)</f>
        <v>2.4500000000000001E-2</v>
      </c>
      <c r="AE10" s="1154">
        <f>ROUND(AVERAGE(J10:J$25)/100,4)</f>
        <v>1.6500000000000001E-2</v>
      </c>
      <c r="AF10" s="1154">
        <f t="shared" si="1"/>
        <v>1.6500000000000001E-2</v>
      </c>
      <c r="AG10" s="1154">
        <f>ROUND(AVERAGE(K10:K$25)/100,4)</f>
        <v>2.7099999999999999E-2</v>
      </c>
      <c r="AH10" s="1154">
        <f>ROUND(AVERAGE(L10:L$25)/100,4)</f>
        <v>1.3899999999999999E-2</v>
      </c>
    </row>
    <row r="11" spans="1:34" s="1055" customFormat="1" ht="14.45" customHeight="1">
      <c r="A11" s="1078" t="s">
        <v>2007</v>
      </c>
      <c r="B11" s="1079">
        <f t="shared" ref="B11:C13" si="55">B12*(1+N11)</f>
        <v>431.80730811680002</v>
      </c>
      <c r="C11" s="1079">
        <f t="shared" si="55"/>
        <v>320.57880516480003</v>
      </c>
      <c r="D11" s="1079">
        <f t="shared" si="43"/>
        <v>320.57880516480003</v>
      </c>
      <c r="E11" s="1079">
        <f t="shared" ref="E11:F13" si="56">E12*(1+P11)</f>
        <v>615.96110553196797</v>
      </c>
      <c r="F11" s="1079">
        <f t="shared" si="56"/>
        <v>279.46777300108801</v>
      </c>
      <c r="G11" s="3401"/>
      <c r="H11" s="1080">
        <v>3</v>
      </c>
      <c r="I11" s="1080">
        <v>2.98</v>
      </c>
      <c r="J11" s="1080">
        <v>2.11</v>
      </c>
      <c r="K11" s="1080">
        <v>3.24</v>
      </c>
      <c r="L11" s="1112">
        <v>1.72</v>
      </c>
      <c r="M11" s="1059"/>
      <c r="N11" s="1110">
        <f t="shared" si="46"/>
        <v>2.98E-2</v>
      </c>
      <c r="O11" s="1116">
        <f t="shared" ref="O11:O12" si="57">J11/100</f>
        <v>2.1099999999999997E-2</v>
      </c>
      <c r="P11" s="1116">
        <f t="shared" ref="P11:P12" si="58">K11/100</f>
        <v>3.2400000000000005E-2</v>
      </c>
      <c r="Q11" s="1116">
        <f t="shared" ref="Q11:Q12" si="59">L11/100</f>
        <v>1.72E-2</v>
      </c>
      <c r="R11" s="1144"/>
      <c r="S11" s="1110"/>
      <c r="T11" s="1111"/>
      <c r="U11" s="1111"/>
      <c r="V11" s="1111"/>
      <c r="W11" s="1059"/>
      <c r="X11" s="1139">
        <f>ROUND(SUMPRODUCT(PRODUCT(1+N11:N$24)),4)</f>
        <v>1.4034</v>
      </c>
      <c r="Y11" s="1139">
        <f>ROUND(SUMPRODUCT(PRODUCT(1+O11:O$24)),4)</f>
        <v>1.2463</v>
      </c>
      <c r="Z11" s="1139">
        <f t="shared" si="0"/>
        <v>1.2463</v>
      </c>
      <c r="AA11" s="1139">
        <f>ROUND(SUMPRODUCT(PRODUCT(1+P11:P$24)),4)</f>
        <v>1.4577</v>
      </c>
      <c r="AB11" s="1139">
        <f>ROUND(SUMPRODUCT(PRODUCT(1+Q11:Q$24)),4)</f>
        <v>1.2136</v>
      </c>
      <c r="AC11" s="1059"/>
      <c r="AD11" s="1154">
        <f>ROUND(AVERAGE(I11:I$25)/100,4)</f>
        <v>2.4899999999999999E-2</v>
      </c>
      <c r="AE11" s="1154">
        <f>ROUND(AVERAGE(J11:J$25)/100,4)</f>
        <v>1.6400000000000001E-2</v>
      </c>
      <c r="AF11" s="1154">
        <f t="shared" si="1"/>
        <v>1.6400000000000001E-2</v>
      </c>
      <c r="AG11" s="1154">
        <f>ROUND(AVERAGE(K11:K$25)/100,4)</f>
        <v>2.7799999999999998E-2</v>
      </c>
      <c r="AH11" s="1154">
        <f>ROUND(AVERAGE(L11:L$25)/100,4)</f>
        <v>1.3899999999999999E-2</v>
      </c>
    </row>
    <row r="12" spans="1:34" s="1050" customFormat="1" ht="14.45" customHeight="1">
      <c r="A12" s="1078" t="s">
        <v>2008</v>
      </c>
      <c r="B12" s="1079">
        <f t="shared" si="55"/>
        <v>419.31181600000002</v>
      </c>
      <c r="C12" s="1079">
        <f t="shared" si="55"/>
        <v>313.95436800000004</v>
      </c>
      <c r="D12" s="1079">
        <f t="shared" si="43"/>
        <v>313.95436800000004</v>
      </c>
      <c r="E12" s="1079">
        <f t="shared" si="56"/>
        <v>596.63028431999999</v>
      </c>
      <c r="F12" s="1079">
        <f t="shared" si="56"/>
        <v>274.74220703999998</v>
      </c>
      <c r="G12" s="3401"/>
      <c r="H12" s="1084">
        <v>2</v>
      </c>
      <c r="I12" s="1084">
        <v>3.4</v>
      </c>
      <c r="J12" s="1084">
        <v>2</v>
      </c>
      <c r="K12" s="1084">
        <v>3.82</v>
      </c>
      <c r="L12" s="1117">
        <v>1.68</v>
      </c>
      <c r="N12" s="1110">
        <f t="shared" si="46"/>
        <v>3.4000000000000002E-2</v>
      </c>
      <c r="O12" s="1116">
        <f t="shared" si="57"/>
        <v>0.02</v>
      </c>
      <c r="P12" s="1116">
        <f t="shared" si="58"/>
        <v>3.8199999999999998E-2</v>
      </c>
      <c r="Q12" s="1116">
        <f t="shared" si="59"/>
        <v>1.6799999999999999E-2</v>
      </c>
      <c r="R12" s="1061"/>
      <c r="S12" s="1110"/>
      <c r="T12" s="1111"/>
      <c r="U12" s="1111"/>
      <c r="V12" s="1111"/>
      <c r="X12" s="1139">
        <f>ROUND(SUMPRODUCT(PRODUCT(1+N12:N$24)),4)</f>
        <v>1.3628</v>
      </c>
      <c r="Y12" s="1139">
        <f>ROUND(SUMPRODUCT(PRODUCT(1+O12:O$24)),4)</f>
        <v>1.2205999999999999</v>
      </c>
      <c r="Z12" s="1139">
        <f t="shared" si="0"/>
        <v>1.2205999999999999</v>
      </c>
      <c r="AA12" s="1139">
        <f>ROUND(SUMPRODUCT(PRODUCT(1+P12:P$24)),4)</f>
        <v>1.4118999999999999</v>
      </c>
      <c r="AB12" s="1139">
        <f>ROUND(SUMPRODUCT(PRODUCT(1+Q12:Q$24)),4)</f>
        <v>1.1930000000000001</v>
      </c>
      <c r="AD12" s="1154">
        <f>ROUND(AVERAGE(I12:I$25)/100,4)</f>
        <v>2.46E-2</v>
      </c>
      <c r="AE12" s="1154">
        <f>ROUND(AVERAGE(J12:J$25)/100,4)</f>
        <v>1.6E-2</v>
      </c>
      <c r="AF12" s="1154">
        <f t="shared" si="1"/>
        <v>1.6E-2</v>
      </c>
      <c r="AG12" s="1154">
        <f>ROUND(AVERAGE(K12:K$25)/100,4)</f>
        <v>2.75E-2</v>
      </c>
      <c r="AH12" s="1154">
        <f>ROUND(AVERAGE(L12:L$25)/100,4)</f>
        <v>1.37E-2</v>
      </c>
    </row>
    <row r="13" spans="1:34" s="1055" customFormat="1" ht="15" customHeight="1">
      <c r="A13" s="1078" t="s">
        <v>2009</v>
      </c>
      <c r="B13" s="1079">
        <f t="shared" si="55"/>
        <v>405.524</v>
      </c>
      <c r="C13" s="1079">
        <f t="shared" si="55"/>
        <v>307.79840000000002</v>
      </c>
      <c r="D13" s="1079">
        <f t="shared" si="43"/>
        <v>307.79840000000002</v>
      </c>
      <c r="E13" s="1079">
        <f t="shared" si="56"/>
        <v>574.67759999999998</v>
      </c>
      <c r="F13" s="1079">
        <f t="shared" si="56"/>
        <v>270.20280000000002</v>
      </c>
      <c r="G13" s="3402"/>
      <c r="H13" s="1080">
        <v>1</v>
      </c>
      <c r="I13" s="1080">
        <v>3.45</v>
      </c>
      <c r="J13" s="1080">
        <v>1.92</v>
      </c>
      <c r="K13" s="1080">
        <v>3.92</v>
      </c>
      <c r="L13" s="1112">
        <v>1.58</v>
      </c>
      <c r="M13" s="1059"/>
      <c r="N13" s="1118">
        <f t="shared" si="46"/>
        <v>3.4500000000000003E-2</v>
      </c>
      <c r="O13" s="1119">
        <f t="shared" ref="O13" si="60">J13/100</f>
        <v>1.9199999999999998E-2</v>
      </c>
      <c r="P13" s="1119">
        <f t="shared" ref="P13" si="61">K13/100</f>
        <v>3.9199999999999999E-2</v>
      </c>
      <c r="Q13" s="1119">
        <f t="shared" ref="Q13" si="62">L13/100</f>
        <v>1.5800000000000002E-2</v>
      </c>
      <c r="R13" s="1144"/>
      <c r="S13" s="1118">
        <f>B13/B14-1</f>
        <v>3.4499999999999975E-2</v>
      </c>
      <c r="T13" s="1119">
        <f>C13/C14-1</f>
        <v>1.9200000000000106E-2</v>
      </c>
      <c r="U13" s="1119">
        <f>E13/E14-1</f>
        <v>3.9199999999999902E-2</v>
      </c>
      <c r="V13" s="1119">
        <f>F13/F14-1</f>
        <v>1.5800000000000036E-2</v>
      </c>
      <c r="W13" s="1059"/>
      <c r="X13" s="1139">
        <f>ROUND(SUMPRODUCT(PRODUCT(1+N13:N$24)),4)</f>
        <v>1.3180000000000001</v>
      </c>
      <c r="Y13" s="1139">
        <f>ROUND(SUMPRODUCT(PRODUCT(1+O13:O$24)),4)</f>
        <v>1.1966000000000001</v>
      </c>
      <c r="Z13" s="1139">
        <f t="shared" si="0"/>
        <v>1.1966000000000001</v>
      </c>
      <c r="AA13" s="1139">
        <f>ROUND(SUMPRODUCT(PRODUCT(1+P13:P$24)),4)</f>
        <v>1.36</v>
      </c>
      <c r="AB13" s="1139">
        <f>ROUND(SUMPRODUCT(PRODUCT(1+Q13:Q$24)),4)</f>
        <v>1.1733</v>
      </c>
      <c r="AC13" s="1059"/>
      <c r="AD13" s="1154">
        <f>ROUND(AVERAGE(I13:I$25)/100,4)</f>
        <v>2.3900000000000001E-2</v>
      </c>
      <c r="AE13" s="1154">
        <f>ROUND(AVERAGE(J13:J$25)/100,4)</f>
        <v>1.5699999999999999E-2</v>
      </c>
      <c r="AF13" s="1154">
        <f t="shared" si="1"/>
        <v>1.5699999999999999E-2</v>
      </c>
      <c r="AG13" s="1154">
        <f>ROUND(AVERAGE(K13:K$25)/100,4)</f>
        <v>2.6599999999999999E-2</v>
      </c>
      <c r="AH13" s="1154">
        <f>ROUND(AVERAGE(L13:L$25)/100,4)</f>
        <v>1.34E-2</v>
      </c>
    </row>
    <row r="14" spans="1:34">
      <c r="A14" s="1078" t="s">
        <v>2010</v>
      </c>
      <c r="B14" s="1085">
        <v>392</v>
      </c>
      <c r="C14" s="1085">
        <v>302</v>
      </c>
      <c r="D14" s="1085">
        <f t="shared" si="43"/>
        <v>302</v>
      </c>
      <c r="E14" s="1085">
        <v>553</v>
      </c>
      <c r="F14" s="1086">
        <v>266</v>
      </c>
      <c r="G14" s="3403">
        <v>2016</v>
      </c>
      <c r="H14" s="1083">
        <v>4</v>
      </c>
      <c r="I14" s="1083">
        <v>4.5599999999999996</v>
      </c>
      <c r="J14" s="1083">
        <v>2.15</v>
      </c>
      <c r="K14" s="1083">
        <v>5.32</v>
      </c>
      <c r="L14" s="1113">
        <v>1.57</v>
      </c>
      <c r="N14" s="1110">
        <f t="shared" si="46"/>
        <v>4.5599999999999995E-2</v>
      </c>
      <c r="O14" s="1111">
        <f t="shared" ref="O14:Q29" si="63">J14/100</f>
        <v>2.1499999999999998E-2</v>
      </c>
      <c r="P14" s="1111">
        <f t="shared" si="63"/>
        <v>5.3200000000000004E-2</v>
      </c>
      <c r="Q14" s="1111">
        <f t="shared" si="63"/>
        <v>1.5700000000000002E-2</v>
      </c>
      <c r="R14" s="1144"/>
      <c r="S14" s="1145"/>
      <c r="T14" s="1146"/>
      <c r="U14" s="1146"/>
      <c r="V14" s="1146"/>
      <c r="X14" s="1139">
        <f>ROUND(SUMPRODUCT(PRODUCT(1+N14:N$24)),4)</f>
        <v>1.274</v>
      </c>
      <c r="Y14" s="1139">
        <f>ROUND(SUMPRODUCT(PRODUCT(1+O14:O$24)),4)</f>
        <v>1.1740999999999999</v>
      </c>
      <c r="Z14" s="1139">
        <f t="shared" si="0"/>
        <v>1.1740999999999999</v>
      </c>
      <c r="AA14" s="1139">
        <f>ROUND(SUMPRODUCT(PRODUCT(1+P14:P$24)),4)</f>
        <v>1.3087</v>
      </c>
      <c r="AB14" s="1139">
        <f>ROUND(SUMPRODUCT(PRODUCT(1+Q14:Q$24)),4)</f>
        <v>1.1551</v>
      </c>
      <c r="AD14" s="1154">
        <f>ROUND(AVERAGE(I14:I$25)/100,4)</f>
        <v>2.3E-2</v>
      </c>
      <c r="AE14" s="1154">
        <f>ROUND(AVERAGE(J14:J$25)/100,4)</f>
        <v>1.55E-2</v>
      </c>
      <c r="AF14" s="1154">
        <f t="shared" si="1"/>
        <v>1.55E-2</v>
      </c>
      <c r="AG14" s="1154">
        <f>ROUND(AVERAGE(K14:K$25)/100,4)</f>
        <v>2.5600000000000001E-2</v>
      </c>
      <c r="AH14" s="1154">
        <f>ROUND(AVERAGE(L14:L$25)/100,4)</f>
        <v>1.32E-2</v>
      </c>
    </row>
    <row r="15" spans="1:34">
      <c r="A15" s="1078" t="s">
        <v>2011</v>
      </c>
      <c r="B15" s="1079">
        <f t="shared" ref="B15:C17" si="64">B14/(1+N14)</f>
        <v>374.90436113236416</v>
      </c>
      <c r="C15" s="1079">
        <f t="shared" si="64"/>
        <v>295.64366128242779</v>
      </c>
      <c r="D15" s="1079">
        <f t="shared" ref="D15:D74" si="65">C15</f>
        <v>295.64366128242779</v>
      </c>
      <c r="E15" s="1079">
        <f t="shared" ref="E15:F17" si="66">E14/(1+P14)</f>
        <v>525.06646410938095</v>
      </c>
      <c r="F15" s="1079">
        <f t="shared" si="66"/>
        <v>261.88835286009646</v>
      </c>
      <c r="G15" s="3401"/>
      <c r="H15" s="1080">
        <v>3</v>
      </c>
      <c r="I15" s="1080">
        <v>4.12</v>
      </c>
      <c r="J15" s="1080">
        <v>2</v>
      </c>
      <c r="K15" s="1080">
        <v>4.79</v>
      </c>
      <c r="L15" s="1112">
        <v>1.97</v>
      </c>
      <c r="N15" s="1110">
        <f t="shared" ref="N15:Q49" si="67">I15/100</f>
        <v>4.1200000000000001E-2</v>
      </c>
      <c r="O15" s="1111">
        <f t="shared" si="63"/>
        <v>0.02</v>
      </c>
      <c r="P15" s="1111">
        <f t="shared" si="63"/>
        <v>4.7899999999999998E-2</v>
      </c>
      <c r="Q15" s="1111">
        <f t="shared" si="63"/>
        <v>1.9699999999999999E-2</v>
      </c>
      <c r="R15" s="1144"/>
      <c r="S15" s="1110"/>
      <c r="T15" s="1111"/>
      <c r="U15" s="1111"/>
      <c r="V15" s="1111"/>
      <c r="X15" s="1139">
        <f>ROUND(SUMPRODUCT(PRODUCT(1+N15:N$24)),4)</f>
        <v>1.2184999999999999</v>
      </c>
      <c r="Y15" s="1139">
        <f>ROUND(SUMPRODUCT(PRODUCT(1+O15:O$24)),4)</f>
        <v>1.1494</v>
      </c>
      <c r="Z15" s="1139">
        <f t="shared" si="0"/>
        <v>1.1494</v>
      </c>
      <c r="AA15" s="1139">
        <f>ROUND(SUMPRODUCT(PRODUCT(1+P15:P$24)),4)</f>
        <v>1.2425999999999999</v>
      </c>
      <c r="AB15" s="1139">
        <f>ROUND(SUMPRODUCT(PRODUCT(1+Q15:Q$24)),4)</f>
        <v>1.1372</v>
      </c>
      <c r="AD15" s="1154">
        <f>ROUND(AVERAGE(I15:I$25)/100,4)</f>
        <v>2.0899999999999998E-2</v>
      </c>
      <c r="AE15" s="1154">
        <f>ROUND(AVERAGE(J15:J$25)/100,4)</f>
        <v>1.49E-2</v>
      </c>
      <c r="AF15" s="1154">
        <f t="shared" si="1"/>
        <v>1.49E-2</v>
      </c>
      <c r="AG15" s="1154">
        <f>ROUND(AVERAGE(K15:K$25)/100,4)</f>
        <v>2.3099999999999999E-2</v>
      </c>
      <c r="AH15" s="1154">
        <f>ROUND(AVERAGE(L15:L$25)/100,4)</f>
        <v>1.2999999999999999E-2</v>
      </c>
    </row>
    <row r="16" spans="1:34">
      <c r="A16" s="1078" t="s">
        <v>2012</v>
      </c>
      <c r="B16" s="1079">
        <f t="shared" si="64"/>
        <v>360.06949782209392</v>
      </c>
      <c r="C16" s="1079">
        <f t="shared" si="64"/>
        <v>289.84672674747821</v>
      </c>
      <c r="D16" s="1079">
        <f t="shared" si="65"/>
        <v>289.84672674747821</v>
      </c>
      <c r="E16" s="1079">
        <f t="shared" si="66"/>
        <v>501.06543001181495</v>
      </c>
      <c r="F16" s="1079">
        <f t="shared" si="66"/>
        <v>256.82882500744967</v>
      </c>
      <c r="G16" s="3401"/>
      <c r="H16" s="1084">
        <v>2</v>
      </c>
      <c r="I16" s="1084">
        <v>3.85</v>
      </c>
      <c r="J16" s="1084">
        <v>1.95</v>
      </c>
      <c r="K16" s="1084">
        <v>4.4800000000000004</v>
      </c>
      <c r="L16" s="1117">
        <v>1.41</v>
      </c>
      <c r="N16" s="1110">
        <f t="shared" si="67"/>
        <v>3.85E-2</v>
      </c>
      <c r="O16" s="1111">
        <f t="shared" si="63"/>
        <v>1.95E-2</v>
      </c>
      <c r="P16" s="1111">
        <f t="shared" si="63"/>
        <v>4.4800000000000006E-2</v>
      </c>
      <c r="Q16" s="1111">
        <f t="shared" si="63"/>
        <v>1.41E-2</v>
      </c>
      <c r="R16" s="1144"/>
      <c r="S16" s="1110"/>
      <c r="T16" s="1111"/>
      <c r="U16" s="1111"/>
      <c r="V16" s="1111"/>
      <c r="X16" s="1139">
        <f>ROUND(SUMPRODUCT(PRODUCT(1+N16:N$24)),4)</f>
        <v>1.1702999999999999</v>
      </c>
      <c r="Y16" s="1139">
        <f>ROUND(SUMPRODUCT(PRODUCT(1+O16:O$24)),4)</f>
        <v>1.1269</v>
      </c>
      <c r="Z16" s="1139">
        <f t="shared" si="0"/>
        <v>1.1269</v>
      </c>
      <c r="AA16" s="1139">
        <f>ROUND(SUMPRODUCT(PRODUCT(1+P16:P$24)),4)</f>
        <v>1.1858</v>
      </c>
      <c r="AB16" s="1139">
        <f>ROUND(SUMPRODUCT(PRODUCT(1+Q16:Q$24)),4)</f>
        <v>1.1152</v>
      </c>
      <c r="AD16" s="1154">
        <f>ROUND(AVERAGE(I16:I$25)/100,4)</f>
        <v>1.89E-2</v>
      </c>
      <c r="AE16" s="1154">
        <f>ROUND(AVERAGE(J16:J$25)/100,4)</f>
        <v>1.44E-2</v>
      </c>
      <c r="AF16" s="1154">
        <f t="shared" si="1"/>
        <v>1.44E-2</v>
      </c>
      <c r="AG16" s="1154">
        <f>ROUND(AVERAGE(K16:K$25)/100,4)</f>
        <v>2.06E-2</v>
      </c>
      <c r="AH16" s="1154">
        <f>ROUND(AVERAGE(L16:L$25)/100,4)</f>
        <v>1.23E-2</v>
      </c>
    </row>
    <row r="17" spans="1:34">
      <c r="A17" s="1078" t="s">
        <v>2013</v>
      </c>
      <c r="B17" s="1079">
        <f t="shared" si="64"/>
        <v>346.720748986128</v>
      </c>
      <c r="C17" s="1079">
        <f t="shared" si="64"/>
        <v>284.30282172386285</v>
      </c>
      <c r="D17" s="1079">
        <f t="shared" si="65"/>
        <v>284.30282172386285</v>
      </c>
      <c r="E17" s="1079">
        <f t="shared" si="66"/>
        <v>479.58023546306947</v>
      </c>
      <c r="F17" s="1079">
        <f t="shared" si="66"/>
        <v>253.25788877571213</v>
      </c>
      <c r="G17" s="3404"/>
      <c r="H17" s="1080">
        <v>1</v>
      </c>
      <c r="I17" s="1080">
        <v>4.09</v>
      </c>
      <c r="J17" s="1080">
        <v>2.93</v>
      </c>
      <c r="K17" s="1080">
        <v>4.54</v>
      </c>
      <c r="L17" s="1112">
        <v>1.48</v>
      </c>
      <c r="N17" s="1110">
        <f t="shared" si="67"/>
        <v>4.0899999999999999E-2</v>
      </c>
      <c r="O17" s="1111">
        <f t="shared" si="63"/>
        <v>2.9300000000000003E-2</v>
      </c>
      <c r="P17" s="1111">
        <f t="shared" si="63"/>
        <v>4.5400000000000003E-2</v>
      </c>
      <c r="Q17" s="1111">
        <f t="shared" si="63"/>
        <v>1.4800000000000001E-2</v>
      </c>
      <c r="R17" s="1144"/>
      <c r="S17" s="1118">
        <f>B17/B18-1</f>
        <v>4.1203450408792808E-2</v>
      </c>
      <c r="T17" s="1119">
        <f>C17/C18-1</f>
        <v>2.6363977342465095E-2</v>
      </c>
      <c r="U17" s="1119">
        <f>E17/E18-1</f>
        <v>4.4837114298626357E-2</v>
      </c>
      <c r="V17" s="1119">
        <f>F17/F18-1</f>
        <v>1.7099954922538574E-2</v>
      </c>
      <c r="X17" s="1139">
        <f>ROUND(SUMPRODUCT(PRODUCT(1+N17:N$24)),4)</f>
        <v>1.1269</v>
      </c>
      <c r="Y17" s="1139">
        <f>ROUND(SUMPRODUCT(PRODUCT(1+O17:O$24)),4)</f>
        <v>1.1052999999999999</v>
      </c>
      <c r="Z17" s="1139">
        <f t="shared" si="0"/>
        <v>1.1052999999999999</v>
      </c>
      <c r="AA17" s="1139">
        <f>ROUND(SUMPRODUCT(PRODUCT(1+P17:P$24)),4)</f>
        <v>1.1349</v>
      </c>
      <c r="AB17" s="1139">
        <f>ROUND(SUMPRODUCT(PRODUCT(1+Q17:Q$24)),4)</f>
        <v>1.0996999999999999</v>
      </c>
      <c r="AD17" s="1154">
        <f>ROUND(AVERAGE(I17:I$25)/100,4)</f>
        <v>1.67E-2</v>
      </c>
      <c r="AE17" s="1154">
        <f>ROUND(AVERAGE(J17:J$25)/100,4)</f>
        <v>1.38E-2</v>
      </c>
      <c r="AF17" s="1154">
        <f t="shared" si="1"/>
        <v>1.38E-2</v>
      </c>
      <c r="AG17" s="1154">
        <f>ROUND(AVERAGE(K17:K$25)/100,4)</f>
        <v>1.7899999999999999E-2</v>
      </c>
      <c r="AH17" s="1154">
        <f>ROUND(AVERAGE(L17:L$25)/100,4)</f>
        <v>1.21E-2</v>
      </c>
    </row>
    <row r="18" spans="1:34">
      <c r="A18" s="1078" t="s">
        <v>2014</v>
      </c>
      <c r="B18" s="1085">
        <v>333</v>
      </c>
      <c r="C18" s="1085">
        <v>277</v>
      </c>
      <c r="D18" s="1085">
        <f t="shared" si="65"/>
        <v>277</v>
      </c>
      <c r="E18" s="1085">
        <v>459</v>
      </c>
      <c r="F18" s="1086">
        <v>249</v>
      </c>
      <c r="G18" s="3405">
        <v>2015</v>
      </c>
      <c r="H18" s="1087">
        <v>4</v>
      </c>
      <c r="I18" s="1087">
        <v>1.63</v>
      </c>
      <c r="J18" s="1087">
        <v>1.1100000000000001</v>
      </c>
      <c r="K18" s="1087">
        <v>1.77</v>
      </c>
      <c r="L18" s="1120">
        <v>1.89</v>
      </c>
      <c r="N18" s="1114">
        <f t="shared" si="67"/>
        <v>1.6299999999999999E-2</v>
      </c>
      <c r="O18" s="1115">
        <f t="shared" si="63"/>
        <v>1.11E-2</v>
      </c>
      <c r="P18" s="1115">
        <f t="shared" si="63"/>
        <v>1.77E-2</v>
      </c>
      <c r="Q18" s="1115">
        <f t="shared" si="63"/>
        <v>1.89E-2</v>
      </c>
      <c r="R18" s="1144"/>
      <c r="X18" s="1139">
        <f>ROUND(SUMPRODUCT(PRODUCT(1+N18:N$24)),4)</f>
        <v>1.0826</v>
      </c>
      <c r="Y18" s="1139">
        <f>ROUND(SUMPRODUCT(PRODUCT(1+O18:O$24)),4)</f>
        <v>1.0738000000000001</v>
      </c>
      <c r="Z18" s="1139">
        <f t="shared" si="0"/>
        <v>1.0738000000000001</v>
      </c>
      <c r="AA18" s="1139">
        <f>ROUND(SUMPRODUCT(PRODUCT(1+P18:P$24)),4)</f>
        <v>1.0855999999999999</v>
      </c>
      <c r="AB18" s="1139">
        <f>ROUND(SUMPRODUCT(PRODUCT(1+Q18:Q$24)),4)</f>
        <v>1.0837000000000001</v>
      </c>
      <c r="AD18" s="1154">
        <f>ROUND(AVERAGE(I18:I$25)/100,4)</f>
        <v>1.37E-2</v>
      </c>
      <c r="AE18" s="1154">
        <f>ROUND(AVERAGE(J18:J$25)/100,4)</f>
        <v>1.1900000000000001E-2</v>
      </c>
      <c r="AF18" s="1154">
        <f t="shared" si="1"/>
        <v>1.1900000000000001E-2</v>
      </c>
      <c r="AG18" s="1154">
        <f>ROUND(AVERAGE(K18:K$25)/100,4)</f>
        <v>1.4500000000000001E-2</v>
      </c>
      <c r="AH18" s="1154">
        <f>ROUND(AVERAGE(L18:L$25)/100,4)</f>
        <v>1.18E-2</v>
      </c>
    </row>
    <row r="19" spans="1:34">
      <c r="A19" s="1078" t="s">
        <v>2015</v>
      </c>
      <c r="B19" s="1079">
        <f t="shared" ref="B19:C21" si="68">B18/(1+N18)</f>
        <v>327.65915576109415</v>
      </c>
      <c r="C19" s="1079">
        <f t="shared" si="68"/>
        <v>273.95905449510434</v>
      </c>
      <c r="D19" s="1079">
        <f t="shared" si="65"/>
        <v>273.95905449510434</v>
      </c>
      <c r="E19" s="1079">
        <f t="shared" ref="E19:F21" si="69">E18/(1+P18)</f>
        <v>451.01699911565294</v>
      </c>
      <c r="F19" s="1079">
        <f t="shared" si="69"/>
        <v>244.38119540681129</v>
      </c>
      <c r="G19" s="3401"/>
      <c r="H19" s="1088">
        <v>3</v>
      </c>
      <c r="I19" s="1088">
        <v>1.65</v>
      </c>
      <c r="J19" s="1088">
        <v>0.92</v>
      </c>
      <c r="K19" s="1088">
        <v>1.88</v>
      </c>
      <c r="L19" s="1121">
        <v>1.26</v>
      </c>
      <c r="N19" s="1110">
        <f t="shared" si="67"/>
        <v>1.6500000000000001E-2</v>
      </c>
      <c r="O19" s="1116">
        <f t="shared" si="63"/>
        <v>9.1999999999999998E-3</v>
      </c>
      <c r="P19" s="1116">
        <f t="shared" si="63"/>
        <v>1.8799999999999997E-2</v>
      </c>
      <c r="Q19" s="1116">
        <f t="shared" si="63"/>
        <v>1.26E-2</v>
      </c>
      <c r="R19" s="1144"/>
      <c r="S19" s="1110"/>
      <c r="T19" s="1111"/>
      <c r="U19" s="1111"/>
      <c r="V19" s="1111"/>
      <c r="X19" s="1139">
        <f>ROUND(SUMPRODUCT(PRODUCT(1+N19:N$24)),4)</f>
        <v>1.0651999999999999</v>
      </c>
      <c r="Y19" s="1139">
        <f>ROUND(SUMPRODUCT(PRODUCT(1+O19:O$24)),4)</f>
        <v>1.0621</v>
      </c>
      <c r="Z19" s="1139">
        <f t="shared" si="0"/>
        <v>1.0621</v>
      </c>
      <c r="AA19" s="1139">
        <f>ROUND(SUMPRODUCT(PRODUCT(1+P19:P$24)),4)</f>
        <v>1.0668</v>
      </c>
      <c r="AB19" s="1139">
        <f>ROUND(SUMPRODUCT(PRODUCT(1+Q19:Q$24)),4)</f>
        <v>1.0636000000000001</v>
      </c>
      <c r="AD19" s="1154">
        <f>ROUND(AVERAGE(I19:I$25)/100,4)</f>
        <v>1.3299999999999999E-2</v>
      </c>
      <c r="AE19" s="1154">
        <f>ROUND(AVERAGE(J19:J$25)/100,4)</f>
        <v>1.2E-2</v>
      </c>
      <c r="AF19" s="1154">
        <f t="shared" si="1"/>
        <v>1.2E-2</v>
      </c>
      <c r="AG19" s="1154">
        <f>ROUND(AVERAGE(K19:K$25)/100,4)</f>
        <v>1.4E-2</v>
      </c>
      <c r="AH19" s="1154">
        <f>ROUND(AVERAGE(L19:L$25)/100,4)</f>
        <v>1.0800000000000001E-2</v>
      </c>
    </row>
    <row r="20" spans="1:34">
      <c r="A20" s="1078" t="s">
        <v>2016</v>
      </c>
      <c r="B20" s="1079">
        <f t="shared" si="68"/>
        <v>322.34053690220776</v>
      </c>
      <c r="C20" s="1079">
        <f t="shared" si="68"/>
        <v>271.46160770422546</v>
      </c>
      <c r="D20" s="1079">
        <f t="shared" si="65"/>
        <v>271.46160770422546</v>
      </c>
      <c r="E20" s="1079">
        <f t="shared" si="69"/>
        <v>442.69434542172456</v>
      </c>
      <c r="F20" s="1079">
        <f t="shared" si="69"/>
        <v>241.34030753190925</v>
      </c>
      <c r="G20" s="3401"/>
      <c r="H20" s="1084">
        <v>2</v>
      </c>
      <c r="I20" s="1084">
        <v>0.77</v>
      </c>
      <c r="J20" s="1084">
        <v>0.69</v>
      </c>
      <c r="K20" s="1084">
        <v>0.8</v>
      </c>
      <c r="L20" s="1117">
        <v>0.88</v>
      </c>
      <c r="N20" s="1110">
        <f t="shared" si="67"/>
        <v>7.7000000000000002E-3</v>
      </c>
      <c r="O20" s="1116">
        <f t="shared" si="63"/>
        <v>6.8999999999999999E-3</v>
      </c>
      <c r="P20" s="1116">
        <f t="shared" si="63"/>
        <v>8.0000000000000002E-3</v>
      </c>
      <c r="Q20" s="1116">
        <f t="shared" si="63"/>
        <v>8.8000000000000005E-3</v>
      </c>
      <c r="R20" s="1144"/>
      <c r="S20" s="1110"/>
      <c r="T20" s="1111"/>
      <c r="U20" s="1111"/>
      <c r="V20" s="1111"/>
      <c r="X20" s="1139">
        <f>ROUND(SUMPRODUCT(PRODUCT(1+N20:N$24)),4)</f>
        <v>1.048</v>
      </c>
      <c r="Y20" s="1139">
        <f>ROUND(SUMPRODUCT(PRODUCT(1+O20:O$24)),4)</f>
        <v>1.0524</v>
      </c>
      <c r="Z20" s="1139">
        <f t="shared" si="0"/>
        <v>1.0524</v>
      </c>
      <c r="AA20" s="1139">
        <f>ROUND(SUMPRODUCT(PRODUCT(1+P20:P$24)),4)</f>
        <v>1.0470999999999999</v>
      </c>
      <c r="AB20" s="1139">
        <f>ROUND(SUMPRODUCT(PRODUCT(1+Q20:Q$24)),4)</f>
        <v>1.0504</v>
      </c>
      <c r="AD20" s="1154">
        <f>ROUND(AVERAGE(I20:I$25)/100,4)</f>
        <v>1.2800000000000001E-2</v>
      </c>
      <c r="AE20" s="1154">
        <f>ROUND(AVERAGE(J20:J$25)/100,4)</f>
        <v>1.2500000000000001E-2</v>
      </c>
      <c r="AF20" s="1154">
        <f t="shared" si="1"/>
        <v>1.2500000000000001E-2</v>
      </c>
      <c r="AG20" s="1154">
        <f>ROUND(AVERAGE(K20:K$25)/100,4)</f>
        <v>1.32E-2</v>
      </c>
      <c r="AH20" s="1154">
        <f>ROUND(AVERAGE(L20:L$25)/100,4)</f>
        <v>1.0500000000000001E-2</v>
      </c>
    </row>
    <row r="21" spans="1:34">
      <c r="A21" s="1078" t="s">
        <v>2017</v>
      </c>
      <c r="B21" s="1079">
        <f t="shared" si="68"/>
        <v>319.87748030386797</v>
      </c>
      <c r="C21" s="1079">
        <f t="shared" si="68"/>
        <v>269.60135833173649</v>
      </c>
      <c r="D21" s="1079">
        <f t="shared" si="65"/>
        <v>269.60135833173649</v>
      </c>
      <c r="E21" s="1079">
        <f t="shared" si="69"/>
        <v>439.18089823583784</v>
      </c>
      <c r="F21" s="1079">
        <f t="shared" si="69"/>
        <v>239.23503918706311</v>
      </c>
      <c r="G21" s="3404"/>
      <c r="H21" s="1080">
        <v>1</v>
      </c>
      <c r="I21" s="1080">
        <v>0.51</v>
      </c>
      <c r="J21" s="1080">
        <v>0.54</v>
      </c>
      <c r="K21" s="1080">
        <v>0.48</v>
      </c>
      <c r="L21" s="1112">
        <v>0.93</v>
      </c>
      <c r="N21" s="1118">
        <f t="shared" si="67"/>
        <v>5.1000000000000004E-3</v>
      </c>
      <c r="O21" s="1119">
        <f t="shared" si="63"/>
        <v>5.4000000000000003E-3</v>
      </c>
      <c r="P21" s="1119">
        <f t="shared" si="63"/>
        <v>4.7999999999999996E-3</v>
      </c>
      <c r="Q21" s="1119">
        <f t="shared" si="63"/>
        <v>9.300000000000001E-3</v>
      </c>
      <c r="R21" s="1144"/>
      <c r="S21" s="1118">
        <f>B21/B22-1</f>
        <v>5.9040261127922822E-3</v>
      </c>
      <c r="T21" s="1119">
        <f>C21/C22-1</f>
        <v>5.9752176557332781E-3</v>
      </c>
      <c r="U21" s="1119">
        <f>E21/E22-1</f>
        <v>4.9906138119859556E-3</v>
      </c>
      <c r="V21" s="1119">
        <f>F21/F22-1</f>
        <v>9.4305450930933787E-3</v>
      </c>
      <c r="X21" s="1139">
        <f>ROUND(SUMPRODUCT(PRODUCT(1+N21:N$24)),4)</f>
        <v>1.0399</v>
      </c>
      <c r="Y21" s="1139">
        <f>ROUND(SUMPRODUCT(PRODUCT(1+O21:O$24)),4)</f>
        <v>1.0451999999999999</v>
      </c>
      <c r="Z21" s="1139">
        <f t="shared" si="0"/>
        <v>1.0451999999999999</v>
      </c>
      <c r="AA21" s="1139">
        <f>ROUND(SUMPRODUCT(PRODUCT(1+P21:P$24)),4)</f>
        <v>1.0387999999999999</v>
      </c>
      <c r="AB21" s="1139">
        <f>ROUND(SUMPRODUCT(PRODUCT(1+Q21:Q$24)),4)</f>
        <v>1.0411999999999999</v>
      </c>
      <c r="AD21" s="1154">
        <f>ROUND(AVERAGE(I21:I$25)/100,4)</f>
        <v>1.38E-2</v>
      </c>
      <c r="AE21" s="1154">
        <f>ROUND(AVERAGE(J21:J$25)/100,4)</f>
        <v>1.3599999999999999E-2</v>
      </c>
      <c r="AF21" s="1154">
        <f t="shared" si="1"/>
        <v>1.3599999999999999E-2</v>
      </c>
      <c r="AG21" s="1154">
        <f>ROUND(AVERAGE(K21:K$25)/100,4)</f>
        <v>1.4200000000000001E-2</v>
      </c>
      <c r="AH21" s="1154">
        <f>ROUND(AVERAGE(L21:L$25)/100,4)</f>
        <v>1.0800000000000001E-2</v>
      </c>
    </row>
    <row r="22" spans="1:34">
      <c r="A22" s="1078" t="s">
        <v>2018</v>
      </c>
      <c r="B22" s="1089">
        <v>318</v>
      </c>
      <c r="C22" s="1089">
        <v>268</v>
      </c>
      <c r="D22" s="1089">
        <f t="shared" si="65"/>
        <v>268</v>
      </c>
      <c r="E22" s="1089">
        <v>437</v>
      </c>
      <c r="F22" s="1090">
        <v>237</v>
      </c>
      <c r="G22" s="3405">
        <v>2014</v>
      </c>
      <c r="H22" s="1087">
        <v>4</v>
      </c>
      <c r="I22" s="1087">
        <v>0.21</v>
      </c>
      <c r="J22" s="1087">
        <v>0.41</v>
      </c>
      <c r="K22" s="1087">
        <v>0.12</v>
      </c>
      <c r="L22" s="1120">
        <v>0.89</v>
      </c>
      <c r="N22" s="1110">
        <f t="shared" si="67"/>
        <v>2.0999999999999999E-3</v>
      </c>
      <c r="O22" s="1111">
        <f t="shared" si="63"/>
        <v>4.0999999999999995E-3</v>
      </c>
      <c r="P22" s="1111">
        <f t="shared" si="63"/>
        <v>1.1999999999999999E-3</v>
      </c>
      <c r="Q22" s="1111">
        <f t="shared" si="63"/>
        <v>8.8999999999999999E-3</v>
      </c>
      <c r="R22" s="1144"/>
      <c r="S22" s="1145"/>
      <c r="T22" s="1146"/>
      <c r="U22" s="1146"/>
      <c r="V22" s="1146"/>
      <c r="X22" s="1139">
        <f>ROUND(SUMPRODUCT(PRODUCT(1+N22:N$24)),4)</f>
        <v>1.0347</v>
      </c>
      <c r="Y22" s="1139">
        <f>ROUND(SUMPRODUCT(PRODUCT(1+O22:O$24)),4)</f>
        <v>1.0395000000000001</v>
      </c>
      <c r="Z22" s="1139">
        <f t="shared" si="0"/>
        <v>1.0395000000000001</v>
      </c>
      <c r="AA22" s="1139">
        <f>ROUND(SUMPRODUCT(PRODUCT(1+P22:P$24)),4)</f>
        <v>1.0338000000000001</v>
      </c>
      <c r="AB22" s="1139">
        <f>ROUND(SUMPRODUCT(PRODUCT(1+Q22:Q$24)),4)</f>
        <v>1.0316000000000001</v>
      </c>
      <c r="AD22" s="1154">
        <f>ROUND(AVERAGE(I22:I$25)/100,4)</f>
        <v>1.6E-2</v>
      </c>
      <c r="AE22" s="1154">
        <f>ROUND(AVERAGE(J22:J$25)/100,4)</f>
        <v>1.5599999999999999E-2</v>
      </c>
      <c r="AF22" s="1154">
        <f t="shared" si="1"/>
        <v>1.5599999999999999E-2</v>
      </c>
      <c r="AG22" s="1154">
        <f>ROUND(AVERAGE(K22:K$25)/100,4)</f>
        <v>1.66E-2</v>
      </c>
      <c r="AH22" s="1154">
        <f>ROUND(AVERAGE(L22:L$25)/100,4)</f>
        <v>1.12E-2</v>
      </c>
    </row>
    <row r="23" spans="1:34">
      <c r="A23" s="1078" t="s">
        <v>2019</v>
      </c>
      <c r="B23" s="1079">
        <f t="shared" ref="B23:C25" si="70">B22/(1+N22)</f>
        <v>317.33359944117353</v>
      </c>
      <c r="C23" s="1079">
        <f t="shared" si="70"/>
        <v>266.90568668459315</v>
      </c>
      <c r="D23" s="1079">
        <f t="shared" si="65"/>
        <v>266.90568668459315</v>
      </c>
      <c r="E23" s="1079">
        <f t="shared" ref="E23:F25" si="71">E22/(1+P22)</f>
        <v>436.47622852576905</v>
      </c>
      <c r="F23" s="1079">
        <f t="shared" si="71"/>
        <v>234.90930716622066</v>
      </c>
      <c r="G23" s="3401"/>
      <c r="H23" s="1091">
        <v>3</v>
      </c>
      <c r="I23" s="1091">
        <v>0.83</v>
      </c>
      <c r="J23" s="1091">
        <v>1.47</v>
      </c>
      <c r="K23" s="1091">
        <v>0.65</v>
      </c>
      <c r="L23" s="1122">
        <v>0.72</v>
      </c>
      <c r="N23" s="1110">
        <f t="shared" si="67"/>
        <v>8.3000000000000001E-3</v>
      </c>
      <c r="O23" s="1111">
        <f t="shared" si="63"/>
        <v>1.47E-2</v>
      </c>
      <c r="P23" s="1111">
        <f t="shared" si="63"/>
        <v>6.5000000000000006E-3</v>
      </c>
      <c r="Q23" s="1111">
        <f t="shared" si="63"/>
        <v>7.1999999999999998E-3</v>
      </c>
      <c r="R23" s="1144"/>
      <c r="S23" s="1110"/>
      <c r="T23" s="1111"/>
      <c r="U23" s="1111"/>
      <c r="V23" s="1111"/>
      <c r="X23" s="1139">
        <f>ROUND(SUMPRODUCT(PRODUCT(1+N23:N$24)),4)</f>
        <v>1.0325</v>
      </c>
      <c r="Y23" s="1139">
        <f>ROUND(SUMPRODUCT(PRODUCT(1+O23:O$24)),4)</f>
        <v>1.0353000000000001</v>
      </c>
      <c r="Z23" s="1139">
        <f t="shared" ref="Z23:Z24" si="72">Y23</f>
        <v>1.0353000000000001</v>
      </c>
      <c r="AA23" s="1139">
        <f>ROUND(SUMPRODUCT(PRODUCT(1+P23:P$24)),4)</f>
        <v>1.0326</v>
      </c>
      <c r="AB23" s="1139">
        <f>ROUND(SUMPRODUCT(PRODUCT(1+Q23:Q$24)),4)</f>
        <v>1.0225</v>
      </c>
      <c r="AD23" s="1154">
        <f>ROUND(AVERAGE(I23:I$25)/100,4)</f>
        <v>2.07E-2</v>
      </c>
      <c r="AE23" s="1154">
        <f>ROUND(AVERAGE(J23:J$25)/100,4)</f>
        <v>1.95E-2</v>
      </c>
      <c r="AF23" s="1154">
        <f t="shared" si="1"/>
        <v>1.95E-2</v>
      </c>
      <c r="AG23" s="1154">
        <f>ROUND(AVERAGE(K23:K$25)/100,4)</f>
        <v>2.1700000000000001E-2</v>
      </c>
      <c r="AH23" s="1154">
        <f>ROUND(AVERAGE(L23:L$25)/100,4)</f>
        <v>1.2E-2</v>
      </c>
    </row>
    <row r="24" spans="1:34">
      <c r="A24" s="1078" t="s">
        <v>2020</v>
      </c>
      <c r="B24" s="1079">
        <f t="shared" si="70"/>
        <v>314.72141172386546</v>
      </c>
      <c r="C24" s="1079">
        <f t="shared" si="70"/>
        <v>263.03901319069001</v>
      </c>
      <c r="D24" s="1079">
        <f t="shared" si="65"/>
        <v>263.03901319069001</v>
      </c>
      <c r="E24" s="1079">
        <f t="shared" si="71"/>
        <v>433.65745506782821</v>
      </c>
      <c r="F24" s="1079">
        <f t="shared" si="71"/>
        <v>233.23005080045735</v>
      </c>
      <c r="G24" s="3401"/>
      <c r="H24" s="1087">
        <v>2</v>
      </c>
      <c r="I24" s="1087">
        <v>2.4</v>
      </c>
      <c r="J24" s="1087">
        <v>2.0299999999999998</v>
      </c>
      <c r="K24" s="1087">
        <v>2.59</v>
      </c>
      <c r="L24" s="1120">
        <v>1.52</v>
      </c>
      <c r="N24" s="1110">
        <f t="shared" si="67"/>
        <v>2.4E-2</v>
      </c>
      <c r="O24" s="1111">
        <f t="shared" si="63"/>
        <v>2.0299999999999999E-2</v>
      </c>
      <c r="P24" s="1111">
        <f t="shared" si="63"/>
        <v>2.5899999999999999E-2</v>
      </c>
      <c r="Q24" s="1111">
        <f t="shared" si="63"/>
        <v>1.52E-2</v>
      </c>
      <c r="R24" s="1144"/>
      <c r="S24" s="1110"/>
      <c r="T24" s="1111"/>
      <c r="U24" s="1111"/>
      <c r="V24" s="1111"/>
      <c r="X24" s="1139">
        <f>1+N24</f>
        <v>1.024</v>
      </c>
      <c r="Y24" s="1139">
        <f>1+O24</f>
        <v>1.0203</v>
      </c>
      <c r="Z24" s="1139">
        <f t="shared" si="72"/>
        <v>1.0203</v>
      </c>
      <c r="AA24" s="1139">
        <f>1+P24</f>
        <v>1.0259</v>
      </c>
      <c r="AB24" s="1139">
        <f>1+Q24</f>
        <v>1.0152000000000001</v>
      </c>
      <c r="AD24" s="1154">
        <f>ROUND(AVERAGE(I24:I$25)/100,4)</f>
        <v>2.69E-2</v>
      </c>
      <c r="AE24" s="1154">
        <f>ROUND(AVERAGE(J24:J$25)/100,4)</f>
        <v>2.1899999999999999E-2</v>
      </c>
      <c r="AF24" s="1154">
        <f t="shared" ref="AF24:AF25" si="73">AE24</f>
        <v>2.1899999999999999E-2</v>
      </c>
      <c r="AG24" s="1154">
        <f>ROUND(AVERAGE(K24:K$25)/100,4)</f>
        <v>2.9399999999999999E-2</v>
      </c>
      <c r="AH24" s="1154">
        <f>ROUND(AVERAGE(L24:L$25)/100,4)</f>
        <v>1.44E-2</v>
      </c>
    </row>
    <row r="25" spans="1:34" s="1056" customFormat="1">
      <c r="A25" s="1092" t="s">
        <v>2021</v>
      </c>
      <c r="B25" s="1093">
        <f t="shared" si="70"/>
        <v>307.34512863658733</v>
      </c>
      <c r="C25" s="1093">
        <f t="shared" si="70"/>
        <v>257.80556031626975</v>
      </c>
      <c r="D25" s="1093">
        <f t="shared" si="65"/>
        <v>257.80556031626975</v>
      </c>
      <c r="E25" s="1093">
        <f t="shared" si="71"/>
        <v>422.70928459677179</v>
      </c>
      <c r="F25" s="1093">
        <f t="shared" si="71"/>
        <v>229.73803270336617</v>
      </c>
      <c r="G25" s="3404"/>
      <c r="H25" s="1094">
        <v>1</v>
      </c>
      <c r="I25" s="1094">
        <v>2.97</v>
      </c>
      <c r="J25" s="1094">
        <v>2.34</v>
      </c>
      <c r="K25" s="1094">
        <v>3.28</v>
      </c>
      <c r="L25" s="1123">
        <v>1.36</v>
      </c>
      <c r="N25" s="1124">
        <f t="shared" si="67"/>
        <v>2.9700000000000001E-2</v>
      </c>
      <c r="O25" s="1125">
        <f t="shared" si="63"/>
        <v>2.3399999999999997E-2</v>
      </c>
      <c r="P25" s="1125">
        <f t="shared" si="63"/>
        <v>3.2799999999999996E-2</v>
      </c>
      <c r="Q25" s="1125">
        <f t="shared" si="63"/>
        <v>1.3600000000000001E-2</v>
      </c>
      <c r="R25" s="1147"/>
      <c r="S25" s="1148">
        <f>B25/B26-1</f>
        <v>2.7910129219355539E-2</v>
      </c>
      <c r="T25" s="1149">
        <f>C25/C26-1</f>
        <v>2.3037937762975247E-2</v>
      </c>
      <c r="U25" s="1149">
        <f>E25/E26-1</f>
        <v>3.3519033243940788E-2</v>
      </c>
      <c r="V25" s="1149">
        <f>F25/F26-1</f>
        <v>1.2061818076502862E-2</v>
      </c>
      <c r="W25" s="1150" t="s">
        <v>2022</v>
      </c>
      <c r="X25" s="1151">
        <v>1</v>
      </c>
      <c r="Y25" s="1151">
        <v>1</v>
      </c>
      <c r="Z25" s="1151">
        <v>1</v>
      </c>
      <c r="AA25" s="1151">
        <v>1</v>
      </c>
      <c r="AB25" s="1151">
        <v>1</v>
      </c>
      <c r="AD25" s="1160">
        <f>I25/100</f>
        <v>2.9700000000000001E-2</v>
      </c>
      <c r="AE25" s="1160">
        <f>J25/100</f>
        <v>2.3399999999999997E-2</v>
      </c>
      <c r="AF25" s="1160">
        <f t="shared" si="73"/>
        <v>2.3399999999999997E-2</v>
      </c>
      <c r="AG25" s="1160">
        <f>K25/100</f>
        <v>3.2799999999999996E-2</v>
      </c>
      <c r="AH25" s="1160">
        <f>L25/100</f>
        <v>1.3600000000000001E-2</v>
      </c>
    </row>
    <row r="26" spans="1:34">
      <c r="A26" s="1078" t="s">
        <v>2023</v>
      </c>
      <c r="B26" s="1085">
        <v>299</v>
      </c>
      <c r="C26" s="1085">
        <v>252</v>
      </c>
      <c r="D26" s="1085">
        <f t="shared" si="65"/>
        <v>252</v>
      </c>
      <c r="E26" s="1085">
        <v>409</v>
      </c>
      <c r="F26" s="1086">
        <v>227</v>
      </c>
      <c r="G26" s="3406">
        <v>2013</v>
      </c>
      <c r="H26" s="1095">
        <v>4</v>
      </c>
      <c r="I26" s="1095">
        <v>1.83</v>
      </c>
      <c r="J26" s="1095">
        <v>1.68</v>
      </c>
      <c r="K26" s="1095">
        <v>1.97</v>
      </c>
      <c r="L26" s="1126">
        <v>0.87</v>
      </c>
      <c r="N26" s="1114">
        <f t="shared" si="67"/>
        <v>1.83E-2</v>
      </c>
      <c r="O26" s="1115">
        <f t="shared" si="63"/>
        <v>1.6799999999999999E-2</v>
      </c>
      <c r="P26" s="1115">
        <f t="shared" si="63"/>
        <v>1.9699999999999999E-2</v>
      </c>
      <c r="Q26" s="1115">
        <f t="shared" si="63"/>
        <v>8.6999999999999994E-3</v>
      </c>
      <c r="R26" s="1144"/>
      <c r="S26" s="1145"/>
      <c r="T26" s="1146"/>
      <c r="U26" s="1146"/>
      <c r="V26" s="1146"/>
      <c r="X26" s="1146"/>
      <c r="Y26" s="1146"/>
      <c r="Z26" s="1146"/>
    </row>
    <row r="27" spans="1:34">
      <c r="A27" s="1078" t="s">
        <v>2024</v>
      </c>
      <c r="B27" s="1079">
        <f t="shared" ref="B27:C29" si="74">B26/(1+N26)</f>
        <v>293.62663262299913</v>
      </c>
      <c r="C27" s="1079">
        <f t="shared" si="74"/>
        <v>247.83634933123525</v>
      </c>
      <c r="D27" s="1079">
        <f t="shared" si="65"/>
        <v>247.83634933123525</v>
      </c>
      <c r="E27" s="1079">
        <f t="shared" ref="E27:F29" si="75">E26/(1+P26)</f>
        <v>401.09836226341076</v>
      </c>
      <c r="F27" s="1079">
        <f t="shared" si="75"/>
        <v>225.04213343908003</v>
      </c>
      <c r="G27" s="3407"/>
      <c r="H27" s="1088">
        <v>3</v>
      </c>
      <c r="I27" s="1088">
        <v>1.86</v>
      </c>
      <c r="J27" s="1088">
        <v>1.72</v>
      </c>
      <c r="K27" s="1088">
        <v>1.98</v>
      </c>
      <c r="L27" s="1121">
        <v>0.88</v>
      </c>
      <c r="N27" s="1110">
        <f t="shared" si="67"/>
        <v>1.8600000000000002E-2</v>
      </c>
      <c r="O27" s="1116">
        <f t="shared" si="63"/>
        <v>1.72E-2</v>
      </c>
      <c r="P27" s="1116">
        <f t="shared" si="63"/>
        <v>1.9799999999999998E-2</v>
      </c>
      <c r="Q27" s="1116">
        <f t="shared" si="63"/>
        <v>8.8000000000000005E-3</v>
      </c>
      <c r="R27" s="1144"/>
      <c r="S27" s="1110"/>
      <c r="T27" s="1111"/>
      <c r="U27" s="1111"/>
      <c r="V27" s="1111"/>
    </row>
    <row r="28" spans="1:34">
      <c r="A28" s="1078" t="s">
        <v>2025</v>
      </c>
      <c r="B28" s="1079">
        <f t="shared" si="74"/>
        <v>288.2649053828776</v>
      </c>
      <c r="C28" s="1079">
        <f t="shared" si="74"/>
        <v>243.64564425013293</v>
      </c>
      <c r="D28" s="1079">
        <f t="shared" si="65"/>
        <v>243.64564425013293</v>
      </c>
      <c r="E28" s="1079">
        <f t="shared" si="75"/>
        <v>393.31080825986544</v>
      </c>
      <c r="F28" s="1079">
        <f t="shared" si="75"/>
        <v>223.07903790551154</v>
      </c>
      <c r="G28" s="3407"/>
      <c r="H28" s="1084">
        <v>2</v>
      </c>
      <c r="I28" s="1084">
        <v>2.04</v>
      </c>
      <c r="J28" s="1084">
        <v>2.33</v>
      </c>
      <c r="K28" s="1084">
        <v>2.0699999999999998</v>
      </c>
      <c r="L28" s="1117">
        <v>0.69</v>
      </c>
      <c r="N28" s="1110">
        <f t="shared" si="67"/>
        <v>2.0400000000000001E-2</v>
      </c>
      <c r="O28" s="1116">
        <f t="shared" si="63"/>
        <v>2.3300000000000001E-2</v>
      </c>
      <c r="P28" s="1116">
        <f t="shared" si="63"/>
        <v>2.07E-2</v>
      </c>
      <c r="Q28" s="1116">
        <f t="shared" si="63"/>
        <v>6.8999999999999999E-3</v>
      </c>
      <c r="R28" s="1144"/>
      <c r="S28" s="1110"/>
      <c r="T28" s="1111"/>
      <c r="U28" s="1111"/>
      <c r="V28" s="1111"/>
      <c r="X28" s="1152"/>
      <c r="Y28" s="1161"/>
    </row>
    <row r="29" spans="1:34">
      <c r="A29" s="1078" t="s">
        <v>2026</v>
      </c>
      <c r="B29" s="1079">
        <f t="shared" si="74"/>
        <v>282.50186729015837</v>
      </c>
      <c r="C29" s="1079">
        <f t="shared" si="74"/>
        <v>238.09796174155468</v>
      </c>
      <c r="D29" s="1079">
        <f t="shared" si="65"/>
        <v>238.09796174155468</v>
      </c>
      <c r="E29" s="1079">
        <f t="shared" si="75"/>
        <v>385.33438646014054</v>
      </c>
      <c r="F29" s="1079">
        <f t="shared" si="75"/>
        <v>221.55034055567739</v>
      </c>
      <c r="G29" s="3408"/>
      <c r="H29" s="1080">
        <v>1</v>
      </c>
      <c r="I29" s="1080">
        <v>1.67</v>
      </c>
      <c r="J29" s="1080">
        <v>1.31</v>
      </c>
      <c r="K29" s="1080">
        <v>1.85</v>
      </c>
      <c r="L29" s="1112">
        <v>0.96</v>
      </c>
      <c r="N29" s="1118">
        <f t="shared" si="67"/>
        <v>1.67E-2</v>
      </c>
      <c r="O29" s="1119">
        <f t="shared" si="63"/>
        <v>1.3100000000000001E-2</v>
      </c>
      <c r="P29" s="1119">
        <f t="shared" si="63"/>
        <v>1.8500000000000003E-2</v>
      </c>
      <c r="Q29" s="1119">
        <f t="shared" si="63"/>
        <v>9.5999999999999992E-3</v>
      </c>
      <c r="R29" s="1144"/>
      <c r="S29" s="1118">
        <f>B29/B30-1</f>
        <v>1.6193767230785472E-2</v>
      </c>
      <c r="T29" s="1119">
        <f>C29/C30-1</f>
        <v>1.7512657015190891E-2</v>
      </c>
      <c r="U29" s="1119">
        <f>E29/E30-1</f>
        <v>1.6713420739157048E-2</v>
      </c>
      <c r="V29" s="1119">
        <f>F29/F30-1</f>
        <v>7.0470025258062563E-3</v>
      </c>
      <c r="X29" s="1153"/>
      <c r="Y29" s="1154"/>
      <c r="Z29" s="1154"/>
    </row>
    <row r="30" spans="1:34">
      <c r="A30" s="1078" t="s">
        <v>2027</v>
      </c>
      <c r="B30" s="1096">
        <v>278</v>
      </c>
      <c r="C30" s="1096">
        <v>234</v>
      </c>
      <c r="D30" s="1096">
        <f t="shared" si="65"/>
        <v>234</v>
      </c>
      <c r="E30" s="1096">
        <v>379</v>
      </c>
      <c r="F30" s="1097">
        <v>220</v>
      </c>
      <c r="G30" s="3405">
        <v>2012</v>
      </c>
      <c r="H30" s="1087">
        <v>4</v>
      </c>
      <c r="I30" s="1087">
        <v>0.91</v>
      </c>
      <c r="J30" s="1087">
        <v>0.68</v>
      </c>
      <c r="K30" s="1087">
        <v>0.98</v>
      </c>
      <c r="L30" s="1120">
        <v>0.9</v>
      </c>
      <c r="N30" s="1110">
        <f t="shared" si="67"/>
        <v>9.1000000000000004E-3</v>
      </c>
      <c r="O30" s="1111">
        <f t="shared" si="67"/>
        <v>6.8000000000000005E-3</v>
      </c>
      <c r="P30" s="1111">
        <f t="shared" si="67"/>
        <v>9.7999999999999997E-3</v>
      </c>
      <c r="Q30" s="1111">
        <f t="shared" si="67"/>
        <v>9.0000000000000011E-3</v>
      </c>
      <c r="R30" s="1144"/>
      <c r="S30" s="1145"/>
      <c r="T30" s="1146"/>
      <c r="U30" s="1146"/>
      <c r="V30" s="1146"/>
      <c r="X30" s="1146"/>
      <c r="Y30" s="1146"/>
      <c r="Z30" s="1146"/>
    </row>
    <row r="31" spans="1:34">
      <c r="A31" s="1078" t="s">
        <v>2028</v>
      </c>
      <c r="B31" s="1079">
        <f>B30/(1+N30)</f>
        <v>275.49301357645425</v>
      </c>
      <c r="C31" s="1079">
        <f>C30/(1+O30)</f>
        <v>232.41954707985698</v>
      </c>
      <c r="D31" s="1079">
        <f t="shared" si="65"/>
        <v>232.41954707985698</v>
      </c>
      <c r="E31" s="1079">
        <f t="shared" ref="E31:F33" si="76">E30/(1+P30)</f>
        <v>375.32184591008121</v>
      </c>
      <c r="F31" s="1079">
        <f t="shared" si="76"/>
        <v>218.03766105054513</v>
      </c>
      <c r="G31" s="3401"/>
      <c r="H31" s="1088">
        <v>3</v>
      </c>
      <c r="I31" s="1088">
        <v>0.09</v>
      </c>
      <c r="J31" s="1088">
        <v>0.28999999999999998</v>
      </c>
      <c r="K31" s="1088">
        <v>-0.01</v>
      </c>
      <c r="L31" s="1121">
        <v>0.57999999999999996</v>
      </c>
      <c r="N31" s="1110">
        <f t="shared" si="67"/>
        <v>8.9999999999999998E-4</v>
      </c>
      <c r="O31" s="1111">
        <f t="shared" si="67"/>
        <v>2.8999999999999998E-3</v>
      </c>
      <c r="P31" s="1111">
        <f t="shared" si="67"/>
        <v>-1E-4</v>
      </c>
      <c r="Q31" s="1111">
        <f t="shared" si="67"/>
        <v>5.7999999999999996E-3</v>
      </c>
      <c r="R31" s="1144"/>
      <c r="S31" s="1110"/>
      <c r="T31" s="1111"/>
      <c r="U31" s="1111"/>
      <c r="V31" s="1111"/>
    </row>
    <row r="32" spans="1:34">
      <c r="A32" s="1078" t="s">
        <v>2029</v>
      </c>
      <c r="B32" s="1079">
        <f>B31/(1+N31)</f>
        <v>275.24529281292263</v>
      </c>
      <c r="C32" s="1079">
        <f>C31/(1+O31)</f>
        <v>231.74747938962707</v>
      </c>
      <c r="D32" s="1079">
        <f t="shared" si="65"/>
        <v>231.74747938962707</v>
      </c>
      <c r="E32" s="1079">
        <f t="shared" si="76"/>
        <v>375.35938184826603</v>
      </c>
      <c r="F32" s="1079">
        <f t="shared" si="76"/>
        <v>216.78033510692495</v>
      </c>
      <c r="G32" s="3401"/>
      <c r="H32" s="1084">
        <v>2</v>
      </c>
      <c r="I32" s="1084">
        <v>0.02</v>
      </c>
      <c r="J32" s="1084">
        <v>0.12</v>
      </c>
      <c r="K32" s="1084">
        <v>-0.08</v>
      </c>
      <c r="L32" s="1117">
        <v>1.24</v>
      </c>
      <c r="N32" s="1110">
        <f t="shared" si="67"/>
        <v>2.0000000000000001E-4</v>
      </c>
      <c r="O32" s="1111">
        <f t="shared" si="67"/>
        <v>1.1999999999999999E-3</v>
      </c>
      <c r="P32" s="1111">
        <f t="shared" si="67"/>
        <v>-8.0000000000000004E-4</v>
      </c>
      <c r="Q32" s="1111">
        <f t="shared" si="67"/>
        <v>1.24E-2</v>
      </c>
      <c r="R32" s="1144"/>
      <c r="S32" s="1110"/>
      <c r="T32" s="1111"/>
      <c r="U32" s="1111"/>
      <c r="V32" s="1111"/>
    </row>
    <row r="33" spans="1:26">
      <c r="A33" s="1078" t="s">
        <v>2030</v>
      </c>
      <c r="B33" s="1079">
        <f>B32/(1+N32)</f>
        <v>275.19025476197027</v>
      </c>
      <c r="C33" s="1098">
        <v>232</v>
      </c>
      <c r="D33" s="1098">
        <f t="shared" si="65"/>
        <v>232</v>
      </c>
      <c r="E33" s="1079">
        <f t="shared" si="76"/>
        <v>375.65990977608692</v>
      </c>
      <c r="F33" s="1079">
        <f t="shared" si="76"/>
        <v>214.12518283971252</v>
      </c>
      <c r="G33" s="3404"/>
      <c r="H33" s="1080">
        <v>1</v>
      </c>
      <c r="I33" s="1080">
        <v>0.02</v>
      </c>
      <c r="J33" s="1080">
        <v>0.13</v>
      </c>
      <c r="K33" s="1080">
        <v>-0.04</v>
      </c>
      <c r="L33" s="1112">
        <v>0.46</v>
      </c>
      <c r="N33" s="1110">
        <f t="shared" si="67"/>
        <v>2.0000000000000001E-4</v>
      </c>
      <c r="O33" s="1111">
        <f t="shared" si="67"/>
        <v>1.2999999999999999E-3</v>
      </c>
      <c r="P33" s="1111">
        <f t="shared" si="67"/>
        <v>-4.0000000000000002E-4</v>
      </c>
      <c r="Q33" s="1111">
        <f t="shared" si="67"/>
        <v>4.5999999999999999E-3</v>
      </c>
      <c r="R33" s="1144"/>
      <c r="S33" s="1118">
        <f>B33/B34-1</f>
        <v>6.9183549807361189E-4</v>
      </c>
      <c r="T33" s="1119">
        <f>C33/C34-1</f>
        <v>0</v>
      </c>
      <c r="U33" s="1119">
        <f>E33/E34-1</f>
        <v>-9.0449527636460303E-4</v>
      </c>
      <c r="V33" s="1119">
        <f>F33/F34-1</f>
        <v>5.2825485432512753E-3</v>
      </c>
      <c r="X33" s="1154"/>
      <c r="Y33" s="1154"/>
      <c r="Z33" s="1154"/>
    </row>
    <row r="34" spans="1:26">
      <c r="A34" s="1078" t="s">
        <v>2031</v>
      </c>
      <c r="B34" s="1085">
        <v>275</v>
      </c>
      <c r="C34" s="1085">
        <v>232</v>
      </c>
      <c r="D34" s="1085">
        <f t="shared" si="65"/>
        <v>232</v>
      </c>
      <c r="E34" s="1085">
        <v>376</v>
      </c>
      <c r="F34" s="1086">
        <v>213</v>
      </c>
      <c r="G34" s="3405">
        <v>2011</v>
      </c>
      <c r="H34" s="1087">
        <v>4</v>
      </c>
      <c r="I34" s="1087">
        <v>-0.2</v>
      </c>
      <c r="J34" s="1087">
        <v>0.04</v>
      </c>
      <c r="K34" s="1087">
        <v>-0.34</v>
      </c>
      <c r="L34" s="1120">
        <v>0.46</v>
      </c>
      <c r="N34" s="1114">
        <f t="shared" si="67"/>
        <v>-2E-3</v>
      </c>
      <c r="O34" s="1115">
        <f t="shared" si="67"/>
        <v>4.0000000000000002E-4</v>
      </c>
      <c r="P34" s="1115">
        <f t="shared" si="67"/>
        <v>-3.4000000000000002E-3</v>
      </c>
      <c r="Q34" s="1115">
        <f t="shared" si="67"/>
        <v>4.5999999999999999E-3</v>
      </c>
      <c r="R34" s="1144"/>
      <c r="S34" s="1145"/>
      <c r="T34" s="1146"/>
      <c r="U34" s="1146"/>
      <c r="V34" s="1146"/>
      <c r="X34" s="1146"/>
      <c r="Y34" s="1146"/>
      <c r="Z34" s="1146"/>
    </row>
    <row r="35" spans="1:26">
      <c r="A35" s="1078" t="s">
        <v>2032</v>
      </c>
      <c r="B35" s="1079">
        <f t="shared" ref="B35:C37" si="77">B34/(1+N34)</f>
        <v>275.55110220440883</v>
      </c>
      <c r="C35" s="1079">
        <f t="shared" si="77"/>
        <v>231.90723710515795</v>
      </c>
      <c r="D35" s="1079">
        <f t="shared" si="65"/>
        <v>231.90723710515795</v>
      </c>
      <c r="E35" s="1079">
        <f t="shared" ref="E35:F37" si="78">E34/(1+P34)</f>
        <v>377.28276138872161</v>
      </c>
      <c r="F35" s="1079">
        <f t="shared" si="78"/>
        <v>212.02468644236512</v>
      </c>
      <c r="G35" s="3401">
        <v>2011</v>
      </c>
      <c r="H35" s="1088">
        <v>3</v>
      </c>
      <c r="I35" s="1088">
        <v>0.13</v>
      </c>
      <c r="J35" s="1088">
        <v>0.75</v>
      </c>
      <c r="K35" s="1088">
        <v>-0.08</v>
      </c>
      <c r="L35" s="1121">
        <v>0.53</v>
      </c>
      <c r="N35" s="1110">
        <f t="shared" si="67"/>
        <v>1.2999999999999999E-3</v>
      </c>
      <c r="O35" s="1116">
        <f t="shared" si="67"/>
        <v>7.4999999999999997E-3</v>
      </c>
      <c r="P35" s="1116">
        <f t="shared" si="67"/>
        <v>-8.0000000000000004E-4</v>
      </c>
      <c r="Q35" s="1116">
        <f t="shared" si="67"/>
        <v>5.3E-3</v>
      </c>
      <c r="R35" s="1144"/>
      <c r="S35" s="1110"/>
      <c r="T35" s="1111"/>
      <c r="U35" s="1111"/>
      <c r="V35" s="1111"/>
    </row>
    <row r="36" spans="1:26">
      <c r="A36" s="1078" t="s">
        <v>2033</v>
      </c>
      <c r="B36" s="1079">
        <f t="shared" si="77"/>
        <v>275.19335084830601</v>
      </c>
      <c r="C36" s="1079">
        <f t="shared" si="77"/>
        <v>230.18088050139744</v>
      </c>
      <c r="D36" s="1079">
        <f t="shared" si="65"/>
        <v>230.18088050139744</v>
      </c>
      <c r="E36" s="1079">
        <f t="shared" si="78"/>
        <v>377.58482925212331</v>
      </c>
      <c r="F36" s="1079">
        <f t="shared" si="78"/>
        <v>210.90687997847917</v>
      </c>
      <c r="G36" s="3401">
        <v>2011</v>
      </c>
      <c r="H36" s="1084">
        <v>2</v>
      </c>
      <c r="I36" s="1084">
        <v>-0.4</v>
      </c>
      <c r="J36" s="1084">
        <v>0.17</v>
      </c>
      <c r="K36" s="1084">
        <v>-0.57999999999999996</v>
      </c>
      <c r="L36" s="1117">
        <v>-0.2</v>
      </c>
      <c r="N36" s="1110">
        <f t="shared" si="67"/>
        <v>-4.0000000000000001E-3</v>
      </c>
      <c r="O36" s="1116">
        <f t="shared" si="67"/>
        <v>1.7000000000000001E-3</v>
      </c>
      <c r="P36" s="1116">
        <f t="shared" si="67"/>
        <v>-5.7999999999999996E-3</v>
      </c>
      <c r="Q36" s="1116">
        <f t="shared" si="67"/>
        <v>-2E-3</v>
      </c>
      <c r="R36" s="1144"/>
      <c r="S36" s="1110"/>
      <c r="T36" s="1111"/>
      <c r="U36" s="1111"/>
      <c r="V36" s="1111"/>
    </row>
    <row r="37" spans="1:26">
      <c r="A37" s="1078" t="s">
        <v>2034</v>
      </c>
      <c r="B37" s="1079">
        <f t="shared" si="77"/>
        <v>276.29854502841971</v>
      </c>
      <c r="C37" s="1079">
        <f t="shared" si="77"/>
        <v>229.79023709833027</v>
      </c>
      <c r="D37" s="1079">
        <f t="shared" si="65"/>
        <v>229.79023709833027</v>
      </c>
      <c r="E37" s="1079">
        <f t="shared" si="78"/>
        <v>379.78759731655936</v>
      </c>
      <c r="F37" s="1079">
        <f t="shared" si="78"/>
        <v>211.32953905659235</v>
      </c>
      <c r="G37" s="3404">
        <v>2011</v>
      </c>
      <c r="H37" s="1080">
        <v>1</v>
      </c>
      <c r="I37" s="1080">
        <v>2.65</v>
      </c>
      <c r="J37" s="1080">
        <v>3.76</v>
      </c>
      <c r="K37" s="1080">
        <v>1.89</v>
      </c>
      <c r="L37" s="1112">
        <v>7.95</v>
      </c>
      <c r="N37" s="1118">
        <f t="shared" si="67"/>
        <v>2.6499999999999999E-2</v>
      </c>
      <c r="O37" s="1119">
        <f t="shared" si="67"/>
        <v>3.7599999999999995E-2</v>
      </c>
      <c r="P37" s="1119">
        <f t="shared" si="67"/>
        <v>1.89E-2</v>
      </c>
      <c r="Q37" s="1119">
        <f t="shared" si="67"/>
        <v>7.9500000000000001E-2</v>
      </c>
      <c r="R37" s="1144"/>
      <c r="S37" s="1118">
        <f>B37/B38-1</f>
        <v>2.713213765211786E-2</v>
      </c>
      <c r="T37" s="1119">
        <f>C37/C38-1</f>
        <v>3.9774828499231862E-2</v>
      </c>
      <c r="U37" s="1119">
        <f>E37/E38-1</f>
        <v>1.8197311840641772E-2</v>
      </c>
      <c r="V37" s="1119">
        <f>F37/F38-1</f>
        <v>7.8211933962205826E-2</v>
      </c>
      <c r="X37" s="1154"/>
      <c r="Y37" s="1154"/>
      <c r="Z37" s="1154"/>
    </row>
    <row r="38" spans="1:26">
      <c r="A38" s="1078" t="s">
        <v>2035</v>
      </c>
      <c r="B38" s="1085">
        <v>269</v>
      </c>
      <c r="C38" s="1085">
        <v>221</v>
      </c>
      <c r="D38" s="1085">
        <f t="shared" si="65"/>
        <v>221</v>
      </c>
      <c r="E38" s="1085">
        <v>373</v>
      </c>
      <c r="F38" s="1086">
        <v>196</v>
      </c>
      <c r="G38" s="3405">
        <v>2010</v>
      </c>
      <c r="H38" s="1087">
        <v>4</v>
      </c>
      <c r="I38" s="1087">
        <v>5.72</v>
      </c>
      <c r="J38" s="1087">
        <v>6.57</v>
      </c>
      <c r="K38" s="1087">
        <v>5.72</v>
      </c>
      <c r="L38" s="1120">
        <v>2.72</v>
      </c>
      <c r="N38" s="1110">
        <f t="shared" si="67"/>
        <v>5.7200000000000001E-2</v>
      </c>
      <c r="O38" s="1111">
        <f t="shared" si="67"/>
        <v>6.5700000000000008E-2</v>
      </c>
      <c r="P38" s="1111">
        <f t="shared" si="67"/>
        <v>5.7200000000000001E-2</v>
      </c>
      <c r="Q38" s="1111">
        <f t="shared" si="67"/>
        <v>2.7200000000000002E-2</v>
      </c>
      <c r="R38" s="1144"/>
      <c r="S38" s="1145"/>
      <c r="T38" s="1146"/>
      <c r="U38" s="1146"/>
      <c r="V38" s="1146"/>
      <c r="X38" s="1146"/>
      <c r="Y38" s="1146"/>
      <c r="Z38" s="1146"/>
    </row>
    <row r="39" spans="1:26">
      <c r="A39" s="1078" t="s">
        <v>2036</v>
      </c>
      <c r="B39" s="1079">
        <f t="shared" ref="B39:C41" si="79">B38/(1+N38)</f>
        <v>254.44570563753314</v>
      </c>
      <c r="C39" s="1079">
        <f t="shared" si="79"/>
        <v>207.37543398705074</v>
      </c>
      <c r="D39" s="1079">
        <f t="shared" si="65"/>
        <v>207.37543398705074</v>
      </c>
      <c r="E39" s="1079">
        <f t="shared" ref="E39:F41" si="80">E38/(1+P38)</f>
        <v>352.81876655315932</v>
      </c>
      <c r="F39" s="1079">
        <f t="shared" si="80"/>
        <v>190.809968847352</v>
      </c>
      <c r="G39" s="3401">
        <v>2010</v>
      </c>
      <c r="H39" s="1088">
        <v>3</v>
      </c>
      <c r="I39" s="1088">
        <v>4.7300000000000004</v>
      </c>
      <c r="J39" s="1088">
        <v>3.9</v>
      </c>
      <c r="K39" s="1088">
        <v>5.03</v>
      </c>
      <c r="L39" s="1121">
        <v>4.21</v>
      </c>
      <c r="N39" s="1110">
        <f t="shared" si="67"/>
        <v>4.7300000000000002E-2</v>
      </c>
      <c r="O39" s="1111">
        <f t="shared" si="67"/>
        <v>3.9E-2</v>
      </c>
      <c r="P39" s="1111">
        <f t="shared" si="67"/>
        <v>5.0300000000000004E-2</v>
      </c>
      <c r="Q39" s="1111">
        <f t="shared" si="67"/>
        <v>4.2099999999999999E-2</v>
      </c>
      <c r="R39" s="1144"/>
      <c r="S39" s="1110"/>
      <c r="T39" s="1111"/>
      <c r="U39" s="1111"/>
      <c r="V39" s="1111"/>
    </row>
    <row r="40" spans="1:26">
      <c r="A40" s="1078" t="s">
        <v>2037</v>
      </c>
      <c r="B40" s="1079">
        <f t="shared" si="79"/>
        <v>242.95398227588385</v>
      </c>
      <c r="C40" s="1079">
        <f t="shared" si="79"/>
        <v>199.59137053614126</v>
      </c>
      <c r="D40" s="1079">
        <f t="shared" si="65"/>
        <v>199.59137053614126</v>
      </c>
      <c r="E40" s="1079">
        <f t="shared" si="80"/>
        <v>335.92189522342125</v>
      </c>
      <c r="F40" s="1079">
        <f t="shared" si="80"/>
        <v>183.10139991109489</v>
      </c>
      <c r="G40" s="3401">
        <v>2010</v>
      </c>
      <c r="H40" s="1084">
        <v>2</v>
      </c>
      <c r="I40" s="1084">
        <v>4.6900000000000004</v>
      </c>
      <c r="J40" s="1084">
        <v>3.55</v>
      </c>
      <c r="K40" s="1084">
        <v>5.07</v>
      </c>
      <c r="L40" s="1117">
        <v>4.2300000000000004</v>
      </c>
      <c r="N40" s="1110">
        <f t="shared" si="67"/>
        <v>4.6900000000000004E-2</v>
      </c>
      <c r="O40" s="1111">
        <f t="shared" si="67"/>
        <v>3.5499999999999997E-2</v>
      </c>
      <c r="P40" s="1111">
        <f t="shared" si="67"/>
        <v>5.0700000000000002E-2</v>
      </c>
      <c r="Q40" s="1111">
        <f t="shared" si="67"/>
        <v>4.2300000000000004E-2</v>
      </c>
      <c r="R40" s="1144"/>
      <c r="S40" s="1110"/>
      <c r="T40" s="1111"/>
      <c r="U40" s="1111"/>
      <c r="V40" s="1111"/>
    </row>
    <row r="41" spans="1:26">
      <c r="A41" s="1078" t="s">
        <v>2038</v>
      </c>
      <c r="B41" s="1079">
        <f t="shared" si="79"/>
        <v>232.06990378821649</v>
      </c>
      <c r="C41" s="1079">
        <f t="shared" si="79"/>
        <v>192.74878854286936</v>
      </c>
      <c r="D41" s="1079">
        <f t="shared" si="65"/>
        <v>192.74878854286936</v>
      </c>
      <c r="E41" s="1079">
        <f t="shared" si="80"/>
        <v>319.71247284992984</v>
      </c>
      <c r="F41" s="1079">
        <f t="shared" si="80"/>
        <v>175.67053622862409</v>
      </c>
      <c r="G41" s="3404">
        <v>2010</v>
      </c>
      <c r="H41" s="1080">
        <v>1</v>
      </c>
      <c r="I41" s="1080">
        <v>5.4</v>
      </c>
      <c r="J41" s="1080">
        <v>3.2</v>
      </c>
      <c r="K41" s="1080">
        <v>6.16</v>
      </c>
      <c r="L41" s="1112">
        <v>4.51</v>
      </c>
      <c r="N41" s="1110">
        <f t="shared" si="67"/>
        <v>5.4000000000000006E-2</v>
      </c>
      <c r="O41" s="1111">
        <f t="shared" si="67"/>
        <v>3.2000000000000001E-2</v>
      </c>
      <c r="P41" s="1111">
        <f t="shared" si="67"/>
        <v>6.1600000000000002E-2</v>
      </c>
      <c r="Q41" s="1111">
        <f t="shared" si="67"/>
        <v>4.5100000000000001E-2</v>
      </c>
      <c r="R41" s="1144"/>
      <c r="S41" s="1118">
        <f>B41/B42-1</f>
        <v>5.4863199037347599E-2</v>
      </c>
      <c r="T41" s="1119">
        <f>C41/C42-1</f>
        <v>3.0742184721226584E-2</v>
      </c>
      <c r="U41" s="1119">
        <f>E41/E42-1</f>
        <v>6.2167683886810154E-2</v>
      </c>
      <c r="V41" s="1119">
        <f>F41/F42-1</f>
        <v>4.5657953741810031E-2</v>
      </c>
      <c r="X41" s="1154"/>
      <c r="Y41" s="1154"/>
      <c r="Z41" s="1154"/>
    </row>
    <row r="42" spans="1:26">
      <c r="A42" s="1078" t="s">
        <v>2039</v>
      </c>
      <c r="B42" s="1085">
        <v>220</v>
      </c>
      <c r="C42" s="1085">
        <v>187</v>
      </c>
      <c r="D42" s="1085">
        <f t="shared" si="65"/>
        <v>187</v>
      </c>
      <c r="E42" s="1085">
        <v>301</v>
      </c>
      <c r="F42" s="1086">
        <v>168</v>
      </c>
      <c r="G42" s="3405">
        <v>2009</v>
      </c>
      <c r="H42" s="1087">
        <v>4</v>
      </c>
      <c r="I42" s="1087">
        <v>2.2999999999999998</v>
      </c>
      <c r="J42" s="1087">
        <v>1.04</v>
      </c>
      <c r="K42" s="1087">
        <v>2.84</v>
      </c>
      <c r="L42" s="1120">
        <v>0.67</v>
      </c>
      <c r="N42" s="1114">
        <f t="shared" si="67"/>
        <v>2.3E-2</v>
      </c>
      <c r="O42" s="1115">
        <f t="shared" si="67"/>
        <v>1.04E-2</v>
      </c>
      <c r="P42" s="1115">
        <f t="shared" si="67"/>
        <v>2.8399999999999998E-2</v>
      </c>
      <c r="Q42" s="1115">
        <f t="shared" si="67"/>
        <v>6.7000000000000002E-3</v>
      </c>
      <c r="R42" s="1144"/>
      <c r="S42" s="1145"/>
      <c r="T42" s="1146"/>
      <c r="U42" s="1146"/>
      <c r="V42" s="1146"/>
      <c r="X42" s="1146"/>
      <c r="Y42" s="1146"/>
      <c r="Z42" s="1146"/>
    </row>
    <row r="43" spans="1:26">
      <c r="A43" s="1078" t="s">
        <v>2040</v>
      </c>
      <c r="B43" s="1079">
        <f t="shared" ref="B43:C45" si="81">B42/(1+N42)</f>
        <v>215.05376344086022</v>
      </c>
      <c r="C43" s="1079">
        <f t="shared" si="81"/>
        <v>185.0752177355503</v>
      </c>
      <c r="D43" s="1079">
        <f t="shared" si="65"/>
        <v>185.0752177355503</v>
      </c>
      <c r="E43" s="1079">
        <f t="shared" ref="E43:F45" si="82">E42/(1+P42)</f>
        <v>292.68767016725008</v>
      </c>
      <c r="F43" s="1079">
        <f t="shared" si="82"/>
        <v>166.88189132810174</v>
      </c>
      <c r="G43" s="3401">
        <v>2009</v>
      </c>
      <c r="H43" s="1088">
        <v>3</v>
      </c>
      <c r="I43" s="1088">
        <v>2.1</v>
      </c>
      <c r="J43" s="1088">
        <v>1.86</v>
      </c>
      <c r="K43" s="1088">
        <v>2.29</v>
      </c>
      <c r="L43" s="1121">
        <v>0.85</v>
      </c>
      <c r="N43" s="1110">
        <f t="shared" si="67"/>
        <v>2.1000000000000001E-2</v>
      </c>
      <c r="O43" s="1116">
        <f t="shared" si="67"/>
        <v>1.8600000000000002E-2</v>
      </c>
      <c r="P43" s="1116">
        <f t="shared" si="67"/>
        <v>2.29E-2</v>
      </c>
      <c r="Q43" s="1116">
        <f t="shared" si="67"/>
        <v>8.5000000000000006E-3</v>
      </c>
      <c r="R43" s="1144"/>
      <c r="S43" s="1110"/>
      <c r="T43" s="1111"/>
      <c r="U43" s="1111"/>
      <c r="V43" s="1111"/>
    </row>
    <row r="44" spans="1:26">
      <c r="A44" s="1078" t="s">
        <v>2041</v>
      </c>
      <c r="B44" s="1079">
        <f t="shared" si="81"/>
        <v>210.630522469011</v>
      </c>
      <c r="C44" s="1079">
        <f t="shared" si="81"/>
        <v>181.69567812247232</v>
      </c>
      <c r="D44" s="1079">
        <f t="shared" si="65"/>
        <v>181.69567812247232</v>
      </c>
      <c r="E44" s="1079">
        <f t="shared" si="82"/>
        <v>286.13517466736738</v>
      </c>
      <c r="F44" s="1079">
        <f t="shared" si="82"/>
        <v>165.47535084591149</v>
      </c>
      <c r="G44" s="3401">
        <v>2009</v>
      </c>
      <c r="H44" s="1084">
        <v>2</v>
      </c>
      <c r="I44" s="1084">
        <v>0.86</v>
      </c>
      <c r="J44" s="1084">
        <v>-1.1299999999999999</v>
      </c>
      <c r="K44" s="1084">
        <v>1.79</v>
      </c>
      <c r="L44" s="1117">
        <v>-2.0699999999999998</v>
      </c>
      <c r="N44" s="1110">
        <f t="shared" si="67"/>
        <v>8.6E-3</v>
      </c>
      <c r="O44" s="1116">
        <f t="shared" si="67"/>
        <v>-1.1299999999999999E-2</v>
      </c>
      <c r="P44" s="1116">
        <f t="shared" si="67"/>
        <v>1.7899999999999999E-2</v>
      </c>
      <c r="Q44" s="1116">
        <f t="shared" si="67"/>
        <v>-2.07E-2</v>
      </c>
      <c r="R44" s="1144"/>
      <c r="S44" s="1110"/>
      <c r="T44" s="1111"/>
      <c r="U44" s="1111"/>
      <c r="V44" s="1111"/>
    </row>
    <row r="45" spans="1:26">
      <c r="A45" s="1078" t="s">
        <v>2042</v>
      </c>
      <c r="B45" s="1079">
        <f t="shared" si="81"/>
        <v>208.83454537875372</v>
      </c>
      <c r="C45" s="1079">
        <f t="shared" si="81"/>
        <v>183.77230517090351</v>
      </c>
      <c r="D45" s="1079">
        <f t="shared" si="65"/>
        <v>183.77230517090351</v>
      </c>
      <c r="E45" s="1079">
        <f t="shared" si="82"/>
        <v>281.10342338870947</v>
      </c>
      <c r="F45" s="1079">
        <f t="shared" si="82"/>
        <v>168.97309388942256</v>
      </c>
      <c r="G45" s="3404">
        <v>2009</v>
      </c>
      <c r="H45" s="1080">
        <v>1</v>
      </c>
      <c r="I45" s="1080">
        <v>-2.64</v>
      </c>
      <c r="J45" s="1080">
        <v>-2.5299999999999998</v>
      </c>
      <c r="K45" s="1080">
        <v>-3.02</v>
      </c>
      <c r="L45" s="1112">
        <v>1.52</v>
      </c>
      <c r="N45" s="1118">
        <f t="shared" si="67"/>
        <v>-2.64E-2</v>
      </c>
      <c r="O45" s="1119">
        <f t="shared" si="67"/>
        <v>-2.53E-2</v>
      </c>
      <c r="P45" s="1119">
        <f t="shared" si="67"/>
        <v>-3.0200000000000001E-2</v>
      </c>
      <c r="Q45" s="1119">
        <f t="shared" si="67"/>
        <v>1.52E-2</v>
      </c>
      <c r="R45" s="1144"/>
      <c r="S45" s="1118">
        <f>B45/B46-1</f>
        <v>-2.4137638417038754E-2</v>
      </c>
      <c r="T45" s="1119">
        <f>C45/C46-1</f>
        <v>-2.248773845264096E-2</v>
      </c>
      <c r="U45" s="1119">
        <f>E45/E46-1</f>
        <v>-2.7323794502735366E-2</v>
      </c>
      <c r="V45" s="1119">
        <f>F45/F46-1</f>
        <v>1.7910204153148035E-2</v>
      </c>
      <c r="X45" s="1154"/>
      <c r="Y45" s="1154"/>
      <c r="Z45" s="1154"/>
    </row>
    <row r="46" spans="1:26">
      <c r="A46" s="1078" t="s">
        <v>2043</v>
      </c>
      <c r="B46" s="1096">
        <v>214</v>
      </c>
      <c r="C46" s="1096">
        <v>188</v>
      </c>
      <c r="D46" s="1096">
        <f t="shared" si="65"/>
        <v>188</v>
      </c>
      <c r="E46" s="1096">
        <v>289</v>
      </c>
      <c r="F46" s="1097">
        <v>166</v>
      </c>
      <c r="G46" s="3405">
        <v>2008</v>
      </c>
      <c r="H46" s="1087">
        <v>4</v>
      </c>
      <c r="I46" s="1087">
        <v>1.73</v>
      </c>
      <c r="J46" s="1087">
        <v>0.03</v>
      </c>
      <c r="K46" s="1087">
        <v>2.59</v>
      </c>
      <c r="L46" s="1120">
        <v>-1.66</v>
      </c>
      <c r="N46" s="1110">
        <f t="shared" si="67"/>
        <v>1.7299999999999999E-2</v>
      </c>
      <c r="O46" s="1111">
        <f t="shared" si="67"/>
        <v>2.9999999999999997E-4</v>
      </c>
      <c r="P46" s="1111">
        <f t="shared" si="67"/>
        <v>2.5899999999999999E-2</v>
      </c>
      <c r="Q46" s="1111">
        <f t="shared" si="67"/>
        <v>-1.66E-2</v>
      </c>
      <c r="R46" s="1144"/>
      <c r="S46" s="1145"/>
      <c r="T46" s="1146"/>
      <c r="U46" s="1146"/>
      <c r="V46" s="1146"/>
      <c r="X46" s="1146"/>
      <c r="Y46" s="1146"/>
      <c r="Z46" s="1146"/>
    </row>
    <row r="47" spans="1:26">
      <c r="A47" s="1078" t="s">
        <v>2044</v>
      </c>
      <c r="B47" s="1079">
        <f t="shared" ref="B47:C49" si="83">B46/(1+N46)</f>
        <v>210.36075887152265</v>
      </c>
      <c r="C47" s="1079">
        <f t="shared" si="83"/>
        <v>187.94361691492554</v>
      </c>
      <c r="D47" s="1079">
        <f t="shared" si="65"/>
        <v>187.94361691492554</v>
      </c>
      <c r="E47" s="1079">
        <f t="shared" ref="E47:F49" si="84">E46/(1+P46)</f>
        <v>281.70386977288234</v>
      </c>
      <c r="F47" s="1079">
        <f t="shared" si="84"/>
        <v>168.80211511083994</v>
      </c>
      <c r="G47" s="3401">
        <v>2008</v>
      </c>
      <c r="H47" s="1088">
        <v>3</v>
      </c>
      <c r="I47" s="1088">
        <v>1.96</v>
      </c>
      <c r="J47" s="1088">
        <v>2.36</v>
      </c>
      <c r="K47" s="1088">
        <v>1.82</v>
      </c>
      <c r="L47" s="1121">
        <v>2.2200000000000002</v>
      </c>
      <c r="N47" s="1110">
        <f t="shared" si="67"/>
        <v>1.9599999999999999E-2</v>
      </c>
      <c r="O47" s="1111">
        <f t="shared" si="67"/>
        <v>2.3599999999999999E-2</v>
      </c>
      <c r="P47" s="1111">
        <f t="shared" si="67"/>
        <v>1.8200000000000001E-2</v>
      </c>
      <c r="Q47" s="1111">
        <f t="shared" si="67"/>
        <v>2.2200000000000001E-2</v>
      </c>
      <c r="R47" s="1144"/>
      <c r="S47" s="1110"/>
      <c r="T47" s="1111"/>
      <c r="U47" s="1111"/>
      <c r="V47" s="1111"/>
    </row>
    <row r="48" spans="1:26">
      <c r="A48" s="1078" t="s">
        <v>2045</v>
      </c>
      <c r="B48" s="1079">
        <f t="shared" si="83"/>
        <v>206.31694671589116</v>
      </c>
      <c r="C48" s="1079">
        <f t="shared" si="83"/>
        <v>183.61041121036101</v>
      </c>
      <c r="D48" s="1079">
        <f t="shared" si="65"/>
        <v>183.61041121036101</v>
      </c>
      <c r="E48" s="1079">
        <f t="shared" si="84"/>
        <v>276.66850301795557</v>
      </c>
      <c r="F48" s="1079">
        <f t="shared" si="84"/>
        <v>165.1360938278614</v>
      </c>
      <c r="G48" s="3401">
        <v>2008</v>
      </c>
      <c r="H48" s="1084">
        <v>2</v>
      </c>
      <c r="I48" s="1084">
        <v>4.93</v>
      </c>
      <c r="J48" s="1084">
        <v>7.38</v>
      </c>
      <c r="K48" s="1084">
        <v>3.98</v>
      </c>
      <c r="L48" s="1117">
        <v>6.86</v>
      </c>
      <c r="N48" s="1110">
        <f t="shared" si="67"/>
        <v>4.9299999999999997E-2</v>
      </c>
      <c r="O48" s="1111">
        <f t="shared" si="67"/>
        <v>7.3800000000000004E-2</v>
      </c>
      <c r="P48" s="1111">
        <f t="shared" si="67"/>
        <v>3.9800000000000002E-2</v>
      </c>
      <c r="Q48" s="1111">
        <f t="shared" si="67"/>
        <v>6.8600000000000008E-2</v>
      </c>
      <c r="R48" s="1144"/>
      <c r="S48" s="1110"/>
      <c r="T48" s="1111"/>
      <c r="U48" s="1111"/>
      <c r="V48" s="1111"/>
    </row>
    <row r="49" spans="1:26" s="1057" customFormat="1">
      <c r="A49" s="1078" t="s">
        <v>2046</v>
      </c>
      <c r="B49" s="1099">
        <f t="shared" si="83"/>
        <v>196.62341248059772</v>
      </c>
      <c r="C49" s="1099">
        <f t="shared" si="83"/>
        <v>170.99125648199012</v>
      </c>
      <c r="D49" s="1099">
        <f t="shared" si="65"/>
        <v>170.99125648199012</v>
      </c>
      <c r="E49" s="1099">
        <f t="shared" si="84"/>
        <v>266.07857570490052</v>
      </c>
      <c r="F49" s="1099">
        <f t="shared" si="84"/>
        <v>154.53499328828505</v>
      </c>
      <c r="G49" s="3404">
        <v>2008</v>
      </c>
      <c r="H49" s="1100">
        <v>1</v>
      </c>
      <c r="I49" s="1100">
        <v>4.1399999999999997</v>
      </c>
      <c r="J49" s="1100">
        <v>3.45</v>
      </c>
      <c r="K49" s="1100">
        <v>4.95</v>
      </c>
      <c r="L49" s="1127">
        <v>4.82</v>
      </c>
      <c r="N49" s="1128">
        <f t="shared" si="67"/>
        <v>4.1399999999999999E-2</v>
      </c>
      <c r="O49" s="1129">
        <f t="shared" si="67"/>
        <v>3.4500000000000003E-2</v>
      </c>
      <c r="P49" s="1129">
        <f t="shared" si="67"/>
        <v>4.9500000000000002E-2</v>
      </c>
      <c r="Q49" s="1129">
        <f t="shared" si="67"/>
        <v>4.82E-2</v>
      </c>
      <c r="R49" s="1155"/>
      <c r="S49" s="1128">
        <f>B49/B50-1</f>
        <v>4.5869215322328349E-2</v>
      </c>
      <c r="T49" s="1129">
        <f>C49/C50-1</f>
        <v>3.6310645345394743E-2</v>
      </c>
      <c r="U49" s="1129">
        <f>E49/E50-1</f>
        <v>4.7553447657088688E-2</v>
      </c>
      <c r="V49" s="1129">
        <f>F49/F50-1</f>
        <v>4.4155360055980086E-2</v>
      </c>
      <c r="X49" s="1156"/>
      <c r="Y49" s="1156"/>
      <c r="Z49" s="1156"/>
    </row>
    <row r="50" spans="1:26">
      <c r="A50" s="1078" t="s">
        <v>2047</v>
      </c>
      <c r="B50" s="1085">
        <v>188</v>
      </c>
      <c r="C50" s="1085">
        <v>165</v>
      </c>
      <c r="D50" s="1085">
        <f t="shared" si="65"/>
        <v>165</v>
      </c>
      <c r="E50" s="1085">
        <v>254</v>
      </c>
      <c r="F50" s="1086">
        <v>148</v>
      </c>
      <c r="G50" s="3405">
        <v>2007</v>
      </c>
      <c r="H50" s="1101">
        <v>4</v>
      </c>
      <c r="I50" s="1101">
        <v>5.51</v>
      </c>
      <c r="J50" s="1101">
        <v>4.8899999999999997</v>
      </c>
      <c r="K50" s="1101">
        <v>6.43</v>
      </c>
      <c r="L50" s="1130">
        <v>5.36</v>
      </c>
      <c r="N50" s="1131">
        <f t="shared" ref="N50:O53" si="85">B50/B51-1</f>
        <v>4.1339718365245526E-2</v>
      </c>
      <c r="O50" s="1132">
        <f t="shared" si="85"/>
        <v>4.0324492593776018E-2</v>
      </c>
      <c r="P50" s="1132">
        <f t="shared" ref="P50:Q53" si="86">E50/E51-1</f>
        <v>6.1625555347990968E-2</v>
      </c>
      <c r="Q50" s="1132">
        <f t="shared" si="86"/>
        <v>4.6757569250590603E-2</v>
      </c>
      <c r="R50" s="1144"/>
      <c r="S50" s="1145"/>
      <c r="T50" s="1146"/>
      <c r="U50" s="1146"/>
      <c r="V50" s="1146"/>
      <c r="X50" s="1146"/>
      <c r="Y50" s="1146"/>
      <c r="Z50" s="1146"/>
    </row>
    <row r="51" spans="1:26">
      <c r="A51" s="1078" t="s">
        <v>2048</v>
      </c>
      <c r="B51" s="1079">
        <f t="shared" ref="B51:C53" si="87">B52+(B$50-B$54)*I51/SUM(I$50:I$53)</f>
        <v>180.5366651097618</v>
      </c>
      <c r="C51" s="1079">
        <f t="shared" si="87"/>
        <v>158.60435967302453</v>
      </c>
      <c r="D51" s="1079">
        <f t="shared" si="65"/>
        <v>158.60435967302453</v>
      </c>
      <c r="E51" s="1079">
        <f t="shared" ref="E51:F53" si="88">E52+(E$50-E$54)*K51/SUM(K$50:K$53)</f>
        <v>239.25573260785075</v>
      </c>
      <c r="F51" s="1079">
        <f t="shared" si="88"/>
        <v>141.38899430740037</v>
      </c>
      <c r="G51" s="3401">
        <v>2007</v>
      </c>
      <c r="H51" s="1088">
        <v>3</v>
      </c>
      <c r="I51" s="1088">
        <v>8.65</v>
      </c>
      <c r="J51" s="1088">
        <v>8.06</v>
      </c>
      <c r="K51" s="1088">
        <v>9.94</v>
      </c>
      <c r="L51" s="1121">
        <v>5.8</v>
      </c>
      <c r="N51" s="1131">
        <f t="shared" si="85"/>
        <v>6.940217571740015E-2</v>
      </c>
      <c r="O51" s="1132">
        <f t="shared" si="85"/>
        <v>7.1197482471153428E-2</v>
      </c>
      <c r="P51" s="1132">
        <f t="shared" si="86"/>
        <v>0.10529679922579582</v>
      </c>
      <c r="Q51" s="1132">
        <f t="shared" si="86"/>
        <v>5.3292245059512133E-2</v>
      </c>
      <c r="R51" s="1144"/>
      <c r="S51" s="1110"/>
      <c r="T51" s="1111"/>
      <c r="U51" s="1111"/>
      <c r="V51" s="1111"/>
      <c r="X51" s="1157"/>
      <c r="Y51" s="1157"/>
      <c r="Z51" s="1157"/>
    </row>
    <row r="52" spans="1:26">
      <c r="A52" s="1078" t="s">
        <v>2049</v>
      </c>
      <c r="B52" s="1079">
        <f t="shared" si="87"/>
        <v>168.82017748715555</v>
      </c>
      <c r="C52" s="1079">
        <f t="shared" si="87"/>
        <v>148.06267029972753</v>
      </c>
      <c r="D52" s="1079">
        <f t="shared" si="65"/>
        <v>148.06267029972753</v>
      </c>
      <c r="E52" s="1079">
        <f t="shared" si="88"/>
        <v>216.46288379323747</v>
      </c>
      <c r="F52" s="1079">
        <f t="shared" si="88"/>
        <v>134.23529411764704</v>
      </c>
      <c r="G52" s="3401">
        <v>2007</v>
      </c>
      <c r="H52" s="1084">
        <v>2</v>
      </c>
      <c r="I52" s="1084">
        <v>3.67</v>
      </c>
      <c r="J52" s="1084">
        <v>2.3199999999999998</v>
      </c>
      <c r="K52" s="1084">
        <v>5.0199999999999996</v>
      </c>
      <c r="L52" s="1117">
        <v>6.71</v>
      </c>
      <c r="N52" s="1131">
        <f t="shared" si="85"/>
        <v>3.0339138143848032E-2</v>
      </c>
      <c r="O52" s="1132">
        <f t="shared" si="85"/>
        <v>2.0922341588790472E-2</v>
      </c>
      <c r="P52" s="1132">
        <f t="shared" si="86"/>
        <v>5.6164796592717003E-2</v>
      </c>
      <c r="Q52" s="1132">
        <f t="shared" si="86"/>
        <v>6.5704536723887319E-2</v>
      </c>
      <c r="R52" s="1144"/>
      <c r="S52" s="1110"/>
      <c r="T52" s="1111"/>
      <c r="U52" s="1111"/>
      <c r="V52" s="1111"/>
      <c r="X52" s="1157"/>
      <c r="Y52" s="1157"/>
      <c r="Z52" s="1157"/>
    </row>
    <row r="53" spans="1:26">
      <c r="A53" s="1078" t="s">
        <v>2050</v>
      </c>
      <c r="B53" s="1079">
        <f t="shared" si="87"/>
        <v>163.84913591779542</v>
      </c>
      <c r="C53" s="1079">
        <f t="shared" si="87"/>
        <v>145.0283378746594</v>
      </c>
      <c r="D53" s="1079">
        <f t="shared" si="65"/>
        <v>145.0283378746594</v>
      </c>
      <c r="E53" s="1079">
        <f t="shared" si="88"/>
        <v>204.95180722891567</v>
      </c>
      <c r="F53" s="1079">
        <f t="shared" si="88"/>
        <v>125.95920303605313</v>
      </c>
      <c r="G53" s="3404">
        <v>2007</v>
      </c>
      <c r="H53" s="1080">
        <v>1</v>
      </c>
      <c r="I53" s="1080">
        <v>3.58</v>
      </c>
      <c r="J53" s="1080">
        <v>3.08</v>
      </c>
      <c r="K53" s="1080">
        <v>4.34</v>
      </c>
      <c r="L53" s="1112">
        <v>3.21</v>
      </c>
      <c r="N53" s="1133">
        <f t="shared" si="85"/>
        <v>3.0497710174814063E-2</v>
      </c>
      <c r="O53" s="1134">
        <f t="shared" si="85"/>
        <v>2.8569772160704998E-2</v>
      </c>
      <c r="P53" s="1134">
        <f t="shared" si="86"/>
        <v>5.1034908866234296E-2</v>
      </c>
      <c r="Q53" s="1134">
        <f t="shared" si="86"/>
        <v>3.245248390207478E-2</v>
      </c>
      <c r="R53" s="1144"/>
      <c r="S53" s="1118">
        <f>B53/B54-1</f>
        <v>3.0497710174814063E-2</v>
      </c>
      <c r="T53" s="1119">
        <f>C53/C54-1</f>
        <v>2.8569772160704998E-2</v>
      </c>
      <c r="U53" s="1119">
        <f>E53/E54-1</f>
        <v>5.1034908866234296E-2</v>
      </c>
      <c r="V53" s="1119">
        <f>F53/F54-1</f>
        <v>3.245248390207478E-2</v>
      </c>
      <c r="X53" s="1157"/>
      <c r="Y53" s="1157"/>
      <c r="Z53" s="1157"/>
    </row>
    <row r="54" spans="1:26">
      <c r="A54" s="1078" t="s">
        <v>2051</v>
      </c>
      <c r="B54" s="1089">
        <v>159</v>
      </c>
      <c r="C54" s="1089">
        <v>141</v>
      </c>
      <c r="D54" s="1089">
        <f t="shared" si="65"/>
        <v>141</v>
      </c>
      <c r="E54" s="1089">
        <v>195</v>
      </c>
      <c r="F54" s="1090">
        <v>122</v>
      </c>
      <c r="G54" s="3405">
        <v>2006</v>
      </c>
      <c r="H54" s="1087">
        <v>4</v>
      </c>
      <c r="I54" s="1087">
        <v>3.79</v>
      </c>
      <c r="J54" s="1087">
        <v>2.21</v>
      </c>
      <c r="K54" s="1087">
        <v>5.65</v>
      </c>
      <c r="L54" s="1120">
        <v>5.41</v>
      </c>
      <c r="N54" s="1131">
        <f t="shared" ref="N54:O57" si="89">I54/SUM(I$54:I$57)*(B$54/B$58-1)</f>
        <v>7.245466462748526E-2</v>
      </c>
      <c r="O54" s="1132">
        <f t="shared" si="89"/>
        <v>2.3237230038062766E-2</v>
      </c>
      <c r="P54" s="1132">
        <f t="shared" ref="P54:Q57" si="90">K54/SUM(K$54:K$57)*(E$54/E$58-1)</f>
        <v>0.16146893866323722</v>
      </c>
      <c r="Q54" s="1132">
        <f t="shared" si="90"/>
        <v>5.0755230321793784E-2</v>
      </c>
      <c r="R54" s="1144"/>
      <c r="S54" s="1145"/>
      <c r="T54" s="1146"/>
      <c r="U54" s="1146"/>
      <c r="V54" s="1146"/>
      <c r="X54" s="1157"/>
      <c r="Y54" s="1157"/>
      <c r="Z54" s="1157"/>
    </row>
    <row r="55" spans="1:26">
      <c r="A55" s="1078" t="s">
        <v>2052</v>
      </c>
      <c r="B55" s="1079">
        <f t="shared" ref="B55:C57" si="91">B56+(B$54-B$58)*I55/SUM(I$54:I$57)</f>
        <v>149.00125628140702</v>
      </c>
      <c r="C55" s="1079">
        <f t="shared" si="91"/>
        <v>137.95592286501378</v>
      </c>
      <c r="D55" s="1079">
        <f t="shared" si="65"/>
        <v>137.95592286501378</v>
      </c>
      <c r="E55" s="1079">
        <f t="shared" ref="E55:F57" si="92">E56+(E$54-E$58)*K55/SUM(K$54:K$57)</f>
        <v>169.97231450719823</v>
      </c>
      <c r="F55" s="1079">
        <f t="shared" si="92"/>
        <v>116.21390374331551</v>
      </c>
      <c r="G55" s="3401">
        <v>2006</v>
      </c>
      <c r="H55" s="1088">
        <v>3</v>
      </c>
      <c r="I55" s="1088">
        <v>0.92</v>
      </c>
      <c r="J55" s="1088">
        <v>1.08</v>
      </c>
      <c r="K55" s="1088">
        <v>0.73</v>
      </c>
      <c r="L55" s="1121">
        <v>1.08</v>
      </c>
      <c r="N55" s="1131">
        <f t="shared" si="89"/>
        <v>1.7587939698492462E-2</v>
      </c>
      <c r="O55" s="1132">
        <f t="shared" si="89"/>
        <v>1.1355750425840628E-2</v>
      </c>
      <c r="P55" s="1132">
        <f t="shared" si="90"/>
        <v>2.0862358446754544E-2</v>
      </c>
      <c r="Q55" s="1132">
        <f t="shared" si="90"/>
        <v>1.0132282578103011E-2</v>
      </c>
      <c r="R55" s="1144"/>
      <c r="S55" s="1110"/>
      <c r="T55" s="1111"/>
      <c r="U55" s="1111"/>
      <c r="V55" s="1111"/>
      <c r="X55" s="1157"/>
      <c r="Y55" s="1157"/>
      <c r="Z55" s="1157"/>
    </row>
    <row r="56" spans="1:26">
      <c r="A56" s="1078" t="s">
        <v>2053</v>
      </c>
      <c r="B56" s="1079">
        <f t="shared" si="91"/>
        <v>146.57412060301507</v>
      </c>
      <c r="C56" s="1079">
        <f t="shared" si="91"/>
        <v>136.46831955922866</v>
      </c>
      <c r="D56" s="1079">
        <f t="shared" si="65"/>
        <v>136.46831955922866</v>
      </c>
      <c r="E56" s="1079">
        <f t="shared" si="92"/>
        <v>166.73864894795128</v>
      </c>
      <c r="F56" s="1079">
        <f t="shared" si="92"/>
        <v>115.05882352941177</v>
      </c>
      <c r="G56" s="3401">
        <v>2006</v>
      </c>
      <c r="H56" s="1084">
        <v>2</v>
      </c>
      <c r="I56" s="1084">
        <v>0.96</v>
      </c>
      <c r="J56" s="1084">
        <v>0.25</v>
      </c>
      <c r="K56" s="1084">
        <v>1.9</v>
      </c>
      <c r="L56" s="1117">
        <v>0.95</v>
      </c>
      <c r="N56" s="1131">
        <f t="shared" si="89"/>
        <v>1.8352632728861701E-2</v>
      </c>
      <c r="O56" s="1132">
        <f t="shared" si="89"/>
        <v>2.6286459319075526E-3</v>
      </c>
      <c r="P56" s="1132">
        <f t="shared" si="90"/>
        <v>5.4299289107991269E-2</v>
      </c>
      <c r="Q56" s="1132">
        <f t="shared" si="90"/>
        <v>8.9126559714794995E-3</v>
      </c>
      <c r="R56" s="1144"/>
      <c r="S56" s="1110"/>
      <c r="T56" s="1111"/>
      <c r="U56" s="1111"/>
      <c r="V56" s="1111"/>
      <c r="X56" s="1157"/>
      <c r="Y56" s="1157"/>
      <c r="Z56" s="1157"/>
    </row>
    <row r="57" spans="1:26">
      <c r="A57" s="1078" t="s">
        <v>2054</v>
      </c>
      <c r="B57" s="1079">
        <f t="shared" si="91"/>
        <v>144.04145728643215</v>
      </c>
      <c r="C57" s="1079">
        <f t="shared" si="91"/>
        <v>136.12396694214877</v>
      </c>
      <c r="D57" s="1079">
        <f t="shared" si="65"/>
        <v>136.12396694214877</v>
      </c>
      <c r="E57" s="1079">
        <f t="shared" si="92"/>
        <v>158.32225913621264</v>
      </c>
      <c r="F57" s="1079">
        <f t="shared" si="92"/>
        <v>114.04278074866311</v>
      </c>
      <c r="G57" s="3404">
        <v>2006</v>
      </c>
      <c r="H57" s="1080">
        <v>1</v>
      </c>
      <c r="I57" s="1080">
        <v>2.29</v>
      </c>
      <c r="J57" s="1080">
        <v>3.72</v>
      </c>
      <c r="K57" s="1080">
        <v>0.75</v>
      </c>
      <c r="L57" s="1112">
        <v>0.04</v>
      </c>
      <c r="N57" s="1133">
        <f t="shared" si="89"/>
        <v>4.3778675988638847E-2</v>
      </c>
      <c r="O57" s="1134">
        <f t="shared" si="89"/>
        <v>3.9114251466784385E-2</v>
      </c>
      <c r="P57" s="1134">
        <f t="shared" si="90"/>
        <v>2.1433929911049188E-2</v>
      </c>
      <c r="Q57" s="1134">
        <f t="shared" si="90"/>
        <v>3.7526972511492629E-4</v>
      </c>
      <c r="R57" s="1144"/>
      <c r="S57" s="1118">
        <f>B57/B58-1</f>
        <v>4.3778675988638716E-2</v>
      </c>
      <c r="T57" s="1119">
        <f>C57/C58-1</f>
        <v>3.91142514667846E-2</v>
      </c>
      <c r="U57" s="1119">
        <f>E57/E58-1</f>
        <v>2.143392991104931E-2</v>
      </c>
      <c r="V57" s="1119">
        <f>F57/F58-1</f>
        <v>3.7526972511492396E-4</v>
      </c>
      <c r="X57" s="1157"/>
      <c r="Y57" s="1157"/>
      <c r="Z57" s="1157"/>
    </row>
    <row r="58" spans="1:26">
      <c r="A58" s="1078" t="s">
        <v>2055</v>
      </c>
      <c r="B58" s="1089">
        <v>138</v>
      </c>
      <c r="C58" s="1089">
        <v>131</v>
      </c>
      <c r="D58" s="1089">
        <f t="shared" si="65"/>
        <v>131</v>
      </c>
      <c r="E58" s="1089">
        <v>155</v>
      </c>
      <c r="F58" s="1090">
        <v>114</v>
      </c>
      <c r="G58" s="3405">
        <v>2005</v>
      </c>
      <c r="H58" s="1087">
        <v>4</v>
      </c>
      <c r="I58" s="1087">
        <v>3.29</v>
      </c>
      <c r="J58" s="1087">
        <v>1.44</v>
      </c>
      <c r="K58" s="1087">
        <v>0.66</v>
      </c>
      <c r="L58" s="1120">
        <v>7.78</v>
      </c>
      <c r="N58" s="1131">
        <f t="shared" ref="N58:O61" si="93">I58/SUM(I$58:I$61)*(B$58/B$62-1)</f>
        <v>9.9404603216919935E-2</v>
      </c>
      <c r="O58" s="1132">
        <f t="shared" si="93"/>
        <v>4.7636550760861554E-2</v>
      </c>
      <c r="P58" s="1132">
        <f t="shared" ref="P58:Q61" si="94">K58/SUM(K$58:K$61)*(E$58/E$62-1)</f>
        <v>8.3756345177664976E-2</v>
      </c>
      <c r="Q58" s="1132">
        <f t="shared" si="94"/>
        <v>5.2148766661559584E-2</v>
      </c>
      <c r="R58" s="1144"/>
      <c r="S58" s="1145"/>
      <c r="T58" s="1146"/>
      <c r="U58" s="1146"/>
      <c r="V58" s="1146"/>
      <c r="X58" s="1157"/>
      <c r="Y58" s="1157"/>
      <c r="Z58" s="1157"/>
    </row>
    <row r="59" spans="1:26">
      <c r="A59" s="1078" t="s">
        <v>2056</v>
      </c>
      <c r="B59" s="1079">
        <f t="shared" ref="B59:C61" si="95">B60+(B$58-B$62)*I59/SUM(I$58:I$61)</f>
        <v>125.9720430107527</v>
      </c>
      <c r="C59" s="1079">
        <f t="shared" si="95"/>
        <v>125.1883408071749</v>
      </c>
      <c r="D59" s="1079">
        <f t="shared" si="65"/>
        <v>125.1883408071749</v>
      </c>
      <c r="E59" s="1079">
        <f t="shared" ref="E59:F61" si="96">E60+(E$58-E$62)*K59/SUM(K$58:K$61)</f>
        <v>144.61421319796952</v>
      </c>
      <c r="F59" s="1079">
        <f t="shared" si="96"/>
        <v>108.42008196721311</v>
      </c>
      <c r="G59" s="3401">
        <v>2005</v>
      </c>
      <c r="H59" s="1088">
        <v>3</v>
      </c>
      <c r="I59" s="1088">
        <v>0.46</v>
      </c>
      <c r="J59" s="1088">
        <v>0.32</v>
      </c>
      <c r="K59" s="1088">
        <v>0.42</v>
      </c>
      <c r="L59" s="1121">
        <v>0.64</v>
      </c>
      <c r="N59" s="1131">
        <f t="shared" si="93"/>
        <v>1.3898515951301874E-2</v>
      </c>
      <c r="O59" s="1132">
        <f t="shared" si="93"/>
        <v>1.0585900169080346E-2</v>
      </c>
      <c r="P59" s="1132">
        <f t="shared" si="94"/>
        <v>5.3299492385786795E-2</v>
      </c>
      <c r="Q59" s="1132">
        <f t="shared" si="94"/>
        <v>4.2898728359123568E-3</v>
      </c>
      <c r="R59" s="1144"/>
      <c r="S59" s="1110"/>
      <c r="T59" s="1111"/>
      <c r="U59" s="1111"/>
      <c r="V59" s="1111"/>
      <c r="X59" s="1157"/>
      <c r="Y59" s="1157"/>
      <c r="Z59" s="1157"/>
    </row>
    <row r="60" spans="1:26">
      <c r="A60" s="1078" t="s">
        <v>2057</v>
      </c>
      <c r="B60" s="1079">
        <f t="shared" si="95"/>
        <v>124.29032258064517</v>
      </c>
      <c r="C60" s="1079">
        <f t="shared" si="95"/>
        <v>123.8968609865471</v>
      </c>
      <c r="D60" s="1079">
        <f t="shared" si="65"/>
        <v>123.8968609865471</v>
      </c>
      <c r="E60" s="1079">
        <f t="shared" si="96"/>
        <v>138.00507614213197</v>
      </c>
      <c r="F60" s="1079">
        <f t="shared" si="96"/>
        <v>107.96106557377048</v>
      </c>
      <c r="G60" s="3401">
        <v>2005</v>
      </c>
      <c r="H60" s="1084">
        <v>2</v>
      </c>
      <c r="I60" s="1084">
        <v>0.47</v>
      </c>
      <c r="J60" s="1084">
        <v>0.1</v>
      </c>
      <c r="K60" s="1084">
        <v>0.52</v>
      </c>
      <c r="L60" s="1117">
        <v>0.79</v>
      </c>
      <c r="N60" s="1131">
        <f t="shared" si="93"/>
        <v>1.420065760241713E-2</v>
      </c>
      <c r="O60" s="1132">
        <f t="shared" si="93"/>
        <v>3.3080938028376083E-3</v>
      </c>
      <c r="P60" s="1132">
        <f t="shared" si="94"/>
        <v>6.598984771573603E-2</v>
      </c>
      <c r="Q60" s="1132">
        <f t="shared" si="94"/>
        <v>5.2953117818293153E-3</v>
      </c>
      <c r="R60" s="1144"/>
      <c r="S60" s="1110"/>
      <c r="T60" s="1111"/>
      <c r="U60" s="1111"/>
      <c r="V60" s="1111"/>
      <c r="X60" s="1157"/>
      <c r="Y60" s="1157"/>
      <c r="Z60" s="1157"/>
    </row>
    <row r="61" spans="1:26">
      <c r="A61" s="1078" t="s">
        <v>2058</v>
      </c>
      <c r="B61" s="1079">
        <f t="shared" si="95"/>
        <v>122.57204301075269</v>
      </c>
      <c r="C61" s="1079">
        <f t="shared" si="95"/>
        <v>123.4932735426009</v>
      </c>
      <c r="D61" s="1079">
        <f t="shared" si="65"/>
        <v>123.4932735426009</v>
      </c>
      <c r="E61" s="1079">
        <f t="shared" si="96"/>
        <v>129.82233502538071</v>
      </c>
      <c r="F61" s="1079">
        <f t="shared" si="96"/>
        <v>107.39446721311475</v>
      </c>
      <c r="G61" s="3404">
        <v>2005</v>
      </c>
      <c r="H61" s="1080">
        <v>1</v>
      </c>
      <c r="I61" s="1080">
        <v>0.43</v>
      </c>
      <c r="J61" s="1080">
        <v>0.37</v>
      </c>
      <c r="K61" s="1080">
        <v>0.37</v>
      </c>
      <c r="L61" s="1112">
        <v>0.55000000000000004</v>
      </c>
      <c r="N61" s="1133">
        <f t="shared" si="93"/>
        <v>1.2992090997956099E-2</v>
      </c>
      <c r="O61" s="1134">
        <f t="shared" si="93"/>
        <v>1.2239947070499151E-2</v>
      </c>
      <c r="P61" s="1134">
        <f t="shared" si="94"/>
        <v>4.6954314720812178E-2</v>
      </c>
      <c r="Q61" s="1134">
        <f t="shared" si="94"/>
        <v>3.6866094683621815E-3</v>
      </c>
      <c r="R61" s="1144"/>
      <c r="S61" s="1118">
        <f>B61/B62-1</f>
        <v>1.2992090997956174E-2</v>
      </c>
      <c r="T61" s="1119">
        <f>C61/C62-1</f>
        <v>1.2239947070499246E-2</v>
      </c>
      <c r="U61" s="1119">
        <f>E61/E62-1</f>
        <v>4.695431472081224E-2</v>
      </c>
      <c r="V61" s="1119">
        <f>F61/F62-1</f>
        <v>3.6866094683620787E-3</v>
      </c>
      <c r="X61" s="1157"/>
      <c r="Y61" s="1157"/>
      <c r="Z61" s="1157"/>
    </row>
    <row r="62" spans="1:26">
      <c r="A62" s="1078" t="s">
        <v>2059</v>
      </c>
      <c r="B62" s="1096">
        <v>121</v>
      </c>
      <c r="C62" s="1096">
        <v>122</v>
      </c>
      <c r="D62" s="1096">
        <f t="shared" si="65"/>
        <v>122</v>
      </c>
      <c r="E62" s="1096">
        <v>124</v>
      </c>
      <c r="F62" s="1097">
        <v>107</v>
      </c>
      <c r="G62" s="3405">
        <v>2004</v>
      </c>
      <c r="H62" s="1087">
        <v>4</v>
      </c>
      <c r="I62" s="1087">
        <v>0.33</v>
      </c>
      <c r="J62" s="1087">
        <v>0.5</v>
      </c>
      <c r="K62" s="1087">
        <v>0.5</v>
      </c>
      <c r="L62" s="1120">
        <v>0</v>
      </c>
      <c r="N62" s="1131">
        <f t="shared" ref="N62:O65" si="97">I62/SUM(I$62:I$65)*(B$62/B$66-1)</f>
        <v>1.3391770148526898E-2</v>
      </c>
      <c r="O62" s="1132">
        <f t="shared" si="97"/>
        <v>1.063264221158958E-2</v>
      </c>
      <c r="P62" s="1132">
        <f t="shared" ref="P62:Q65" si="98">K62/SUM(K$62:K$65)*(E$62/E$66-1)</f>
        <v>2.2244466688911134E-2</v>
      </c>
      <c r="Q62" s="1132">
        <f t="shared" si="98"/>
        <v>0</v>
      </c>
      <c r="R62" s="1144"/>
      <c r="S62" s="1145"/>
      <c r="T62" s="1146"/>
      <c r="U62" s="1146"/>
      <c r="V62" s="1146"/>
      <c r="X62" s="1157"/>
      <c r="Y62" s="1157"/>
      <c r="Z62" s="1157"/>
    </row>
    <row r="63" spans="1:26">
      <c r="A63" s="1078" t="s">
        <v>2060</v>
      </c>
      <c r="B63" s="1079">
        <f t="shared" ref="B63:C65" si="99">B64+(B$62-B$66)*I63/SUM(I$62:I$65)</f>
        <v>119.51351351351352</v>
      </c>
      <c r="C63" s="1079">
        <f t="shared" si="99"/>
        <v>120.7878787878788</v>
      </c>
      <c r="D63" s="1079">
        <f t="shared" si="65"/>
        <v>120.7878787878788</v>
      </c>
      <c r="E63" s="1079">
        <f t="shared" ref="E63:F65" si="100">E64+(E$62-E$66)*K63/SUM(K$62:K$65)</f>
        <v>121.5975975975976</v>
      </c>
      <c r="F63" s="1079">
        <f t="shared" si="100"/>
        <v>107</v>
      </c>
      <c r="G63" s="3401">
        <v>2004</v>
      </c>
      <c r="H63" s="1088">
        <v>3</v>
      </c>
      <c r="I63" s="1088">
        <v>0.56000000000000005</v>
      </c>
      <c r="J63" s="1088">
        <v>0.8</v>
      </c>
      <c r="K63" s="1088">
        <v>0.83</v>
      </c>
      <c r="L63" s="1121">
        <v>0.06</v>
      </c>
      <c r="N63" s="1131">
        <f t="shared" si="97"/>
        <v>2.2725428130833527E-2</v>
      </c>
      <c r="O63" s="1132">
        <f t="shared" si="97"/>
        <v>1.7012227538543329E-2</v>
      </c>
      <c r="P63" s="1132">
        <f t="shared" si="98"/>
        <v>3.6925814703592477E-2</v>
      </c>
      <c r="Q63" s="1132">
        <f t="shared" si="98"/>
        <v>2.8846153846153744E-2</v>
      </c>
      <c r="R63" s="1144"/>
      <c r="S63" s="1110"/>
      <c r="T63" s="1111"/>
      <c r="U63" s="1111"/>
      <c r="V63" s="1111"/>
      <c r="X63" s="1157"/>
      <c r="Y63" s="1157"/>
      <c r="Z63" s="1157"/>
    </row>
    <row r="64" spans="1:26">
      <c r="A64" s="1078" t="s">
        <v>2061</v>
      </c>
      <c r="B64" s="1079">
        <f t="shared" si="99"/>
        <v>116.99099099099099</v>
      </c>
      <c r="C64" s="1079">
        <f t="shared" si="99"/>
        <v>118.84848484848486</v>
      </c>
      <c r="D64" s="1079">
        <f t="shared" si="65"/>
        <v>118.84848484848486</v>
      </c>
      <c r="E64" s="1079">
        <f t="shared" si="100"/>
        <v>117.60960960960961</v>
      </c>
      <c r="F64" s="1079">
        <f t="shared" si="100"/>
        <v>104</v>
      </c>
      <c r="G64" s="3401">
        <v>2004</v>
      </c>
      <c r="H64" s="1084">
        <v>2</v>
      </c>
      <c r="I64" s="1084">
        <v>1</v>
      </c>
      <c r="J64" s="1084">
        <v>1.5</v>
      </c>
      <c r="K64" s="1084">
        <v>1.5</v>
      </c>
      <c r="L64" s="1117">
        <v>0</v>
      </c>
      <c r="N64" s="1131">
        <f t="shared" si="97"/>
        <v>4.0581121662202721E-2</v>
      </c>
      <c r="O64" s="1132">
        <f t="shared" si="97"/>
        <v>3.1897926634768738E-2</v>
      </c>
      <c r="P64" s="1132">
        <f t="shared" si="98"/>
        <v>6.6733400066733395E-2</v>
      </c>
      <c r="Q64" s="1132">
        <f t="shared" si="98"/>
        <v>0</v>
      </c>
      <c r="R64" s="1144"/>
      <c r="S64" s="1110"/>
      <c r="T64" s="1111"/>
      <c r="U64" s="1111"/>
      <c r="V64" s="1111"/>
      <c r="X64" s="1157"/>
      <c r="Y64" s="1157"/>
      <c r="Z64" s="1157"/>
    </row>
    <row r="65" spans="1:26" s="1057" customFormat="1">
      <c r="A65" s="1078" t="s">
        <v>2062</v>
      </c>
      <c r="B65" s="1099">
        <f t="shared" si="99"/>
        <v>112.48648648648648</v>
      </c>
      <c r="C65" s="1099">
        <f t="shared" si="99"/>
        <v>115.21212121212122</v>
      </c>
      <c r="D65" s="1099">
        <f t="shared" si="65"/>
        <v>115.21212121212122</v>
      </c>
      <c r="E65" s="1099">
        <f t="shared" si="100"/>
        <v>110.4024024024024</v>
      </c>
      <c r="F65" s="1099">
        <f t="shared" si="100"/>
        <v>104</v>
      </c>
      <c r="G65" s="3404">
        <v>2004</v>
      </c>
      <c r="H65" s="1100">
        <v>1</v>
      </c>
      <c r="I65" s="1100">
        <v>0.33</v>
      </c>
      <c r="J65" s="1100">
        <v>0.5</v>
      </c>
      <c r="K65" s="1100">
        <v>0.5</v>
      </c>
      <c r="L65" s="1127">
        <v>0</v>
      </c>
      <c r="N65" s="1175">
        <f t="shared" si="97"/>
        <v>1.3391770148526898E-2</v>
      </c>
      <c r="O65" s="1176">
        <f t="shared" si="97"/>
        <v>1.063264221158958E-2</v>
      </c>
      <c r="P65" s="1176">
        <f t="shared" si="98"/>
        <v>2.2244466688911134E-2</v>
      </c>
      <c r="Q65" s="1176">
        <f t="shared" si="98"/>
        <v>0</v>
      </c>
      <c r="R65" s="1155"/>
      <c r="S65" s="1128">
        <f>B65/B66-1</f>
        <v>1.3391770148526883E-2</v>
      </c>
      <c r="T65" s="1129">
        <f>C65/C66-1</f>
        <v>1.063264221158966E-2</v>
      </c>
      <c r="U65" s="1129">
        <f>E65/E66-1</f>
        <v>2.2244466688911224E-2</v>
      </c>
      <c r="V65" s="1129">
        <f>F65/F66-1</f>
        <v>0</v>
      </c>
      <c r="X65" s="1183"/>
      <c r="Y65" s="1183"/>
      <c r="Z65" s="1183"/>
    </row>
    <row r="66" spans="1:26">
      <c r="A66" s="1078" t="s">
        <v>2063</v>
      </c>
      <c r="B66" s="1162">
        <v>111</v>
      </c>
      <c r="C66" s="1162">
        <v>114</v>
      </c>
      <c r="D66" s="1162">
        <f t="shared" si="65"/>
        <v>114</v>
      </c>
      <c r="E66" s="1162">
        <v>108</v>
      </c>
      <c r="F66" s="1163">
        <v>104</v>
      </c>
      <c r="G66" s="3405">
        <v>2003</v>
      </c>
      <c r="H66" s="1101">
        <v>4</v>
      </c>
      <c r="I66" s="1177"/>
      <c r="J66" s="1177"/>
      <c r="K66" s="1177"/>
      <c r="L66" s="1177"/>
      <c r="N66" s="1178"/>
      <c r="O66" s="1177"/>
      <c r="P66" s="1177"/>
      <c r="Q66" s="1177"/>
      <c r="S66" s="1178"/>
      <c r="T66" s="1177"/>
      <c r="U66" s="1177"/>
      <c r="V66" s="1177"/>
      <c r="X66" s="1157"/>
      <c r="Y66" s="1157"/>
      <c r="Z66" s="1157"/>
    </row>
    <row r="67" spans="1:26">
      <c r="A67" s="1078" t="s">
        <v>2064</v>
      </c>
      <c r="B67" s="1164">
        <f t="shared" ref="B67:C69" si="101">B68+(B$66-B$70)/4</f>
        <v>109.75</v>
      </c>
      <c r="C67" s="1164">
        <f t="shared" si="101"/>
        <v>112.25</v>
      </c>
      <c r="D67" s="1164">
        <f t="shared" si="65"/>
        <v>112.25</v>
      </c>
      <c r="E67" s="1164">
        <f t="shared" ref="E67:F69" si="102">E68+(E$66-E$70)/4</f>
        <v>107.25</v>
      </c>
      <c r="F67" s="1164">
        <f t="shared" si="102"/>
        <v>103.5</v>
      </c>
      <c r="G67" s="3401">
        <v>2003</v>
      </c>
      <c r="H67" s="1088">
        <v>3</v>
      </c>
      <c r="I67" s="1177"/>
      <c r="J67" s="1177"/>
      <c r="K67" s="1177"/>
      <c r="L67" s="1177"/>
      <c r="X67" s="1157"/>
      <c r="Y67" s="1157"/>
      <c r="Z67" s="1157"/>
    </row>
    <row r="68" spans="1:26">
      <c r="A68" s="1078" t="s">
        <v>2065</v>
      </c>
      <c r="B68" s="1164">
        <f t="shared" si="101"/>
        <v>108.5</v>
      </c>
      <c r="C68" s="1164">
        <f t="shared" si="101"/>
        <v>110.5</v>
      </c>
      <c r="D68" s="1164">
        <f t="shared" si="65"/>
        <v>110.5</v>
      </c>
      <c r="E68" s="1164">
        <f t="shared" si="102"/>
        <v>106.5</v>
      </c>
      <c r="F68" s="1164">
        <f t="shared" si="102"/>
        <v>103</v>
      </c>
      <c r="G68" s="3401">
        <v>2003</v>
      </c>
      <c r="H68" s="1084">
        <v>2</v>
      </c>
      <c r="I68" s="1177"/>
      <c r="J68" s="1177"/>
      <c r="K68" s="1177"/>
      <c r="L68" s="1177"/>
      <c r="X68" s="1157"/>
      <c r="Y68" s="1157"/>
      <c r="Z68" s="1157"/>
    </row>
    <row r="69" spans="1:26">
      <c r="A69" s="1078" t="s">
        <v>2066</v>
      </c>
      <c r="B69" s="1164">
        <f t="shared" si="101"/>
        <v>107.25</v>
      </c>
      <c r="C69" s="1164">
        <f t="shared" si="101"/>
        <v>108.75</v>
      </c>
      <c r="D69" s="1164">
        <f t="shared" si="65"/>
        <v>108.75</v>
      </c>
      <c r="E69" s="1164">
        <f t="shared" si="102"/>
        <v>105.75</v>
      </c>
      <c r="F69" s="1164">
        <f t="shared" si="102"/>
        <v>102.5</v>
      </c>
      <c r="G69" s="3404">
        <v>2003</v>
      </c>
      <c r="H69" s="1165">
        <v>1</v>
      </c>
      <c r="I69" s="1177"/>
      <c r="J69" s="1177"/>
      <c r="K69" s="1177"/>
      <c r="L69" s="1177"/>
      <c r="S69" s="1110"/>
      <c r="T69" s="1111"/>
      <c r="U69" s="1111"/>
      <c r="X69" s="1157"/>
      <c r="Y69" s="1157"/>
      <c r="Z69" s="1157"/>
    </row>
    <row r="70" spans="1:26">
      <c r="A70" s="1078" t="s">
        <v>2067</v>
      </c>
      <c r="B70" s="1166">
        <v>106</v>
      </c>
      <c r="C70" s="1166">
        <v>107</v>
      </c>
      <c r="D70" s="1166">
        <f t="shared" si="65"/>
        <v>107</v>
      </c>
      <c r="E70" s="1166">
        <v>105</v>
      </c>
      <c r="F70" s="1167">
        <v>102</v>
      </c>
      <c r="G70" s="3405">
        <v>2002</v>
      </c>
      <c r="H70" s="1087">
        <v>4</v>
      </c>
      <c r="I70" s="1177"/>
      <c r="J70" s="1177"/>
      <c r="K70" s="1177"/>
      <c r="L70" s="1177"/>
      <c r="N70" s="1178"/>
      <c r="O70" s="1177"/>
      <c r="P70" s="1177"/>
      <c r="Q70" s="1177"/>
      <c r="S70" s="1178"/>
      <c r="T70" s="1177"/>
      <c r="U70" s="1177"/>
      <c r="V70" s="1177"/>
      <c r="X70" s="1157"/>
      <c r="Y70" s="1157"/>
      <c r="Z70" s="1157"/>
    </row>
    <row r="71" spans="1:26">
      <c r="A71" s="1078" t="s">
        <v>2068</v>
      </c>
      <c r="B71" s="1164">
        <f t="shared" ref="B71:C73" si="103">B72+(B$70-B$74)/4</f>
        <v>105</v>
      </c>
      <c r="C71" s="1164">
        <f t="shared" si="103"/>
        <v>106</v>
      </c>
      <c r="D71" s="1164">
        <f t="shared" si="65"/>
        <v>106</v>
      </c>
      <c r="E71" s="1164">
        <f t="shared" ref="E71:F73" si="104">E72+(E$70-E$74)/4</f>
        <v>104.5</v>
      </c>
      <c r="F71" s="1164">
        <f t="shared" si="104"/>
        <v>101.5</v>
      </c>
      <c r="G71" s="3401">
        <v>2002</v>
      </c>
      <c r="H71" s="1088">
        <v>3</v>
      </c>
      <c r="I71" s="1177"/>
      <c r="J71" s="1177"/>
      <c r="K71" s="1177"/>
      <c r="L71" s="1177"/>
      <c r="X71" s="1157"/>
      <c r="Y71" s="1157"/>
      <c r="Z71" s="1157"/>
    </row>
    <row r="72" spans="1:26">
      <c r="A72" s="1078" t="s">
        <v>2069</v>
      </c>
      <c r="B72" s="1164">
        <f t="shared" si="103"/>
        <v>104</v>
      </c>
      <c r="C72" s="1164">
        <f t="shared" si="103"/>
        <v>105</v>
      </c>
      <c r="D72" s="1164">
        <f t="shared" si="65"/>
        <v>105</v>
      </c>
      <c r="E72" s="1164">
        <f t="shared" si="104"/>
        <v>104</v>
      </c>
      <c r="F72" s="1164">
        <f t="shared" si="104"/>
        <v>101</v>
      </c>
      <c r="G72" s="3401">
        <v>2002</v>
      </c>
      <c r="H72" s="1084">
        <v>2</v>
      </c>
      <c r="I72" s="1177"/>
      <c r="J72" s="1177"/>
      <c r="K72" s="1177"/>
      <c r="L72" s="1177"/>
      <c r="X72" s="1157"/>
      <c r="Y72" s="1157"/>
      <c r="Z72" s="1157"/>
    </row>
    <row r="73" spans="1:26" s="1056" customFormat="1">
      <c r="A73" s="1092" t="s">
        <v>2070</v>
      </c>
      <c r="B73" s="1168">
        <f t="shared" si="103"/>
        <v>103</v>
      </c>
      <c r="C73" s="1168">
        <f t="shared" si="103"/>
        <v>104</v>
      </c>
      <c r="D73" s="1168">
        <f t="shared" si="65"/>
        <v>104</v>
      </c>
      <c r="E73" s="1168">
        <f t="shared" si="104"/>
        <v>103.5</v>
      </c>
      <c r="F73" s="1168">
        <f t="shared" si="104"/>
        <v>100.5</v>
      </c>
      <c r="G73" s="3404">
        <v>2002</v>
      </c>
      <c r="H73" s="1169">
        <v>1</v>
      </c>
      <c r="I73" s="1179"/>
      <c r="J73" s="1179"/>
      <c r="K73" s="1179"/>
      <c r="L73" s="1179"/>
      <c r="N73" s="1180"/>
      <c r="S73" s="1180"/>
      <c r="X73" s="1184"/>
      <c r="Y73" s="1184"/>
      <c r="Z73" s="1184"/>
    </row>
    <row r="74" spans="1:26">
      <c r="B74" s="1170">
        <v>102</v>
      </c>
      <c r="C74" s="1171">
        <v>103</v>
      </c>
      <c r="D74" s="1171">
        <f t="shared" si="65"/>
        <v>103</v>
      </c>
      <c r="E74" s="1171">
        <v>103</v>
      </c>
      <c r="F74" s="1172">
        <v>100</v>
      </c>
      <c r="I74" s="1177"/>
      <c r="J74" s="1177"/>
      <c r="K74" s="1177"/>
      <c r="L74" s="1177"/>
      <c r="N74" s="1178"/>
      <c r="O74" s="1177"/>
      <c r="P74" s="1177"/>
      <c r="Q74" s="1177"/>
      <c r="S74" s="1178"/>
      <c r="T74" s="1177"/>
      <c r="U74" s="1177"/>
      <c r="V74" s="1177"/>
      <c r="X74" s="1146"/>
      <c r="Y74" s="1146"/>
      <c r="Z74" s="1146"/>
    </row>
    <row r="76" spans="1:26" s="1058" customFormat="1">
      <c r="A76" s="1173" t="s">
        <v>2071</v>
      </c>
      <c r="G76" s="1174"/>
      <c r="N76" s="1174"/>
      <c r="S76" s="1174"/>
    </row>
    <row r="77" spans="1:26" s="1058" customFormat="1">
      <c r="A77" s="1058" t="s">
        <v>2072</v>
      </c>
      <c r="G77" s="1174"/>
      <c r="N77" s="1174"/>
      <c r="S77" s="1174"/>
    </row>
    <row r="78" spans="1:26" s="1058" customFormat="1">
      <c r="A78" s="1058" t="s">
        <v>2073</v>
      </c>
      <c r="G78" s="1174"/>
      <c r="I78" s="1181"/>
      <c r="J78" s="1181"/>
      <c r="K78" s="1181"/>
      <c r="L78" s="1181"/>
      <c r="N78" s="1182"/>
      <c r="O78" s="1181"/>
      <c r="P78" s="1181"/>
      <c r="Q78" s="1181"/>
      <c r="S78" s="1182"/>
      <c r="T78" s="1181"/>
      <c r="U78" s="1181"/>
      <c r="V78" s="1181"/>
    </row>
    <row r="79" spans="1:26" s="1058" customFormat="1">
      <c r="A79" s="1058" t="s">
        <v>2074</v>
      </c>
      <c r="G79" s="1174"/>
      <c r="N79" s="1174"/>
      <c r="S79" s="1174"/>
    </row>
    <row r="87" spans="7:22">
      <c r="G87" s="1059"/>
      <c r="S87" s="1185" t="s">
        <v>2075</v>
      </c>
      <c r="T87" s="1186" t="s">
        <v>2076</v>
      </c>
      <c r="U87" s="1186" t="s">
        <v>2077</v>
      </c>
      <c r="V87" s="1186" t="s">
        <v>2078</v>
      </c>
    </row>
    <row r="88" spans="7:22">
      <c r="G88" s="1059"/>
      <c r="N88" s="1145"/>
      <c r="O88" s="1146"/>
      <c r="P88" s="1146"/>
      <c r="Q88" s="1146"/>
      <c r="S88" s="1187">
        <v>2006</v>
      </c>
      <c r="T88" s="1188">
        <v>15.1</v>
      </c>
      <c r="U88" s="1188">
        <v>7.43</v>
      </c>
      <c r="V88" s="1188">
        <v>26.26</v>
      </c>
    </row>
    <row r="89" spans="7:22">
      <c r="G89" s="1059"/>
      <c r="N89" s="1145"/>
      <c r="O89" s="1146"/>
      <c r="P89" s="1146"/>
      <c r="Q89" s="1146"/>
      <c r="S89" s="1189">
        <v>2005</v>
      </c>
      <c r="T89" s="1190">
        <v>13.9</v>
      </c>
      <c r="U89" s="1190">
        <v>7.49</v>
      </c>
      <c r="V89" s="1190">
        <v>24.92</v>
      </c>
    </row>
    <row r="90" spans="7:22">
      <c r="G90" s="1059"/>
      <c r="N90" s="1145"/>
      <c r="O90" s="1146"/>
      <c r="P90" s="1146"/>
      <c r="Q90" s="1146"/>
      <c r="S90" s="1187">
        <v>2004</v>
      </c>
      <c r="T90" s="1188">
        <v>9.48</v>
      </c>
      <c r="U90" s="1188">
        <v>7.2</v>
      </c>
      <c r="V90" s="1188">
        <v>14.68</v>
      </c>
    </row>
    <row r="91" spans="7:22">
      <c r="G91" s="1059"/>
      <c r="N91" s="1145"/>
      <c r="O91" s="1146"/>
      <c r="P91" s="1146"/>
      <c r="Q91" s="1146"/>
      <c r="S91" s="1189">
        <v>2003</v>
      </c>
      <c r="T91" s="1190">
        <v>4.5</v>
      </c>
      <c r="U91" s="1190">
        <v>6.12</v>
      </c>
      <c r="V91" s="1190">
        <v>2.34</v>
      </c>
    </row>
    <row r="92" spans="7:22">
      <c r="G92" s="1059"/>
      <c r="N92" s="1145"/>
      <c r="O92" s="1146"/>
      <c r="P92" s="1146"/>
      <c r="Q92" s="1146"/>
      <c r="S92" s="1191">
        <v>2002</v>
      </c>
      <c r="T92" s="1192">
        <v>3.59</v>
      </c>
      <c r="U92" s="1192">
        <v>4.54</v>
      </c>
      <c r="V92" s="1192">
        <v>2.5499999999999998</v>
      </c>
    </row>
    <row r="93" spans="7:22">
      <c r="G93" s="1059"/>
      <c r="N93" s="1145"/>
      <c r="O93" s="1146"/>
      <c r="P93" s="1146"/>
      <c r="Q93" s="1146"/>
    </row>
    <row r="94" spans="7:22">
      <c r="G94" s="1059"/>
      <c r="N94" s="1145"/>
      <c r="O94" s="1146"/>
      <c r="P94" s="1146"/>
      <c r="Q94" s="1146"/>
    </row>
    <row r="95" spans="7:22">
      <c r="G95" s="1059"/>
      <c r="N95" s="1145"/>
      <c r="O95" s="1146"/>
      <c r="P95" s="1146"/>
      <c r="Q95" s="1146"/>
    </row>
    <row r="96" spans="7:22">
      <c r="G96" s="1059"/>
      <c r="N96" s="1145"/>
      <c r="O96" s="1146"/>
      <c r="P96" s="1146"/>
      <c r="Q96" s="1146"/>
    </row>
    <row r="97" spans="7:19">
      <c r="G97" s="1059"/>
      <c r="N97" s="1145"/>
      <c r="O97" s="1146"/>
      <c r="P97" s="1146"/>
      <c r="Q97" s="1146"/>
    </row>
    <row r="98" spans="7:19">
      <c r="G98" s="1059"/>
      <c r="N98" s="1145"/>
      <c r="O98" s="1146"/>
      <c r="P98" s="1146"/>
      <c r="Q98" s="1146"/>
    </row>
    <row r="99" spans="7:19">
      <c r="G99" s="1059"/>
      <c r="N99" s="1145"/>
      <c r="O99" s="1146"/>
      <c r="P99" s="1146"/>
      <c r="Q99" s="1146"/>
    </row>
    <row r="100" spans="7:19">
      <c r="G100" s="1059"/>
      <c r="N100" s="1145"/>
      <c r="O100" s="1146"/>
      <c r="P100" s="1146"/>
      <c r="Q100" s="1146"/>
    </row>
    <row r="101" spans="7:19">
      <c r="G101" s="1059"/>
      <c r="N101" s="1145"/>
      <c r="O101" s="1146"/>
      <c r="P101" s="1146"/>
      <c r="Q101" s="1146"/>
    </row>
    <row r="102" spans="7:19">
      <c r="G102" s="1059"/>
      <c r="N102" s="1145"/>
      <c r="O102" s="1146"/>
      <c r="P102" s="1146"/>
      <c r="Q102" s="1146"/>
    </row>
    <row r="103" spans="7:19">
      <c r="G103" s="1059"/>
      <c r="N103" s="1145"/>
      <c r="O103" s="1146"/>
      <c r="P103" s="1146"/>
      <c r="Q103" s="1146"/>
      <c r="S103" s="1059"/>
    </row>
    <row r="104" spans="7:19">
      <c r="G104" s="1059"/>
      <c r="N104" s="1145"/>
      <c r="O104" s="1146"/>
      <c r="P104" s="1146"/>
      <c r="Q104" s="1146"/>
      <c r="S104" s="1059"/>
    </row>
    <row r="105" spans="7:19">
      <c r="G105" s="1059"/>
      <c r="N105" s="1145"/>
      <c r="O105" s="1146"/>
      <c r="P105" s="1146"/>
      <c r="Q105" s="1146"/>
      <c r="S105" s="1059"/>
    </row>
    <row r="106" spans="7:19">
      <c r="G106" s="1059"/>
      <c r="N106" s="1145"/>
      <c r="O106" s="1146"/>
      <c r="P106" s="1146"/>
      <c r="Q106" s="1146"/>
      <c r="S106" s="1059"/>
    </row>
    <row r="107" spans="7:19">
      <c r="G107" s="1059"/>
      <c r="N107" s="1145"/>
      <c r="O107" s="1146"/>
      <c r="P107" s="1146"/>
      <c r="Q107" s="1146"/>
      <c r="S107" s="1059"/>
    </row>
    <row r="108" spans="7:19">
      <c r="G108" s="1059"/>
      <c r="N108" s="1145"/>
      <c r="O108" s="1146"/>
      <c r="P108" s="1146"/>
      <c r="Q108" s="1146"/>
      <c r="S108" s="1059"/>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24"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9" zoomScale="80" zoomScaleNormal="80" workbookViewId="0">
      <selection activeCell="D33" sqref="D3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963" t="s">
        <v>2080</v>
      </c>
      <c r="C1" s="964" t="s">
        <v>2081</v>
      </c>
      <c r="D1" s="965" t="s">
        <v>490</v>
      </c>
      <c r="E1" s="966"/>
      <c r="F1" s="203" t="s">
        <v>2082</v>
      </c>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917</v>
      </c>
      <c r="B2" s="967">
        <f>ROUND(B3*D3/10000,0)</f>
        <v>23358</v>
      </c>
      <c r="C2" s="207"/>
      <c r="D2" s="207"/>
      <c r="E2" s="207"/>
      <c r="F2" s="968"/>
      <c r="G2" s="207"/>
      <c r="H2" s="207"/>
      <c r="I2" s="207"/>
      <c r="J2" s="207"/>
      <c r="K2" s="976"/>
      <c r="L2" s="977"/>
      <c r="M2" s="978"/>
      <c r="N2" s="978"/>
      <c r="O2" s="978"/>
      <c r="P2" s="979"/>
      <c r="Q2" s="979"/>
      <c r="R2" s="979"/>
      <c r="S2" s="979"/>
      <c r="T2" s="979"/>
      <c r="U2" s="979"/>
      <c r="V2" s="979"/>
      <c r="W2" s="979"/>
      <c r="X2" s="979"/>
      <c r="Y2" s="979"/>
      <c r="Z2" s="979"/>
      <c r="AA2" s="979"/>
      <c r="AB2" s="979"/>
      <c r="AC2" s="993"/>
    </row>
    <row r="3" spans="1:29" s="962" customFormat="1" ht="28.5" customHeight="1">
      <c r="A3" s="210" t="s">
        <v>2084</v>
      </c>
      <c r="B3" s="213">
        <f>C49</f>
        <v>5006</v>
      </c>
      <c r="C3" s="212" t="s">
        <v>2085</v>
      </c>
      <c r="D3" s="213">
        <f>SUMIF('数据-汇总表'!$C19:$C33,D1,'数据-汇总表'!$E19:$E33)</f>
        <v>46660.33</v>
      </c>
      <c r="E3" s="207"/>
      <c r="F3" s="968"/>
      <c r="G3" s="207"/>
      <c r="H3" s="207"/>
      <c r="I3" s="207"/>
      <c r="J3" s="207"/>
      <c r="K3" s="976"/>
      <c r="L3" s="977"/>
      <c r="M3" s="978"/>
      <c r="N3" s="978"/>
      <c r="O3" s="978"/>
      <c r="P3" s="979"/>
      <c r="Q3" s="979"/>
      <c r="R3" s="979"/>
      <c r="S3" s="979"/>
      <c r="T3" s="979"/>
      <c r="U3" s="979"/>
      <c r="V3" s="979"/>
      <c r="W3" s="979"/>
      <c r="X3" s="979"/>
      <c r="Y3" s="979"/>
      <c r="Z3" s="979"/>
      <c r="AA3" s="979"/>
      <c r="AB3" s="979"/>
      <c r="AC3" s="912"/>
    </row>
    <row r="4" spans="1:29" ht="15">
      <c r="A4" s="214" t="s">
        <v>921</v>
      </c>
      <c r="B4" s="215"/>
      <c r="C4" s="3315" t="s">
        <v>922</v>
      </c>
      <c r="D4" s="3316"/>
      <c r="E4" s="3356" t="s">
        <v>923</v>
      </c>
      <c r="F4" s="3357"/>
      <c r="G4" s="3315" t="s">
        <v>924</v>
      </c>
      <c r="H4" s="3316"/>
      <c r="I4" s="3315" t="s">
        <v>925</v>
      </c>
      <c r="J4" s="3316"/>
      <c r="K4" s="980" t="s">
        <v>926</v>
      </c>
      <c r="L4" s="377"/>
      <c r="M4" s="378"/>
      <c r="N4" s="378"/>
      <c r="O4" s="378"/>
      <c r="P4" s="3343" t="s">
        <v>927</v>
      </c>
      <c r="Q4" s="3344"/>
      <c r="R4" s="3349" t="s">
        <v>923</v>
      </c>
      <c r="S4" s="3350"/>
      <c r="T4" s="3349" t="s">
        <v>924</v>
      </c>
      <c r="U4" s="3350"/>
      <c r="V4" s="3335" t="s">
        <v>925</v>
      </c>
      <c r="W4" s="3335"/>
      <c r="X4" s="443"/>
      <c r="Y4" s="3349" t="s">
        <v>927</v>
      </c>
      <c r="Z4" s="3350"/>
      <c r="AA4" s="3336" t="s">
        <v>923</v>
      </c>
      <c r="AB4" s="3336" t="s">
        <v>924</v>
      </c>
      <c r="AC4" s="3336" t="s">
        <v>925</v>
      </c>
    </row>
    <row r="5" spans="1:29" ht="15">
      <c r="A5" s="216"/>
      <c r="B5" s="217"/>
      <c r="C5" s="3317" t="s">
        <v>2086</v>
      </c>
      <c r="D5" s="3318"/>
      <c r="E5" s="3409" t="s">
        <v>2087</v>
      </c>
      <c r="F5" s="3360"/>
      <c r="G5" s="3317" t="s">
        <v>2088</v>
      </c>
      <c r="H5" s="3318"/>
      <c r="I5" s="3317" t="s">
        <v>2089</v>
      </c>
      <c r="J5" s="3318"/>
      <c r="K5" s="981"/>
      <c r="L5" s="377"/>
      <c r="M5" s="378"/>
      <c r="N5" s="378"/>
      <c r="O5" s="378"/>
      <c r="P5" s="3345"/>
      <c r="Q5" s="3346"/>
      <c r="R5" s="3351"/>
      <c r="S5" s="3352"/>
      <c r="T5" s="3351"/>
      <c r="U5" s="3352"/>
      <c r="V5" s="3335"/>
      <c r="W5" s="3335"/>
      <c r="X5" s="443"/>
      <c r="Y5" s="3351"/>
      <c r="Z5" s="3352"/>
      <c r="AA5" s="3337"/>
      <c r="AB5" s="3337"/>
      <c r="AC5" s="3337"/>
    </row>
    <row r="6" spans="1:29" ht="15">
      <c r="A6" s="218"/>
      <c r="B6" s="219"/>
      <c r="C6" s="3321" t="s">
        <v>1103</v>
      </c>
      <c r="D6" s="3322"/>
      <c r="E6" s="3361" t="str">
        <f t="shared" ref="E6:I6" si="0">E5</f>
        <v>盛唐悦府</v>
      </c>
      <c r="F6" s="3362"/>
      <c r="G6" s="3321" t="str">
        <f t="shared" si="0"/>
        <v>文圣园</v>
      </c>
      <c r="H6" s="3322"/>
      <c r="I6" s="3321" t="str">
        <f t="shared" si="0"/>
        <v>城市之光</v>
      </c>
      <c r="J6" s="3322"/>
      <c r="K6" s="981" t="s">
        <v>932</v>
      </c>
      <c r="L6" s="377"/>
      <c r="M6" s="378"/>
      <c r="N6" s="378"/>
      <c r="O6" s="378"/>
      <c r="P6" s="3347"/>
      <c r="Q6" s="3348"/>
      <c r="R6" s="3351"/>
      <c r="S6" s="3352"/>
      <c r="T6" s="3353"/>
      <c r="U6" s="3354"/>
      <c r="V6" s="3335"/>
      <c r="W6" s="3335"/>
      <c r="X6" s="443"/>
      <c r="Y6" s="3353"/>
      <c r="Z6" s="3354"/>
      <c r="AA6" s="3338"/>
      <c r="AB6" s="3338"/>
      <c r="AC6" s="3338"/>
    </row>
    <row r="7" spans="1:29" s="190" customFormat="1" ht="15">
      <c r="A7" s="220"/>
      <c r="B7" s="221" t="s">
        <v>933</v>
      </c>
      <c r="C7" s="222">
        <f>'数据-取费表'!B2</f>
        <v>43600</v>
      </c>
      <c r="D7" s="223">
        <v>100</v>
      </c>
      <c r="E7" s="224">
        <v>43551</v>
      </c>
      <c r="F7" s="225">
        <f>SUMIF(58:58,YEAR(E7)&amp;"-"&amp;MONTH(E7),59:59)</f>
        <v>100</v>
      </c>
      <c r="G7" s="226">
        <v>43551</v>
      </c>
      <c r="H7" s="223">
        <f>SUMIF(58:58,YEAR(G7)&amp;"-"&amp;MONTH(G7),59:59)</f>
        <v>100</v>
      </c>
      <c r="I7" s="226">
        <v>43551</v>
      </c>
      <c r="J7" s="223">
        <f>SUMIF(58:58,YEAR(I7)&amp;"-"&amp;MONTH(I7),59:59)</f>
        <v>100</v>
      </c>
      <c r="K7" s="982"/>
      <c r="L7" s="380"/>
      <c r="M7" s="381"/>
      <c r="N7" s="381"/>
      <c r="O7" s="381"/>
      <c r="P7" s="3323" t="s">
        <v>934</v>
      </c>
      <c r="Q7" s="3324"/>
      <c r="R7" s="444" t="s">
        <v>935</v>
      </c>
      <c r="S7" s="445">
        <f t="shared" ref="S7:S15" si="1">F7</f>
        <v>100</v>
      </c>
      <c r="T7" s="444" t="s">
        <v>935</v>
      </c>
      <c r="U7" s="445">
        <f t="shared" ref="U7:U15" si="2">H7</f>
        <v>100</v>
      </c>
      <c r="V7" s="444" t="s">
        <v>935</v>
      </c>
      <c r="W7" s="445">
        <f t="shared" ref="W7:W15" si="3">J7</f>
        <v>100</v>
      </c>
      <c r="X7" s="446"/>
      <c r="Y7" s="3323" t="s">
        <v>934</v>
      </c>
      <c r="Z7" s="3355"/>
      <c r="AA7" s="463">
        <f>D7/F7</f>
        <v>1</v>
      </c>
      <c r="AB7" s="463">
        <f>D7/H7</f>
        <v>1</v>
      </c>
      <c r="AC7" s="463">
        <f>D7/J7</f>
        <v>1</v>
      </c>
    </row>
    <row r="8" spans="1:29" s="190" customFormat="1" ht="15">
      <c r="A8" s="227"/>
      <c r="B8" s="228" t="s">
        <v>936</v>
      </c>
      <c r="C8" s="229" t="s">
        <v>937</v>
      </c>
      <c r="D8" s="223">
        <v>100</v>
      </c>
      <c r="E8" s="969" t="s">
        <v>938</v>
      </c>
      <c r="F8" s="225">
        <f>SUMIF(61:61,E8,62:62)-SUMIF(61:61,C8,62:62)+100</f>
        <v>100</v>
      </c>
      <c r="G8" s="229" t="s">
        <v>938</v>
      </c>
      <c r="H8" s="223">
        <f>SUMIF(61:61,G8,62:62)-SUMIF(61:61,C8,62:62)+100</f>
        <v>100</v>
      </c>
      <c r="I8" s="969" t="s">
        <v>938</v>
      </c>
      <c r="J8" s="223">
        <f>SUMIF(61:61,I8,62:62)-SUMIF(61:61,C8,62:62)+100</f>
        <v>100</v>
      </c>
      <c r="K8" s="982"/>
      <c r="L8" s="380"/>
      <c r="M8" s="381"/>
      <c r="N8" s="381"/>
      <c r="O8" s="381"/>
      <c r="P8" s="3323" t="s">
        <v>939</v>
      </c>
      <c r="Q8" s="3355"/>
      <c r="R8" s="444" t="s">
        <v>935</v>
      </c>
      <c r="S8" s="445">
        <f t="shared" si="1"/>
        <v>100</v>
      </c>
      <c r="T8" s="444" t="s">
        <v>935</v>
      </c>
      <c r="U8" s="445">
        <f t="shared" si="2"/>
        <v>100</v>
      </c>
      <c r="V8" s="444" t="s">
        <v>935</v>
      </c>
      <c r="W8" s="445">
        <f t="shared" si="3"/>
        <v>100</v>
      </c>
      <c r="X8" s="446"/>
      <c r="Y8" s="3323" t="s">
        <v>939</v>
      </c>
      <c r="Z8" s="3355"/>
      <c r="AA8" s="463">
        <f t="shared" ref="AA8:AA46" si="4">D8/F8</f>
        <v>1</v>
      </c>
      <c r="AB8" s="463">
        <f t="shared" ref="AB8:AB46" si="5">D8/H8</f>
        <v>1</v>
      </c>
      <c r="AC8" s="463">
        <f t="shared" ref="AC8:AC46" si="6">D8/J8</f>
        <v>1</v>
      </c>
    </row>
    <row r="9" spans="1:29" s="190" customFormat="1" ht="15">
      <c r="A9" s="230"/>
      <c r="B9" s="231" t="s">
        <v>940</v>
      </c>
      <c r="C9" s="970" t="s">
        <v>376</v>
      </c>
      <c r="D9" s="233">
        <v>100</v>
      </c>
      <c r="E9" s="497" t="s">
        <v>376</v>
      </c>
      <c r="F9" s="971">
        <f>SUMIF(63:63,E9,64:64)-SUMIF(63:63,C9,64:64)+100</f>
        <v>100</v>
      </c>
      <c r="G9" s="234" t="s">
        <v>376</v>
      </c>
      <c r="H9" s="233">
        <f>SUMIF(63:63,G9,64:64)-SUMIF(63:63,C9,64:64)+100</f>
        <v>100</v>
      </c>
      <c r="I9" s="234" t="s">
        <v>376</v>
      </c>
      <c r="J9" s="233">
        <f>SUMIF(63:63,I9,64:64)-SUMIF(63:63,C9,64:64)+100</f>
        <v>100</v>
      </c>
      <c r="K9" s="982"/>
      <c r="L9" s="380"/>
      <c r="M9" s="381"/>
      <c r="N9" s="381"/>
      <c r="O9" s="382"/>
      <c r="P9" s="3326" t="s">
        <v>942</v>
      </c>
      <c r="Q9" s="447" t="str">
        <f t="shared" ref="Q9:Q15" si="7">B9</f>
        <v>用途</v>
      </c>
      <c r="R9" s="444" t="s">
        <v>935</v>
      </c>
      <c r="S9" s="445">
        <f t="shared" si="1"/>
        <v>100</v>
      </c>
      <c r="T9" s="444" t="s">
        <v>935</v>
      </c>
      <c r="U9" s="445">
        <f t="shared" si="2"/>
        <v>100</v>
      </c>
      <c r="V9" s="444" t="s">
        <v>935</v>
      </c>
      <c r="W9" s="445">
        <f t="shared" si="3"/>
        <v>100</v>
      </c>
      <c r="X9" s="446"/>
      <c r="Y9" s="3314" t="s">
        <v>943</v>
      </c>
      <c r="Z9" s="464" t="str">
        <f t="shared" ref="Z9:Z15" si="8">Q9</f>
        <v>用途</v>
      </c>
      <c r="AA9" s="463">
        <f t="shared" si="4"/>
        <v>1</v>
      </c>
      <c r="AB9" s="463">
        <f t="shared" si="5"/>
        <v>1</v>
      </c>
      <c r="AC9" s="463">
        <f t="shared" si="6"/>
        <v>1</v>
      </c>
    </row>
    <row r="10" spans="1:29" s="191" customFormat="1" ht="27">
      <c r="A10" s="235"/>
      <c r="B10" s="228" t="s">
        <v>944</v>
      </c>
      <c r="C10" s="236" t="s">
        <v>2090</v>
      </c>
      <c r="D10" s="237">
        <v>100</v>
      </c>
      <c r="E10" s="238" t="s">
        <v>2090</v>
      </c>
      <c r="F10" s="543">
        <f>SUMIF(65:65,E10,66:66)-SUMIF(65:65,C10,66:66)+100</f>
        <v>100</v>
      </c>
      <c r="G10" s="236" t="s">
        <v>2090</v>
      </c>
      <c r="H10" s="237">
        <f>SUMIF(65:65,G10,66:66)-SUMIF(65:65,C10,66:66)+100</f>
        <v>100</v>
      </c>
      <c r="I10" s="236" t="s">
        <v>2090</v>
      </c>
      <c r="J10" s="237">
        <f>SUMIF(65:65,I10,66:66)-SUMIF(65:65,C10,66:66)+100</f>
        <v>100</v>
      </c>
      <c r="K10" s="983">
        <v>1</v>
      </c>
      <c r="L10" s="385"/>
      <c r="M10" s="386"/>
      <c r="N10" s="386"/>
      <c r="O10" s="387"/>
      <c r="P10" s="3326"/>
      <c r="Q10" s="447" t="str">
        <f t="shared" si="7"/>
        <v>土地使用年限（年）</v>
      </c>
      <c r="R10" s="444" t="s">
        <v>935</v>
      </c>
      <c r="S10" s="445">
        <f t="shared" si="1"/>
        <v>100</v>
      </c>
      <c r="T10" s="444" t="s">
        <v>935</v>
      </c>
      <c r="U10" s="445">
        <f t="shared" si="2"/>
        <v>100</v>
      </c>
      <c r="V10" s="444" t="s">
        <v>935</v>
      </c>
      <c r="W10" s="445">
        <f t="shared" si="3"/>
        <v>100</v>
      </c>
      <c r="X10" s="446"/>
      <c r="Y10" s="3314"/>
      <c r="Z10" s="464" t="str">
        <f t="shared" si="8"/>
        <v>土地使用年限（年）</v>
      </c>
      <c r="AA10" s="463">
        <f t="shared" si="4"/>
        <v>1</v>
      </c>
      <c r="AB10" s="463">
        <f t="shared" si="5"/>
        <v>1</v>
      </c>
      <c r="AC10" s="463">
        <f t="shared" si="6"/>
        <v>1</v>
      </c>
    </row>
    <row r="11" spans="1:29" ht="15" hidden="1">
      <c r="A11" s="530"/>
      <c r="B11" s="228" t="s">
        <v>946</v>
      </c>
      <c r="C11" s="531">
        <f>'数据-汇总表'!I6</f>
        <v>1.1299999999999999</v>
      </c>
      <c r="D11" s="237">
        <v>100</v>
      </c>
      <c r="E11" s="532">
        <v>1</v>
      </c>
      <c r="F11" s="543">
        <f>LOOKUP(E11,68:68,69:69)-LOOKUP(C11,68:68,69:69)+100</f>
        <v>100</v>
      </c>
      <c r="G11" s="531">
        <v>1</v>
      </c>
      <c r="H11" s="237">
        <f>LOOKUP(G11,68:68,69:69)-LOOKUP(C11,68:68,69:69)+100</f>
        <v>100</v>
      </c>
      <c r="I11" s="531">
        <v>1</v>
      </c>
      <c r="J11" s="237">
        <f>LOOKUP(I11,68:68,69:69)-LOOKUP(C11,68:68,69:69)+100</f>
        <v>100</v>
      </c>
      <c r="K11" s="983">
        <v>1</v>
      </c>
      <c r="L11" s="389"/>
      <c r="M11" s="378"/>
      <c r="N11" s="378"/>
      <c r="O11" s="390"/>
      <c r="P11" s="3326"/>
      <c r="Q11" s="447" t="str">
        <f t="shared" si="7"/>
        <v>容积率</v>
      </c>
      <c r="R11" s="444" t="s">
        <v>935</v>
      </c>
      <c r="S11" s="445">
        <f t="shared" si="1"/>
        <v>100</v>
      </c>
      <c r="T11" s="444" t="s">
        <v>935</v>
      </c>
      <c r="U11" s="445">
        <f t="shared" si="2"/>
        <v>100</v>
      </c>
      <c r="V11" s="444" t="s">
        <v>935</v>
      </c>
      <c r="W11" s="445">
        <f t="shared" si="3"/>
        <v>100</v>
      </c>
      <c r="X11" s="446"/>
      <c r="Y11" s="3314"/>
      <c r="Z11" s="464" t="str">
        <f t="shared" si="8"/>
        <v>容积率</v>
      </c>
      <c r="AA11" s="463">
        <f t="shared" si="4"/>
        <v>1</v>
      </c>
      <c r="AB11" s="463">
        <f t="shared" si="5"/>
        <v>1</v>
      </c>
      <c r="AC11" s="463">
        <f t="shared" si="6"/>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4"/>
      <c r="L12" s="380"/>
      <c r="M12" s="381"/>
      <c r="N12" s="381"/>
      <c r="O12" s="382"/>
      <c r="P12" s="3326"/>
      <c r="Q12" s="447">
        <f t="shared" si="7"/>
        <v>111</v>
      </c>
      <c r="R12" s="444" t="s">
        <v>935</v>
      </c>
      <c r="S12" s="445">
        <f t="shared" si="1"/>
        <v>100</v>
      </c>
      <c r="T12" s="444" t="s">
        <v>935</v>
      </c>
      <c r="U12" s="445">
        <f t="shared" si="2"/>
        <v>100</v>
      </c>
      <c r="V12" s="444" t="s">
        <v>935</v>
      </c>
      <c r="W12" s="445">
        <f t="shared" si="3"/>
        <v>100</v>
      </c>
      <c r="X12" s="446"/>
      <c r="Y12" s="3314"/>
      <c r="Z12" s="464">
        <f t="shared" si="8"/>
        <v>111</v>
      </c>
      <c r="AA12" s="463">
        <f t="shared" si="4"/>
        <v>1</v>
      </c>
      <c r="AB12" s="463">
        <f t="shared" si="5"/>
        <v>1</v>
      </c>
      <c r="AC12" s="463">
        <f t="shared" si="6"/>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4"/>
      <c r="L13" s="391"/>
      <c r="M13" s="378"/>
      <c r="N13" s="378"/>
      <c r="O13" s="390"/>
      <c r="P13" s="3326"/>
      <c r="Q13" s="447">
        <f t="shared" si="7"/>
        <v>111</v>
      </c>
      <c r="R13" s="444" t="s">
        <v>935</v>
      </c>
      <c r="S13" s="445">
        <f t="shared" si="1"/>
        <v>100</v>
      </c>
      <c r="T13" s="444" t="s">
        <v>935</v>
      </c>
      <c r="U13" s="445">
        <f t="shared" si="2"/>
        <v>100</v>
      </c>
      <c r="V13" s="444" t="s">
        <v>935</v>
      </c>
      <c r="W13" s="445">
        <f t="shared" si="3"/>
        <v>100</v>
      </c>
      <c r="X13" s="446"/>
      <c r="Y13" s="3314"/>
      <c r="Z13" s="464">
        <f t="shared" si="8"/>
        <v>111</v>
      </c>
      <c r="AA13" s="463">
        <f t="shared" si="4"/>
        <v>1</v>
      </c>
      <c r="AB13" s="463">
        <f t="shared" si="5"/>
        <v>1</v>
      </c>
      <c r="AC13" s="463">
        <f t="shared" si="6"/>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4"/>
      <c r="L14" s="391"/>
      <c r="M14" s="378"/>
      <c r="N14" s="378"/>
      <c r="O14" s="390"/>
      <c r="P14" s="3326"/>
      <c r="Q14" s="447">
        <f t="shared" si="7"/>
        <v>111</v>
      </c>
      <c r="R14" s="444" t="s">
        <v>935</v>
      </c>
      <c r="S14" s="445">
        <f t="shared" si="1"/>
        <v>100</v>
      </c>
      <c r="T14" s="444" t="s">
        <v>935</v>
      </c>
      <c r="U14" s="445">
        <f t="shared" si="2"/>
        <v>100</v>
      </c>
      <c r="V14" s="444" t="s">
        <v>935</v>
      </c>
      <c r="W14" s="445">
        <f t="shared" si="3"/>
        <v>100</v>
      </c>
      <c r="X14" s="446"/>
      <c r="Y14" s="3314"/>
      <c r="Z14" s="464">
        <f t="shared" si="8"/>
        <v>111</v>
      </c>
      <c r="AA14" s="463">
        <f t="shared" si="4"/>
        <v>1</v>
      </c>
      <c r="AB14" s="463">
        <f t="shared" si="5"/>
        <v>1</v>
      </c>
      <c r="AC14" s="463">
        <f t="shared" si="6"/>
        <v>1</v>
      </c>
    </row>
    <row r="15" spans="1:29" ht="99.75">
      <c r="A15" s="248" t="s">
        <v>948</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85">
        <v>3</v>
      </c>
      <c r="L15" s="391"/>
      <c r="M15" s="378"/>
      <c r="N15" s="378"/>
      <c r="O15" s="390"/>
      <c r="P15" s="3327" t="s">
        <v>949</v>
      </c>
      <c r="Q15" s="383" t="str">
        <f t="shared" si="7"/>
        <v>居住社区成熟度</v>
      </c>
      <c r="R15" s="448" t="s">
        <v>935</v>
      </c>
      <c r="S15" s="449">
        <f t="shared" si="1"/>
        <v>100</v>
      </c>
      <c r="T15" s="448" t="s">
        <v>935</v>
      </c>
      <c r="U15" s="449">
        <f t="shared" si="2"/>
        <v>100</v>
      </c>
      <c r="V15" s="448" t="s">
        <v>935</v>
      </c>
      <c r="W15" s="449">
        <f t="shared" si="3"/>
        <v>100</v>
      </c>
      <c r="X15" s="443"/>
      <c r="Y15" s="3327" t="s">
        <v>949</v>
      </c>
      <c r="Z15" s="442" t="str">
        <f t="shared" si="8"/>
        <v>居住社区成熟度</v>
      </c>
      <c r="AA15" s="454">
        <f t="shared" si="4"/>
        <v>1</v>
      </c>
      <c r="AB15" s="454">
        <f t="shared" si="5"/>
        <v>1</v>
      </c>
      <c r="AC15" s="454">
        <f t="shared" si="6"/>
        <v>1</v>
      </c>
    </row>
    <row r="16" spans="1:29" ht="15">
      <c r="A16" s="255"/>
      <c r="B16" s="256"/>
      <c r="C16" s="257" t="s">
        <v>950</v>
      </c>
      <c r="D16" s="258"/>
      <c r="E16" s="536" t="s">
        <v>950</v>
      </c>
      <c r="F16" s="259"/>
      <c r="G16" s="537" t="s">
        <v>950</v>
      </c>
      <c r="H16" s="260"/>
      <c r="I16" s="536" t="s">
        <v>950</v>
      </c>
      <c r="J16" s="258"/>
      <c r="K16" s="986"/>
      <c r="L16" s="391"/>
      <c r="M16" s="378"/>
      <c r="N16" s="378"/>
      <c r="O16" s="390"/>
      <c r="P16" s="3328"/>
      <c r="Q16" s="383"/>
      <c r="R16" s="448"/>
      <c r="S16" s="449"/>
      <c r="T16" s="448"/>
      <c r="U16" s="449"/>
      <c r="V16" s="448"/>
      <c r="W16" s="449"/>
      <c r="X16" s="443"/>
      <c r="Y16" s="3328"/>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85">
        <v>3</v>
      </c>
      <c r="L17" s="391"/>
      <c r="M17" s="378"/>
      <c r="N17" s="378"/>
      <c r="O17" s="390"/>
      <c r="P17" s="3328"/>
      <c r="Q17" s="383" t="str">
        <f>B17</f>
        <v>交通便捷度</v>
      </c>
      <c r="R17" s="448" t="s">
        <v>935</v>
      </c>
      <c r="S17" s="449">
        <f>F17</f>
        <v>100</v>
      </c>
      <c r="T17" s="448" t="s">
        <v>935</v>
      </c>
      <c r="U17" s="449">
        <f>H17</f>
        <v>100</v>
      </c>
      <c r="V17" s="448" t="s">
        <v>935</v>
      </c>
      <c r="W17" s="449">
        <f>J17</f>
        <v>100</v>
      </c>
      <c r="X17" s="443"/>
      <c r="Y17" s="3328"/>
      <c r="Z17" s="442" t="str">
        <f>Q17</f>
        <v>交通便捷度</v>
      </c>
      <c r="AA17" s="454">
        <f t="shared" si="4"/>
        <v>1</v>
      </c>
      <c r="AB17" s="454">
        <f t="shared" si="5"/>
        <v>1</v>
      </c>
      <c r="AC17" s="454">
        <f t="shared" si="6"/>
        <v>1</v>
      </c>
    </row>
    <row r="18" spans="1:29" ht="15">
      <c r="A18" s="255"/>
      <c r="B18" s="275"/>
      <c r="C18" s="268" t="s">
        <v>950</v>
      </c>
      <c r="D18" s="260"/>
      <c r="E18" s="534" t="s">
        <v>950</v>
      </c>
      <c r="F18" s="271"/>
      <c r="G18" s="535" t="s">
        <v>950</v>
      </c>
      <c r="H18" s="258"/>
      <c r="I18" s="534" t="s">
        <v>950</v>
      </c>
      <c r="J18" s="258"/>
      <c r="K18" s="986"/>
      <c r="L18" s="391"/>
      <c r="M18" s="378"/>
      <c r="N18" s="378"/>
      <c r="O18" s="390"/>
      <c r="P18" s="3328"/>
      <c r="Q18" s="383"/>
      <c r="R18" s="448"/>
      <c r="S18" s="449"/>
      <c r="T18" s="448"/>
      <c r="U18" s="449"/>
      <c r="V18" s="448"/>
      <c r="W18" s="449"/>
      <c r="X18" s="443"/>
      <c r="Y18" s="3328"/>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85">
        <v>3</v>
      </c>
      <c r="L19" s="391"/>
      <c r="M19" s="378"/>
      <c r="N19" s="378"/>
      <c r="O19" s="390"/>
      <c r="P19" s="3328"/>
      <c r="Q19" s="383" t="str">
        <f>B19</f>
        <v>公共配套设施</v>
      </c>
      <c r="R19" s="448" t="s">
        <v>935</v>
      </c>
      <c r="S19" s="449">
        <f>F19</f>
        <v>100</v>
      </c>
      <c r="T19" s="448" t="s">
        <v>935</v>
      </c>
      <c r="U19" s="449">
        <f>H19</f>
        <v>100</v>
      </c>
      <c r="V19" s="448" t="s">
        <v>935</v>
      </c>
      <c r="W19" s="449">
        <f>J19</f>
        <v>100</v>
      </c>
      <c r="X19" s="443"/>
      <c r="Y19" s="3328"/>
      <c r="Z19" s="442" t="str">
        <f>Q19</f>
        <v>公共配套设施</v>
      </c>
      <c r="AA19" s="454">
        <f t="shared" si="4"/>
        <v>1</v>
      </c>
      <c r="AB19" s="454">
        <f t="shared" si="5"/>
        <v>1</v>
      </c>
      <c r="AC19" s="454">
        <f t="shared" si="6"/>
        <v>1</v>
      </c>
    </row>
    <row r="20" spans="1:29" ht="15">
      <c r="A20" s="255"/>
      <c r="B20" s="275"/>
      <c r="C20" s="257" t="s">
        <v>950</v>
      </c>
      <c r="D20" s="258"/>
      <c r="E20" s="536" t="s">
        <v>950</v>
      </c>
      <c r="F20" s="259"/>
      <c r="G20" s="537" t="s">
        <v>950</v>
      </c>
      <c r="H20" s="258"/>
      <c r="I20" s="536" t="s">
        <v>950</v>
      </c>
      <c r="J20" s="258"/>
      <c r="K20" s="986"/>
      <c r="L20" s="391"/>
      <c r="M20" s="378"/>
      <c r="N20" s="378"/>
      <c r="O20" s="390"/>
      <c r="P20" s="3328"/>
      <c r="Q20" s="383"/>
      <c r="R20" s="448"/>
      <c r="S20" s="449"/>
      <c r="T20" s="448"/>
      <c r="U20" s="449"/>
      <c r="V20" s="448"/>
      <c r="W20" s="449"/>
      <c r="X20" s="443"/>
      <c r="Y20" s="3328"/>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85">
        <v>1</v>
      </c>
      <c r="L21" s="391"/>
      <c r="M21" s="378"/>
      <c r="N21" s="378"/>
      <c r="O21" s="390"/>
      <c r="P21" s="3328"/>
      <c r="Q21" s="383" t="str">
        <f>B21</f>
        <v>基础设施水平</v>
      </c>
      <c r="R21" s="448" t="s">
        <v>935</v>
      </c>
      <c r="S21" s="449">
        <f>F21</f>
        <v>100</v>
      </c>
      <c r="T21" s="448" t="s">
        <v>935</v>
      </c>
      <c r="U21" s="449">
        <f>H21</f>
        <v>100</v>
      </c>
      <c r="V21" s="448" t="s">
        <v>935</v>
      </c>
      <c r="W21" s="449">
        <f>J21</f>
        <v>100</v>
      </c>
      <c r="X21" s="443"/>
      <c r="Y21" s="3328"/>
      <c r="Z21" s="442" t="str">
        <f>Q21</f>
        <v>基础设施水平</v>
      </c>
      <c r="AA21" s="454">
        <f t="shared" ref="AA21" si="9">D21/F21</f>
        <v>1</v>
      </c>
      <c r="AB21" s="454">
        <f t="shared" ref="AB21" si="10">D21/H21</f>
        <v>1</v>
      </c>
      <c r="AC21" s="454">
        <f t="shared" ref="AC21" si="11">D21/J21</f>
        <v>1</v>
      </c>
    </row>
    <row r="22" spans="1:29" ht="15">
      <c r="A22" s="255"/>
      <c r="B22" s="538"/>
      <c r="C22" s="268" t="s">
        <v>249</v>
      </c>
      <c r="D22" s="258"/>
      <c r="E22" s="257" t="s">
        <v>249</v>
      </c>
      <c r="F22" s="259"/>
      <c r="G22" s="257" t="s">
        <v>249</v>
      </c>
      <c r="H22" s="258"/>
      <c r="I22" s="257" t="s">
        <v>249</v>
      </c>
      <c r="J22" s="258"/>
      <c r="K22" s="987"/>
      <c r="L22" s="391"/>
      <c r="M22" s="378"/>
      <c r="N22" s="378"/>
      <c r="O22" s="390"/>
      <c r="P22" s="3328"/>
      <c r="Q22" s="383"/>
      <c r="R22" s="448"/>
      <c r="S22" s="449"/>
      <c r="T22" s="448"/>
      <c r="U22" s="449"/>
      <c r="V22" s="448"/>
      <c r="W22" s="449"/>
      <c r="X22" s="443"/>
      <c r="Y22" s="3328"/>
      <c r="Z22" s="442"/>
      <c r="AA22" s="454">
        <v>1</v>
      </c>
      <c r="AB22" s="454">
        <v>1</v>
      </c>
      <c r="AC22" s="454">
        <v>1</v>
      </c>
    </row>
    <row r="23" spans="1:29" ht="57">
      <c r="A23" s="255"/>
      <c r="B23" s="274" t="s">
        <v>2091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85">
        <v>2</v>
      </c>
      <c r="L23" s="391"/>
      <c r="M23" s="378"/>
      <c r="N23" s="378"/>
      <c r="O23" s="390"/>
      <c r="P23" s="3328"/>
      <c r="Q23" s="383" t="str">
        <f>B23</f>
        <v>自然及人文环境</v>
      </c>
      <c r="R23" s="448" t="s">
        <v>935</v>
      </c>
      <c r="S23" s="449">
        <f>F23</f>
        <v>100</v>
      </c>
      <c r="T23" s="448" t="s">
        <v>935</v>
      </c>
      <c r="U23" s="449">
        <f>H23</f>
        <v>100</v>
      </c>
      <c r="V23" s="448" t="s">
        <v>935</v>
      </c>
      <c r="W23" s="449">
        <f>J23</f>
        <v>100</v>
      </c>
      <c r="X23" s="443"/>
      <c r="Y23" s="3328"/>
      <c r="Z23" s="442" t="str">
        <f>Q23</f>
        <v>自然及人文环境</v>
      </c>
      <c r="AA23" s="454">
        <f t="shared" si="4"/>
        <v>1</v>
      </c>
      <c r="AB23" s="454">
        <f t="shared" si="5"/>
        <v>1</v>
      </c>
      <c r="AC23" s="454">
        <f t="shared" si="6"/>
        <v>1</v>
      </c>
    </row>
    <row r="24" spans="1:29" ht="15">
      <c r="A24" s="255"/>
      <c r="B24" s="275"/>
      <c r="C24" s="257" t="s">
        <v>950</v>
      </c>
      <c r="D24" s="258"/>
      <c r="E24" s="536" t="s">
        <v>950</v>
      </c>
      <c r="F24" s="259"/>
      <c r="G24" s="537" t="s">
        <v>950</v>
      </c>
      <c r="H24" s="258"/>
      <c r="I24" s="536" t="s">
        <v>950</v>
      </c>
      <c r="J24" s="258"/>
      <c r="K24" s="986"/>
      <c r="L24" s="391"/>
      <c r="M24" s="378"/>
      <c r="N24" s="378"/>
      <c r="O24" s="390"/>
      <c r="P24" s="3328"/>
      <c r="Q24" s="383"/>
      <c r="R24" s="448"/>
      <c r="S24" s="449"/>
      <c r="T24" s="448"/>
      <c r="U24" s="449"/>
      <c r="V24" s="448"/>
      <c r="W24" s="449"/>
      <c r="X24" s="443"/>
      <c r="Y24" s="3328"/>
      <c r="Z24" s="442"/>
      <c r="AA24" s="454">
        <v>1</v>
      </c>
      <c r="AB24" s="454">
        <v>1</v>
      </c>
      <c r="AC24" s="454">
        <v>1</v>
      </c>
    </row>
    <row r="25" spans="1:29" ht="15" hidden="1">
      <c r="A25" s="255"/>
      <c r="B25" s="544" t="s">
        <v>2092</v>
      </c>
      <c r="C25" s="294"/>
      <c r="D25" s="247">
        <v>100</v>
      </c>
      <c r="E25" s="972"/>
      <c r="F25" s="277">
        <f>SUMIF(86:86,E25,87:87)-SUMIF(86:86,C25,87:87)+100</f>
        <v>100</v>
      </c>
      <c r="G25" s="578"/>
      <c r="H25" s="247">
        <f>SUMIF(86:86,G25,87:87)-SUMIF(86:86,C25,87:87)+100</f>
        <v>100</v>
      </c>
      <c r="I25" s="972"/>
      <c r="J25" s="247">
        <f>SUMIF(86:86,I25,87:87)-SUMIF(86:86,C25,87:87)+100</f>
        <v>100</v>
      </c>
      <c r="K25" s="983"/>
      <c r="L25" s="391"/>
      <c r="M25" s="378"/>
      <c r="N25" s="378"/>
      <c r="O25" s="390"/>
      <c r="P25" s="3328"/>
      <c r="Q25" s="383" t="str">
        <f t="shared" ref="Q25:Q46" si="12">B25</f>
        <v>楼层-1</v>
      </c>
      <c r="R25" s="448" t="s">
        <v>935</v>
      </c>
      <c r="S25" s="449">
        <f>F25</f>
        <v>100</v>
      </c>
      <c r="T25" s="448" t="s">
        <v>935</v>
      </c>
      <c r="U25" s="449">
        <f>H25</f>
        <v>100</v>
      </c>
      <c r="V25" s="448" t="s">
        <v>935</v>
      </c>
      <c r="W25" s="449">
        <f>J25</f>
        <v>100</v>
      </c>
      <c r="X25" s="443"/>
      <c r="Y25" s="3328"/>
      <c r="Z25" s="442" t="str">
        <f>Q25</f>
        <v>楼层-1</v>
      </c>
      <c r="AA25" s="454">
        <f t="shared" si="4"/>
        <v>1</v>
      </c>
      <c r="AB25" s="454">
        <f t="shared" si="5"/>
        <v>1</v>
      </c>
      <c r="AC25" s="454">
        <f t="shared" si="6"/>
        <v>1</v>
      </c>
    </row>
    <row r="26" spans="1:29" ht="15" hidden="1">
      <c r="A26" s="255"/>
      <c r="B26" s="289" t="s">
        <v>2093</v>
      </c>
      <c r="C26" s="294"/>
      <c r="D26" s="247">
        <v>100</v>
      </c>
      <c r="E26" s="972"/>
      <c r="F26" s="277">
        <f>SUMIF(88:88,E26,89:89)-SUMIF(88:88,C26,89:89)+100</f>
        <v>100</v>
      </c>
      <c r="G26" s="578"/>
      <c r="H26" s="247">
        <f>SUMIF(88:88,G26,89:89)-SUMIF(88:88,C26,89:89)+100</f>
        <v>100</v>
      </c>
      <c r="I26" s="972"/>
      <c r="J26" s="247">
        <f>SUMIF(88:88,I26,89:89)-SUMIF(88:88,C26,89:89)+100</f>
        <v>100</v>
      </c>
      <c r="K26" s="983"/>
      <c r="L26" s="391"/>
      <c r="M26" s="378"/>
      <c r="N26" s="378"/>
      <c r="O26" s="390"/>
      <c r="P26" s="3328"/>
      <c r="Q26" s="383" t="str">
        <f t="shared" si="12"/>
        <v>朝向</v>
      </c>
      <c r="R26" s="448" t="s">
        <v>935</v>
      </c>
      <c r="S26" s="449">
        <f>F26</f>
        <v>100</v>
      </c>
      <c r="T26" s="448" t="s">
        <v>935</v>
      </c>
      <c r="U26" s="449">
        <f>H26</f>
        <v>100</v>
      </c>
      <c r="V26" s="448" t="s">
        <v>935</v>
      </c>
      <c r="W26" s="449">
        <f>J26</f>
        <v>100</v>
      </c>
      <c r="X26" s="443"/>
      <c r="Y26" s="3328"/>
      <c r="Z26" s="442" t="str">
        <f>Q26</f>
        <v>朝向</v>
      </c>
      <c r="AA26" s="454">
        <f t="shared" si="4"/>
        <v>1</v>
      </c>
      <c r="AB26" s="454">
        <f t="shared" si="5"/>
        <v>1</v>
      </c>
      <c r="AC26" s="454">
        <f t="shared" si="6"/>
        <v>1</v>
      </c>
    </row>
    <row r="27" spans="1:29" s="190" customFormat="1" ht="15" hidden="1">
      <c r="A27" s="279"/>
      <c r="B27" s="278" t="s">
        <v>2094</v>
      </c>
      <c r="C27" s="241"/>
      <c r="D27" s="540">
        <v>100</v>
      </c>
      <c r="E27" s="973"/>
      <c r="F27" s="541">
        <f>SUMIF(90:90,E27,91:91)-SUMIF(90:90,C27,91:91)+100</f>
        <v>100</v>
      </c>
      <c r="G27" s="974"/>
      <c r="H27" s="540">
        <f>SUMIF(90:90,G27,91:91)-SUMIF(90:90,C27,91:91)+100</f>
        <v>100</v>
      </c>
      <c r="I27" s="973"/>
      <c r="J27" s="540">
        <f>SUMIF(90:90,I27,91:91)-SUMIF(90:90,C27,91:91)+100</f>
        <v>100</v>
      </c>
      <c r="K27" s="984"/>
      <c r="L27" s="380"/>
      <c r="M27" s="381"/>
      <c r="N27" s="381"/>
      <c r="O27" s="382"/>
      <c r="P27" s="3328"/>
      <c r="Q27" s="447" t="str">
        <f t="shared" si="12"/>
        <v>道路级别</v>
      </c>
      <c r="R27" s="444" t="s">
        <v>935</v>
      </c>
      <c r="S27" s="445">
        <f>F27</f>
        <v>100</v>
      </c>
      <c r="T27" s="444" t="s">
        <v>935</v>
      </c>
      <c r="U27" s="445">
        <f>H27</f>
        <v>100</v>
      </c>
      <c r="V27" s="444" t="s">
        <v>935</v>
      </c>
      <c r="W27" s="445">
        <f>J27</f>
        <v>100</v>
      </c>
      <c r="X27" s="446"/>
      <c r="Y27" s="3328"/>
      <c r="Z27" s="464" t="str">
        <f>Q27</f>
        <v>道路级别</v>
      </c>
      <c r="AA27" s="454">
        <f t="shared" si="4"/>
        <v>1</v>
      </c>
      <c r="AB27" s="454">
        <f t="shared" si="5"/>
        <v>1</v>
      </c>
      <c r="AC27" s="454">
        <f t="shared" si="6"/>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4"/>
      <c r="L28" s="391"/>
      <c r="M28" s="378"/>
      <c r="N28" s="378"/>
      <c r="O28" s="390"/>
      <c r="P28" s="3328"/>
      <c r="Q28" s="383">
        <f t="shared" si="12"/>
        <v>111</v>
      </c>
      <c r="R28" s="448" t="s">
        <v>935</v>
      </c>
      <c r="S28" s="449">
        <f t="shared" ref="S28:S46" si="13">F28</f>
        <v>100</v>
      </c>
      <c r="T28" s="448" t="s">
        <v>935</v>
      </c>
      <c r="U28" s="449">
        <f t="shared" ref="U28:U46" si="14">H28</f>
        <v>100</v>
      </c>
      <c r="V28" s="448" t="s">
        <v>935</v>
      </c>
      <c r="W28" s="449">
        <f t="shared" ref="W28:W46" si="15">J28</f>
        <v>100</v>
      </c>
      <c r="X28" s="443"/>
      <c r="Y28" s="3328"/>
      <c r="Z28" s="442">
        <f t="shared" ref="Z28:Z46" si="16">Q28</f>
        <v>111</v>
      </c>
      <c r="AA28" s="454">
        <f t="shared" si="4"/>
        <v>1</v>
      </c>
      <c r="AB28" s="454">
        <f t="shared" si="5"/>
        <v>1</v>
      </c>
      <c r="AC28" s="454">
        <f t="shared" si="6"/>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4"/>
      <c r="L29" s="391"/>
      <c r="M29" s="378"/>
      <c r="N29" s="378"/>
      <c r="O29" s="390"/>
      <c r="P29" s="3328"/>
      <c r="Q29" s="383">
        <f t="shared" si="12"/>
        <v>111</v>
      </c>
      <c r="R29" s="448" t="s">
        <v>935</v>
      </c>
      <c r="S29" s="449">
        <f t="shared" si="13"/>
        <v>100</v>
      </c>
      <c r="T29" s="448" t="s">
        <v>935</v>
      </c>
      <c r="U29" s="449">
        <f t="shared" si="14"/>
        <v>100</v>
      </c>
      <c r="V29" s="448" t="s">
        <v>935</v>
      </c>
      <c r="W29" s="449">
        <f t="shared" si="15"/>
        <v>100</v>
      </c>
      <c r="X29" s="443"/>
      <c r="Y29" s="3328"/>
      <c r="Z29" s="442">
        <f t="shared" si="16"/>
        <v>111</v>
      </c>
      <c r="AA29" s="454">
        <f t="shared" si="4"/>
        <v>1</v>
      </c>
      <c r="AB29" s="454">
        <f t="shared" si="5"/>
        <v>1</v>
      </c>
      <c r="AC29" s="454">
        <f t="shared" si="6"/>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4"/>
      <c r="L30" s="391"/>
      <c r="M30" s="378"/>
      <c r="N30" s="378"/>
      <c r="O30" s="390"/>
      <c r="P30" s="3328"/>
      <c r="Q30" s="383">
        <f t="shared" si="12"/>
        <v>111</v>
      </c>
      <c r="R30" s="448" t="s">
        <v>935</v>
      </c>
      <c r="S30" s="449">
        <f t="shared" si="13"/>
        <v>100</v>
      </c>
      <c r="T30" s="448" t="s">
        <v>935</v>
      </c>
      <c r="U30" s="449">
        <f t="shared" si="14"/>
        <v>100</v>
      </c>
      <c r="V30" s="448" t="s">
        <v>935</v>
      </c>
      <c r="W30" s="449">
        <f t="shared" si="15"/>
        <v>100</v>
      </c>
      <c r="X30" s="443"/>
      <c r="Y30" s="3328"/>
      <c r="Z30" s="442">
        <f t="shared" si="16"/>
        <v>111</v>
      </c>
      <c r="AA30" s="454">
        <f t="shared" si="4"/>
        <v>1</v>
      </c>
      <c r="AB30" s="454">
        <f t="shared" si="5"/>
        <v>1</v>
      </c>
      <c r="AC30" s="454">
        <f t="shared" si="6"/>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4"/>
      <c r="L31" s="391"/>
      <c r="M31" s="378"/>
      <c r="N31" s="378"/>
      <c r="O31" s="390"/>
      <c r="P31" s="3328"/>
      <c r="Q31" s="383">
        <f t="shared" si="12"/>
        <v>111</v>
      </c>
      <c r="R31" s="448" t="s">
        <v>935</v>
      </c>
      <c r="S31" s="449">
        <f t="shared" si="13"/>
        <v>100</v>
      </c>
      <c r="T31" s="448" t="s">
        <v>935</v>
      </c>
      <c r="U31" s="449">
        <f t="shared" si="14"/>
        <v>100</v>
      </c>
      <c r="V31" s="448" t="s">
        <v>935</v>
      </c>
      <c r="W31" s="449">
        <f t="shared" si="15"/>
        <v>100</v>
      </c>
      <c r="X31" s="443"/>
      <c r="Y31" s="3328"/>
      <c r="Z31" s="442">
        <f t="shared" si="16"/>
        <v>111</v>
      </c>
      <c r="AA31" s="454">
        <f t="shared" si="4"/>
        <v>1</v>
      </c>
      <c r="AB31" s="454">
        <f t="shared" si="5"/>
        <v>1</v>
      </c>
      <c r="AC31" s="454">
        <f t="shared" si="6"/>
        <v>1</v>
      </c>
    </row>
    <row r="32" spans="1:29" ht="15">
      <c r="A32" s="283" t="s">
        <v>958</v>
      </c>
      <c r="B32" s="284" t="s">
        <v>2095</v>
      </c>
      <c r="C32" s="602" t="s">
        <v>484</v>
      </c>
      <c r="D32" s="286">
        <v>100</v>
      </c>
      <c r="E32" s="602" t="s">
        <v>484</v>
      </c>
      <c r="F32" s="277">
        <f>SUMIF(100:100,E32,101:101)-SUMIF(100:100,C32,101:101)+100</f>
        <v>100</v>
      </c>
      <c r="G32" s="602" t="s">
        <v>484</v>
      </c>
      <c r="H32" s="286">
        <f>SUMIF(100:100,G32,101:101)-SUMIF(100:100,C32,101:101)+100</f>
        <v>100</v>
      </c>
      <c r="I32" s="602" t="s">
        <v>484</v>
      </c>
      <c r="J32" s="247">
        <f>SUMIF(100:100,I32,101:101)-SUMIF(100:100,C32,101:101)+100</f>
        <v>100</v>
      </c>
      <c r="K32" s="983">
        <v>2</v>
      </c>
      <c r="L32" s="391"/>
      <c r="M32" s="378"/>
      <c r="N32" s="378"/>
      <c r="O32" s="390"/>
      <c r="P32" s="3329" t="s">
        <v>957</v>
      </c>
      <c r="Q32" s="383" t="str">
        <f t="shared" si="12"/>
        <v>建筑类型</v>
      </c>
      <c r="R32" s="448" t="s">
        <v>935</v>
      </c>
      <c r="S32" s="449">
        <f t="shared" si="13"/>
        <v>100</v>
      </c>
      <c r="T32" s="448" t="s">
        <v>935</v>
      </c>
      <c r="U32" s="449">
        <f t="shared" si="14"/>
        <v>100</v>
      </c>
      <c r="V32" s="448" t="s">
        <v>935</v>
      </c>
      <c r="W32" s="449">
        <f t="shared" si="15"/>
        <v>100</v>
      </c>
      <c r="X32" s="443"/>
      <c r="Y32" s="3330" t="s">
        <v>957</v>
      </c>
      <c r="Z32" s="442" t="str">
        <f t="shared" si="16"/>
        <v>建筑类型</v>
      </c>
      <c r="AA32" s="454">
        <f t="shared" si="4"/>
        <v>1</v>
      </c>
      <c r="AB32" s="454">
        <f t="shared" si="5"/>
        <v>1</v>
      </c>
      <c r="AC32" s="454">
        <f t="shared" si="6"/>
        <v>1</v>
      </c>
    </row>
    <row r="33" spans="1:29" s="192" customFormat="1" ht="15">
      <c r="A33" s="288"/>
      <c r="B33" s="289" t="s">
        <v>2096</v>
      </c>
      <c r="C33" s="242">
        <f>'数据-汇总表'!F27</f>
        <v>48393.36</v>
      </c>
      <c r="D33" s="237">
        <v>100</v>
      </c>
      <c r="E33" s="532">
        <v>133795.70000000001</v>
      </c>
      <c r="F33" s="543">
        <f>LOOKUP(E33,103:103,104:104)-LOOKUP(C33,103:103,104:104)+100</f>
        <v>102</v>
      </c>
      <c r="G33" s="531">
        <v>74059.42</v>
      </c>
      <c r="H33" s="237">
        <f>LOOKUP(G33,103:103,104:104)-LOOKUP(C33,103:103,104:104)+100</f>
        <v>101</v>
      </c>
      <c r="I33" s="532">
        <v>47208</v>
      </c>
      <c r="J33" s="237">
        <f>LOOKUP(I33,103:103,104:104)-LOOKUP(C33,103:103,104:104)+100</f>
        <v>100</v>
      </c>
      <c r="K33" s="984"/>
      <c r="L33" s="389"/>
      <c r="M33" s="395"/>
      <c r="N33" s="395"/>
      <c r="O33" s="396"/>
      <c r="P33" s="3330"/>
      <c r="Q33" s="450" t="str">
        <f t="shared" si="12"/>
        <v>项目建筑规模</v>
      </c>
      <c r="R33" s="451" t="s">
        <v>935</v>
      </c>
      <c r="S33" s="452">
        <f t="shared" si="13"/>
        <v>102</v>
      </c>
      <c r="T33" s="451" t="s">
        <v>935</v>
      </c>
      <c r="U33" s="452">
        <f t="shared" si="14"/>
        <v>101</v>
      </c>
      <c r="V33" s="451" t="s">
        <v>935</v>
      </c>
      <c r="W33" s="452">
        <f t="shared" si="15"/>
        <v>100</v>
      </c>
      <c r="X33" s="453"/>
      <c r="Y33" s="3330"/>
      <c r="Z33" s="465" t="str">
        <f t="shared" si="16"/>
        <v>项目建筑规模</v>
      </c>
      <c r="AA33" s="454">
        <f t="shared" si="4"/>
        <v>0.98039215686274506</v>
      </c>
      <c r="AB33" s="454">
        <f t="shared" si="5"/>
        <v>0.99009900990099009</v>
      </c>
      <c r="AC33" s="454">
        <f t="shared" si="6"/>
        <v>1</v>
      </c>
    </row>
    <row r="34" spans="1:29" ht="15">
      <c r="A34" s="293"/>
      <c r="B34" s="289" t="s">
        <v>2097</v>
      </c>
      <c r="C34" s="603" t="s">
        <v>1978</v>
      </c>
      <c r="D34" s="247">
        <v>100</v>
      </c>
      <c r="E34" s="604" t="s">
        <v>1978</v>
      </c>
      <c r="F34" s="277">
        <f>SUMIF(105:105,E34,106:106)-SUMIF(105:105,C34,106:106)+100</f>
        <v>100</v>
      </c>
      <c r="G34" s="603" t="s">
        <v>1978</v>
      </c>
      <c r="H34" s="247">
        <f>SUMIF(105:105,G34,106:106)-SUMIF(105:105,C34,106:106)+100</f>
        <v>100</v>
      </c>
      <c r="I34" s="604" t="s">
        <v>1978</v>
      </c>
      <c r="J34" s="247">
        <f>SUMIF(105:105,I34,106:106)-SUMIF(105:105,C34,106:106)+100</f>
        <v>100</v>
      </c>
      <c r="K34" s="983">
        <v>2</v>
      </c>
      <c r="L34" s="391"/>
      <c r="M34" s="378"/>
      <c r="N34" s="378"/>
      <c r="O34" s="390"/>
      <c r="P34" s="3330"/>
      <c r="Q34" s="383" t="str">
        <f t="shared" si="12"/>
        <v>建筑结构</v>
      </c>
      <c r="R34" s="448" t="s">
        <v>935</v>
      </c>
      <c r="S34" s="449">
        <f t="shared" si="13"/>
        <v>100</v>
      </c>
      <c r="T34" s="448" t="s">
        <v>935</v>
      </c>
      <c r="U34" s="449">
        <f t="shared" si="14"/>
        <v>100</v>
      </c>
      <c r="V34" s="448" t="s">
        <v>935</v>
      </c>
      <c r="W34" s="449">
        <f t="shared" si="15"/>
        <v>100</v>
      </c>
      <c r="X34" s="443"/>
      <c r="Y34" s="3330"/>
      <c r="Z34" s="442" t="str">
        <f t="shared" si="16"/>
        <v>建筑结构</v>
      </c>
      <c r="AA34" s="454">
        <f t="shared" si="4"/>
        <v>1</v>
      </c>
      <c r="AB34" s="454">
        <f t="shared" si="5"/>
        <v>1</v>
      </c>
      <c r="AC34" s="454">
        <f t="shared" si="6"/>
        <v>1</v>
      </c>
    </row>
    <row r="35" spans="1:29" ht="15">
      <c r="A35" s="293"/>
      <c r="B35" s="289" t="s">
        <v>2098</v>
      </c>
      <c r="C35" s="578" t="s">
        <v>950</v>
      </c>
      <c r="D35" s="247">
        <v>100</v>
      </c>
      <c r="E35" s="972" t="s">
        <v>952</v>
      </c>
      <c r="F35" s="277">
        <f>SUMIF(107:107,E35,108:108)-SUMIF(107:107,C35,108:108)+100</f>
        <v>102</v>
      </c>
      <c r="G35" s="972" t="s">
        <v>952</v>
      </c>
      <c r="H35" s="247">
        <f>SUMIF(107:107,G35,108:108)-SUMIF(107:107,C35,108:108)+100</f>
        <v>102</v>
      </c>
      <c r="I35" s="972" t="s">
        <v>952</v>
      </c>
      <c r="J35" s="247">
        <f>SUMIF(107:107,I35,108:108)-SUMIF(107:107,C35,108:108)+100</f>
        <v>102</v>
      </c>
      <c r="K35" s="983">
        <v>2</v>
      </c>
      <c r="L35" s="391"/>
      <c r="M35" s="378"/>
      <c r="N35" s="378"/>
      <c r="O35" s="390"/>
      <c r="P35" s="3330"/>
      <c r="Q35" s="383" t="str">
        <f t="shared" si="12"/>
        <v>建筑品质</v>
      </c>
      <c r="R35" s="448" t="s">
        <v>935</v>
      </c>
      <c r="S35" s="449">
        <f t="shared" si="13"/>
        <v>102</v>
      </c>
      <c r="T35" s="448" t="s">
        <v>935</v>
      </c>
      <c r="U35" s="449">
        <f t="shared" si="14"/>
        <v>102</v>
      </c>
      <c r="V35" s="448" t="s">
        <v>935</v>
      </c>
      <c r="W35" s="449">
        <f t="shared" si="15"/>
        <v>102</v>
      </c>
      <c r="X35" s="443"/>
      <c r="Y35" s="3330"/>
      <c r="Z35" s="442" t="str">
        <f t="shared" si="16"/>
        <v>建筑品质</v>
      </c>
      <c r="AA35" s="454">
        <f t="shared" si="4"/>
        <v>0.98039215686274506</v>
      </c>
      <c r="AB35" s="454">
        <f t="shared" si="5"/>
        <v>0.98039215686274506</v>
      </c>
      <c r="AC35" s="454">
        <f t="shared" si="6"/>
        <v>0.98039215686274506</v>
      </c>
    </row>
    <row r="36" spans="1:29" ht="15">
      <c r="A36" s="293"/>
      <c r="B36" s="289" t="s">
        <v>2099</v>
      </c>
      <c r="C36" s="578" t="s">
        <v>2100</v>
      </c>
      <c r="D36" s="247">
        <v>100</v>
      </c>
      <c r="E36" s="972" t="s">
        <v>2101</v>
      </c>
      <c r="F36" s="277">
        <f>SUMIF(109:109,E36,110:110)-SUMIF(109:109,C36,110:110)+100</f>
        <v>102</v>
      </c>
      <c r="G36" s="578" t="s">
        <v>2101</v>
      </c>
      <c r="H36" s="247">
        <f>SUMIF(109:109,G36,110:110)-SUMIF(109:109,C36,110:110)+100</f>
        <v>102</v>
      </c>
      <c r="I36" s="972" t="s">
        <v>2101</v>
      </c>
      <c r="J36" s="247">
        <f>SUMIF(109:109,I36,110:110)-SUMIF(109:109,C36,110:110)+100</f>
        <v>102</v>
      </c>
      <c r="K36" s="983">
        <v>2</v>
      </c>
      <c r="L36" s="391"/>
      <c r="M36" s="378"/>
      <c r="N36" s="378"/>
      <c r="O36" s="390"/>
      <c r="P36" s="3330"/>
      <c r="Q36" s="383" t="str">
        <f t="shared" si="12"/>
        <v>公共部分装修</v>
      </c>
      <c r="R36" s="448" t="s">
        <v>935</v>
      </c>
      <c r="S36" s="449">
        <f t="shared" si="13"/>
        <v>102</v>
      </c>
      <c r="T36" s="448" t="s">
        <v>935</v>
      </c>
      <c r="U36" s="449">
        <f t="shared" si="14"/>
        <v>102</v>
      </c>
      <c r="V36" s="448" t="s">
        <v>935</v>
      </c>
      <c r="W36" s="449">
        <f t="shared" si="15"/>
        <v>102</v>
      </c>
      <c r="X36" s="443"/>
      <c r="Y36" s="3330"/>
      <c r="Z36" s="442" t="str">
        <f t="shared" si="16"/>
        <v>公共部分装修</v>
      </c>
      <c r="AA36" s="454">
        <f t="shared" si="4"/>
        <v>0.98039215686274506</v>
      </c>
      <c r="AB36" s="454">
        <f t="shared" si="5"/>
        <v>0.98039215686274506</v>
      </c>
      <c r="AC36" s="454">
        <f t="shared" si="6"/>
        <v>0.98039215686274506</v>
      </c>
    </row>
    <row r="37" spans="1:29" s="190" customFormat="1" ht="15" hidden="1">
      <c r="A37" s="296"/>
      <c r="B37" s="289" t="s">
        <v>2102</v>
      </c>
      <c r="C37" s="290">
        <v>1</v>
      </c>
      <c r="D37" s="237">
        <v>100</v>
      </c>
      <c r="E37" s="291">
        <v>0.95</v>
      </c>
      <c r="F37" s="543">
        <f>LOOKUP(E37,112:112,113:113)-LOOKUP(C37,112:112,113:113)+100</f>
        <v>100</v>
      </c>
      <c r="G37" s="292">
        <v>0.95</v>
      </c>
      <c r="H37" s="237">
        <f>LOOKUP(G37,112:112,113:113)-LOOKUP(C37,112:112,113:113)+100</f>
        <v>100</v>
      </c>
      <c r="I37" s="291">
        <v>0.95</v>
      </c>
      <c r="J37" s="237">
        <f>LOOKUP(I37,112:112,113:113)-LOOKUP(C37,112:112,113:113)+100</f>
        <v>100</v>
      </c>
      <c r="K37" s="983">
        <v>0</v>
      </c>
      <c r="L37" s="380"/>
      <c r="M37" s="381"/>
      <c r="N37" s="381"/>
      <c r="O37" s="382"/>
      <c r="P37" s="3330"/>
      <c r="Q37" s="447" t="str">
        <f t="shared" si="12"/>
        <v>成新度</v>
      </c>
      <c r="R37" s="444" t="s">
        <v>935</v>
      </c>
      <c r="S37" s="445">
        <f t="shared" si="13"/>
        <v>100</v>
      </c>
      <c r="T37" s="444" t="s">
        <v>935</v>
      </c>
      <c r="U37" s="445">
        <f t="shared" si="14"/>
        <v>100</v>
      </c>
      <c r="V37" s="444" t="s">
        <v>935</v>
      </c>
      <c r="W37" s="445">
        <f t="shared" si="15"/>
        <v>100</v>
      </c>
      <c r="X37" s="446"/>
      <c r="Y37" s="3330"/>
      <c r="Z37" s="464" t="str">
        <f t="shared" si="16"/>
        <v>成新度</v>
      </c>
      <c r="AA37" s="463">
        <f t="shared" si="4"/>
        <v>1</v>
      </c>
      <c r="AB37" s="463">
        <f t="shared" si="5"/>
        <v>1</v>
      </c>
      <c r="AC37" s="463">
        <f t="shared" si="6"/>
        <v>1</v>
      </c>
    </row>
    <row r="38" spans="1:29" ht="15">
      <c r="A38" s="293"/>
      <c r="B38" s="289" t="s">
        <v>2103</v>
      </c>
      <c r="C38" s="578" t="s">
        <v>950</v>
      </c>
      <c r="D38" s="247">
        <v>100</v>
      </c>
      <c r="E38" s="972" t="s">
        <v>952</v>
      </c>
      <c r="F38" s="277">
        <f>SUMIF(114:114,E38,115:115)-SUMIF(114:114,C38,115:115)+100</f>
        <v>102</v>
      </c>
      <c r="G38" s="578" t="s">
        <v>952</v>
      </c>
      <c r="H38" s="247">
        <f>SUMIF(114:114,G38,115:115)-SUMIF(114:114,C38,115:115)+100</f>
        <v>102</v>
      </c>
      <c r="I38" s="972" t="s">
        <v>952</v>
      </c>
      <c r="J38" s="247">
        <f>SUMIF(114:114,I38,115:115)-SUMIF(114:114,C38,115:115)+100</f>
        <v>102</v>
      </c>
      <c r="K38" s="983">
        <v>2</v>
      </c>
      <c r="L38" s="391"/>
      <c r="M38" s="378"/>
      <c r="N38" s="378"/>
      <c r="O38" s="390"/>
      <c r="P38" s="3330" t="s">
        <v>957</v>
      </c>
      <c r="Q38" s="383" t="str">
        <f t="shared" si="12"/>
        <v>物业管理</v>
      </c>
      <c r="R38" s="448" t="s">
        <v>935</v>
      </c>
      <c r="S38" s="449">
        <f t="shared" si="13"/>
        <v>102</v>
      </c>
      <c r="T38" s="448" t="s">
        <v>935</v>
      </c>
      <c r="U38" s="449">
        <f t="shared" si="14"/>
        <v>102</v>
      </c>
      <c r="V38" s="448" t="s">
        <v>935</v>
      </c>
      <c r="W38" s="449">
        <f t="shared" si="15"/>
        <v>102</v>
      </c>
      <c r="X38" s="443"/>
      <c r="Y38" s="3330" t="s">
        <v>957</v>
      </c>
      <c r="Z38" s="442" t="str">
        <f t="shared" si="16"/>
        <v>物业管理</v>
      </c>
      <c r="AA38" s="454">
        <f t="shared" si="4"/>
        <v>0.98039215686274506</v>
      </c>
      <c r="AB38" s="454">
        <f t="shared" si="5"/>
        <v>0.98039215686274506</v>
      </c>
      <c r="AC38" s="454">
        <f t="shared" si="6"/>
        <v>0.98039215686274506</v>
      </c>
    </row>
    <row r="39" spans="1:29" ht="15">
      <c r="A39" s="293"/>
      <c r="B39" s="544" t="s">
        <v>2104</v>
      </c>
      <c r="C39" s="578" t="s">
        <v>249</v>
      </c>
      <c r="D39" s="247">
        <v>100</v>
      </c>
      <c r="E39" s="578" t="s">
        <v>249</v>
      </c>
      <c r="F39" s="277">
        <f>SUMIF(116:116,E39,117:117)-SUMIF(116:116,C39,117:117)+100</f>
        <v>100</v>
      </c>
      <c r="G39" s="578" t="s">
        <v>249</v>
      </c>
      <c r="H39" s="247">
        <f>SUMIF(116:116,G39,117:117)-SUMIF(116:116,C39,117:117)+100</f>
        <v>100</v>
      </c>
      <c r="I39" s="578" t="s">
        <v>249</v>
      </c>
      <c r="J39" s="247">
        <f>SUMIF(116:116,I39,117:117)-SUMIF(116:116,C39,117:117)+100</f>
        <v>100</v>
      </c>
      <c r="K39" s="983">
        <v>1</v>
      </c>
      <c r="L39" s="391"/>
      <c r="M39" s="378"/>
      <c r="N39" s="378"/>
      <c r="O39" s="390"/>
      <c r="P39" s="3330"/>
      <c r="Q39" s="383" t="str">
        <f t="shared" si="12"/>
        <v>市政基础设施</v>
      </c>
      <c r="R39" s="448" t="s">
        <v>935</v>
      </c>
      <c r="S39" s="449">
        <f t="shared" si="13"/>
        <v>100</v>
      </c>
      <c r="T39" s="448" t="s">
        <v>935</v>
      </c>
      <c r="U39" s="449">
        <f t="shared" si="14"/>
        <v>100</v>
      </c>
      <c r="V39" s="448" t="s">
        <v>935</v>
      </c>
      <c r="W39" s="449">
        <f t="shared" si="15"/>
        <v>100</v>
      </c>
      <c r="X39" s="443"/>
      <c r="Y39" s="3330"/>
      <c r="Z39" s="442" t="str">
        <f t="shared" si="16"/>
        <v>市政基础设施</v>
      </c>
      <c r="AA39" s="454">
        <f t="shared" si="4"/>
        <v>1</v>
      </c>
      <c r="AB39" s="454">
        <f t="shared" si="5"/>
        <v>1</v>
      </c>
      <c r="AC39" s="454">
        <f t="shared" si="6"/>
        <v>1</v>
      </c>
    </row>
    <row r="40" spans="1:29" ht="15">
      <c r="A40" s="293"/>
      <c r="B40" s="289" t="s">
        <v>2105</v>
      </c>
      <c r="C40" s="578"/>
      <c r="D40" s="247">
        <v>100</v>
      </c>
      <c r="E40" s="972"/>
      <c r="F40" s="277">
        <f>SUMIF(118:118,E40,119:119)-SUMIF(118:118,C40,119:119)+100</f>
        <v>100</v>
      </c>
      <c r="G40" s="578"/>
      <c r="H40" s="247">
        <f>SUMIF(118:118,G40,119:119)-SUMIF(118:118,C40,119:119)+100</f>
        <v>100</v>
      </c>
      <c r="I40" s="972"/>
      <c r="J40" s="247">
        <f>SUMIF(118:118,I40,119:119)-SUMIF(118:118,C40,119:119)+100</f>
        <v>100</v>
      </c>
      <c r="K40" s="983"/>
      <c r="L40" s="391"/>
      <c r="M40" s="378"/>
      <c r="N40" s="378"/>
      <c r="O40" s="390"/>
      <c r="P40" s="3330"/>
      <c r="Q40" s="383" t="str">
        <f t="shared" si="12"/>
        <v>房型</v>
      </c>
      <c r="R40" s="448" t="s">
        <v>935</v>
      </c>
      <c r="S40" s="449">
        <f t="shared" si="13"/>
        <v>100</v>
      </c>
      <c r="T40" s="448" t="s">
        <v>935</v>
      </c>
      <c r="U40" s="449">
        <f t="shared" si="14"/>
        <v>100</v>
      </c>
      <c r="V40" s="448" t="s">
        <v>935</v>
      </c>
      <c r="W40" s="449">
        <f t="shared" si="15"/>
        <v>100</v>
      </c>
      <c r="X40" s="443"/>
      <c r="Y40" s="3330"/>
      <c r="Z40" s="442" t="str">
        <f t="shared" si="16"/>
        <v>房型</v>
      </c>
      <c r="AA40" s="454">
        <f t="shared" si="4"/>
        <v>1</v>
      </c>
      <c r="AB40" s="454">
        <f t="shared" si="5"/>
        <v>1</v>
      </c>
      <c r="AC40" s="454">
        <f t="shared" si="6"/>
        <v>1</v>
      </c>
    </row>
    <row r="41" spans="1:29" s="192" customFormat="1" ht="28.5" hidden="1">
      <c r="A41" s="288"/>
      <c r="B41" s="289" t="s">
        <v>2106</v>
      </c>
      <c r="C41" s="242"/>
      <c r="D41" s="237">
        <v>100</v>
      </c>
      <c r="E41" s="532"/>
      <c r="F41" s="543">
        <f>SUMIF(120:120,E41,121:121)-SUMIF(120:120,C41,121:121)+100</f>
        <v>100</v>
      </c>
      <c r="G41" s="531"/>
      <c r="H41" s="237">
        <f>SUMIF(120:120,G41,121:121)-SUMIF(120:120,C41,121:121)+100</f>
        <v>100</v>
      </c>
      <c r="I41" s="988"/>
      <c r="J41" s="247">
        <f>SUMIF(120:120,I41,121:121)-SUMIF(120:120,C41,121:121)+100</f>
        <v>100</v>
      </c>
      <c r="K41" s="984"/>
      <c r="L41" s="389"/>
      <c r="M41" s="395"/>
      <c r="N41" s="395"/>
      <c r="O41" s="396"/>
      <c r="P41" s="3330"/>
      <c r="Q41" s="450" t="str">
        <f t="shared" si="12"/>
        <v>单套/主力户型建筑面积</v>
      </c>
      <c r="R41" s="451" t="s">
        <v>935</v>
      </c>
      <c r="S41" s="452">
        <f t="shared" si="13"/>
        <v>100</v>
      </c>
      <c r="T41" s="451" t="s">
        <v>935</v>
      </c>
      <c r="U41" s="452">
        <f t="shared" si="14"/>
        <v>100</v>
      </c>
      <c r="V41" s="451" t="s">
        <v>935</v>
      </c>
      <c r="W41" s="452">
        <f t="shared" si="15"/>
        <v>100</v>
      </c>
      <c r="X41" s="453"/>
      <c r="Y41" s="3330"/>
      <c r="Z41" s="465" t="str">
        <f t="shared" si="16"/>
        <v>单套/主力户型建筑面积</v>
      </c>
      <c r="AA41" s="454">
        <f t="shared" si="4"/>
        <v>1</v>
      </c>
      <c r="AB41" s="454">
        <f t="shared" si="5"/>
        <v>1</v>
      </c>
      <c r="AC41" s="454">
        <f t="shared" si="6"/>
        <v>1</v>
      </c>
    </row>
    <row r="42" spans="1:29" ht="15">
      <c r="A42" s="293"/>
      <c r="B42" s="289" t="s">
        <v>2107</v>
      </c>
      <c r="C42" s="578" t="s">
        <v>2100</v>
      </c>
      <c r="D42" s="247">
        <v>100</v>
      </c>
      <c r="E42" s="972" t="s">
        <v>2108</v>
      </c>
      <c r="F42" s="277">
        <f>SUMIF(122:122,E42,123:123)-SUMIF(122:122,C42,123:123)+100</f>
        <v>104</v>
      </c>
      <c r="G42" s="972" t="s">
        <v>2108</v>
      </c>
      <c r="H42" s="247">
        <f>SUMIF(122:122,G42,123:123)-SUMIF(122:122,C42,123:123)+100</f>
        <v>104</v>
      </c>
      <c r="I42" s="972" t="s">
        <v>2108</v>
      </c>
      <c r="J42" s="247">
        <f>SUMIF(122:122,I42,123:123)-SUMIF(122:122,C42,123:123)+100</f>
        <v>104</v>
      </c>
      <c r="K42" s="983">
        <v>2</v>
      </c>
      <c r="L42" s="391"/>
      <c r="M42" s="378"/>
      <c r="N42" s="378"/>
      <c r="O42" s="390"/>
      <c r="P42" s="3330"/>
      <c r="Q42" s="383" t="str">
        <f t="shared" si="12"/>
        <v>内部装修</v>
      </c>
      <c r="R42" s="448" t="s">
        <v>935</v>
      </c>
      <c r="S42" s="449">
        <f t="shared" si="13"/>
        <v>104</v>
      </c>
      <c r="T42" s="448" t="s">
        <v>935</v>
      </c>
      <c r="U42" s="449">
        <f t="shared" si="14"/>
        <v>104</v>
      </c>
      <c r="V42" s="448" t="s">
        <v>935</v>
      </c>
      <c r="W42" s="449">
        <f t="shared" si="15"/>
        <v>104</v>
      </c>
      <c r="X42" s="443"/>
      <c r="Y42" s="3330"/>
      <c r="Z42" s="442" t="str">
        <f t="shared" si="16"/>
        <v>内部装修</v>
      </c>
      <c r="AA42" s="454">
        <f t="shared" si="4"/>
        <v>0.96153846153846156</v>
      </c>
      <c r="AB42" s="454">
        <f t="shared" si="5"/>
        <v>0.96153846153846156</v>
      </c>
      <c r="AC42" s="454">
        <f t="shared" si="6"/>
        <v>0.96153846153846156</v>
      </c>
    </row>
    <row r="43" spans="1:29" ht="27">
      <c r="A43" s="293"/>
      <c r="B43" s="289" t="s">
        <v>237</v>
      </c>
      <c r="C43" s="578" t="s">
        <v>950</v>
      </c>
      <c r="D43" s="247">
        <v>100</v>
      </c>
      <c r="E43" s="972" t="s">
        <v>950</v>
      </c>
      <c r="F43" s="277">
        <f>SUMIF(124:124,E43,125:125)-SUMIF(124:124,C43,125:125)+100</f>
        <v>100</v>
      </c>
      <c r="G43" s="578" t="s">
        <v>950</v>
      </c>
      <c r="H43" s="247">
        <f>SUMIF(124:124,G43,125:125)-SUMIF(124:124,C43,125:125)+100</f>
        <v>100</v>
      </c>
      <c r="I43" s="972" t="s">
        <v>950</v>
      </c>
      <c r="J43" s="247">
        <f>SUMIF(124:124,I43,125:125)-SUMIF(124:124,C43,125:125)+100</f>
        <v>100</v>
      </c>
      <c r="K43" s="983">
        <v>2</v>
      </c>
      <c r="L43" s="391"/>
      <c r="M43" s="378"/>
      <c r="N43" s="378"/>
      <c r="O43" s="390"/>
      <c r="P43" s="3330"/>
      <c r="Q43" s="383" t="str">
        <f t="shared" si="12"/>
        <v>内部装修维护情况</v>
      </c>
      <c r="R43" s="448" t="s">
        <v>935</v>
      </c>
      <c r="S43" s="449">
        <f t="shared" si="13"/>
        <v>100</v>
      </c>
      <c r="T43" s="448" t="s">
        <v>935</v>
      </c>
      <c r="U43" s="449">
        <f t="shared" si="14"/>
        <v>100</v>
      </c>
      <c r="V43" s="448" t="s">
        <v>935</v>
      </c>
      <c r="W43" s="449">
        <f t="shared" si="15"/>
        <v>100</v>
      </c>
      <c r="X43" s="443"/>
      <c r="Y43" s="3330"/>
      <c r="Z43" s="442" t="str">
        <f t="shared" si="16"/>
        <v>内部装修维护情况</v>
      </c>
      <c r="AA43" s="454">
        <f t="shared" si="4"/>
        <v>1</v>
      </c>
      <c r="AB43" s="454">
        <f t="shared" si="5"/>
        <v>1</v>
      </c>
      <c r="AC43" s="454">
        <f t="shared" si="6"/>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4"/>
      <c r="L44" s="380"/>
      <c r="M44" s="381"/>
      <c r="N44" s="381"/>
      <c r="O44" s="382"/>
      <c r="P44" s="3330"/>
      <c r="Q44" s="447">
        <f t="shared" si="12"/>
        <v>111</v>
      </c>
      <c r="R44" s="444" t="s">
        <v>935</v>
      </c>
      <c r="S44" s="445">
        <f t="shared" si="13"/>
        <v>100</v>
      </c>
      <c r="T44" s="444" t="s">
        <v>935</v>
      </c>
      <c r="U44" s="445">
        <f t="shared" si="14"/>
        <v>100</v>
      </c>
      <c r="V44" s="444" t="s">
        <v>935</v>
      </c>
      <c r="W44" s="445">
        <f t="shared" si="15"/>
        <v>100</v>
      </c>
      <c r="X44" s="446"/>
      <c r="Y44" s="3330"/>
      <c r="Z44" s="464">
        <f t="shared" si="16"/>
        <v>111</v>
      </c>
      <c r="AA44" s="463">
        <f t="shared" si="4"/>
        <v>1</v>
      </c>
      <c r="AB44" s="463">
        <f t="shared" si="5"/>
        <v>1</v>
      </c>
      <c r="AC44" s="463">
        <f t="shared" si="6"/>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4"/>
      <c r="L45" s="391"/>
      <c r="M45" s="378"/>
      <c r="N45" s="378"/>
      <c r="O45" s="390"/>
      <c r="P45" s="3330"/>
      <c r="Q45" s="383">
        <f t="shared" si="12"/>
        <v>111</v>
      </c>
      <c r="R45" s="448" t="s">
        <v>935</v>
      </c>
      <c r="S45" s="449">
        <f t="shared" si="13"/>
        <v>100</v>
      </c>
      <c r="T45" s="448" t="s">
        <v>935</v>
      </c>
      <c r="U45" s="449">
        <f t="shared" si="14"/>
        <v>100</v>
      </c>
      <c r="V45" s="448" t="s">
        <v>935</v>
      </c>
      <c r="W45" s="449">
        <f t="shared" si="15"/>
        <v>100</v>
      </c>
      <c r="X45" s="443"/>
      <c r="Y45" s="3330"/>
      <c r="Z45" s="442">
        <f t="shared" si="16"/>
        <v>111</v>
      </c>
      <c r="AA45" s="454">
        <f t="shared" si="4"/>
        <v>1</v>
      </c>
      <c r="AB45" s="454">
        <f t="shared" si="5"/>
        <v>1</v>
      </c>
      <c r="AC45" s="454">
        <f t="shared" si="6"/>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4"/>
      <c r="L46" s="391"/>
      <c r="M46" s="378"/>
      <c r="N46" s="378"/>
      <c r="O46" s="390"/>
      <c r="P46" s="3411"/>
      <c r="Q46" s="383">
        <f t="shared" si="12"/>
        <v>111</v>
      </c>
      <c r="R46" s="448" t="s">
        <v>935</v>
      </c>
      <c r="S46" s="449">
        <f t="shared" si="13"/>
        <v>100</v>
      </c>
      <c r="T46" s="448" t="s">
        <v>935</v>
      </c>
      <c r="U46" s="449">
        <f t="shared" si="14"/>
        <v>100</v>
      </c>
      <c r="V46" s="448" t="s">
        <v>935</v>
      </c>
      <c r="W46" s="449">
        <f t="shared" si="15"/>
        <v>100</v>
      </c>
      <c r="X46" s="443"/>
      <c r="Y46" s="3411"/>
      <c r="Z46" s="442">
        <f t="shared" si="16"/>
        <v>111</v>
      </c>
      <c r="AA46" s="454">
        <f t="shared" si="4"/>
        <v>1</v>
      </c>
      <c r="AB46" s="454">
        <f t="shared" si="5"/>
        <v>1</v>
      </c>
      <c r="AC46" s="454">
        <f t="shared" si="6"/>
        <v>1</v>
      </c>
    </row>
    <row r="47" spans="1:29" ht="15">
      <c r="A47" s="303" t="s">
        <v>2109</v>
      </c>
      <c r="B47" s="304"/>
      <c r="C47" s="305" t="s">
        <v>138</v>
      </c>
      <c r="D47" s="306"/>
      <c r="E47" s="307">
        <v>5660</v>
      </c>
      <c r="F47" s="308"/>
      <c r="G47" s="309">
        <v>5500</v>
      </c>
      <c r="H47" s="310"/>
      <c r="I47" s="307">
        <v>5580</v>
      </c>
      <c r="J47" s="310"/>
      <c r="K47" s="989"/>
      <c r="L47" s="398"/>
      <c r="M47" s="319"/>
      <c r="N47" s="378"/>
      <c r="O47" s="319"/>
      <c r="P47" s="3326" t="str">
        <f>A47</f>
        <v>成交单价（元/平方米）</v>
      </c>
      <c r="Q47" s="3326"/>
      <c r="R47" s="3410">
        <f>E47</f>
        <v>5660</v>
      </c>
      <c r="S47" s="3410"/>
      <c r="T47" s="3410">
        <f>G47</f>
        <v>5500</v>
      </c>
      <c r="U47" s="3410"/>
      <c r="V47" s="3410">
        <f>I47</f>
        <v>5580</v>
      </c>
      <c r="W47" s="3410"/>
      <c r="X47" s="330"/>
      <c r="Y47" s="466"/>
      <c r="Z47" s="330"/>
      <c r="AA47" s="330"/>
      <c r="AB47" s="330"/>
      <c r="AC47" s="330"/>
    </row>
    <row r="48" spans="1:29" ht="15">
      <c r="A48" s="311" t="s">
        <v>967</v>
      </c>
      <c r="B48" s="312"/>
      <c r="C48" s="313">
        <f>R49</f>
        <v>5006</v>
      </c>
      <c r="D48" s="314"/>
      <c r="E48" s="315">
        <f>R48</f>
        <v>5028</v>
      </c>
      <c r="F48" s="315"/>
      <c r="G48" s="313">
        <f>T48</f>
        <v>4934</v>
      </c>
      <c r="H48" s="314"/>
      <c r="I48" s="315">
        <f>V48</f>
        <v>5056</v>
      </c>
      <c r="J48" s="314"/>
      <c r="K48" s="990"/>
      <c r="L48" s="398"/>
      <c r="M48" s="319"/>
      <c r="N48" s="319"/>
      <c r="O48" s="319"/>
      <c r="P48" s="3326" t="str">
        <f>A48</f>
        <v>比较价格（元/平方米）</v>
      </c>
      <c r="Q48" s="3326"/>
      <c r="R48" s="3410">
        <f>IF(F1="售价",ROUND(PRODUCT(R47,AA7:AA46),0),ROUND(PRODUCT(R47,AA7:AA46),1))</f>
        <v>5028</v>
      </c>
      <c r="S48" s="3410"/>
      <c r="T48" s="3410">
        <f>IF(F1="售价",ROUND(PRODUCT(T47,AB7:AB46),0),ROUND(PRODUCT(T47,AB7:AB46),1))</f>
        <v>4934</v>
      </c>
      <c r="U48" s="3410"/>
      <c r="V48" s="3410">
        <f>IF(F1="售价",ROUND(PRODUCT(V47,AC7:AC46),0),ROUND(PRODUCT(V47,AC7:AC46),1))</f>
        <v>5056</v>
      </c>
      <c r="W48" s="3410"/>
      <c r="X48" s="330"/>
      <c r="Y48" s="330"/>
      <c r="Z48" s="330"/>
      <c r="AA48" s="330"/>
      <c r="AB48" s="330"/>
      <c r="AC48" s="330"/>
    </row>
    <row r="49" spans="1:29" ht="15">
      <c r="A49" s="316" t="s">
        <v>968</v>
      </c>
      <c r="B49" s="317"/>
      <c r="C49" s="318">
        <f>R49</f>
        <v>5006</v>
      </c>
      <c r="D49" s="318"/>
      <c r="E49" s="318"/>
      <c r="F49" s="318"/>
      <c r="G49" s="318"/>
      <c r="H49" s="318"/>
      <c r="I49" s="318"/>
      <c r="J49" s="318"/>
      <c r="K49" s="991"/>
      <c r="L49" s="398"/>
      <c r="M49" s="319"/>
      <c r="N49" s="319"/>
      <c r="O49" s="319"/>
      <c r="P49" s="3332" t="str">
        <f>A49</f>
        <v>估价对象XX用房的比较价格（楼面单价，元/平方米）</v>
      </c>
      <c r="Q49" s="3333"/>
      <c r="R49" s="3412">
        <f>IF(F1="售价",ROUND(AVERAGE(R48:V48),0),ROUND(AVERAGE(R48:V48),1))</f>
        <v>5006</v>
      </c>
      <c r="S49" s="3412"/>
      <c r="T49" s="3412"/>
      <c r="U49" s="3412"/>
      <c r="V49" s="3412"/>
      <c r="W49" s="3412"/>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f>IF(E47&lt;E48,E48/E47-1,E47/E48-1)</f>
        <v>0.12569610182975333</v>
      </c>
      <c r="F52" s="324" t="str">
        <f>IF(OR(E52&gt;=0.3,E52&lt;=-0.3),"超过30%","")</f>
        <v/>
      </c>
      <c r="G52" s="323">
        <f>IF(G47&lt;G48,G48/G47-1,G47/G48-1)</f>
        <v>0.1147142278070532</v>
      </c>
      <c r="H52" s="324" t="str">
        <f>IF(OR(G52&gt;=0.3,G52&lt;=-0.3),"超过30%","")</f>
        <v/>
      </c>
      <c r="I52" s="323">
        <f>IF(I47&lt;I48,I48/I47-1,I47/I48-1)</f>
        <v>0.10363924050632911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f>IF(E48&lt;G48,G48/E48-1,E48/G48-1)</f>
        <v>1.9051479529793358E-2</v>
      </c>
      <c r="F53" s="324" t="str">
        <f>IF(OR(E53&gt;=0.2,E53&lt;=-0.2),"超过20%","")</f>
        <v/>
      </c>
      <c r="G53" s="323">
        <f>IF(G48&lt;I48,I48/G48-1,G48/I48-1)</f>
        <v>2.4726388325901905E-2</v>
      </c>
      <c r="H53" s="324" t="str">
        <f>IF(OR(G53&gt;=0.2,G53&lt;=-0.2),"超过20%","")</f>
        <v/>
      </c>
      <c r="I53" s="323">
        <f>IF(I48&lt;E48,E48/I48-1,I48/E48-1)</f>
        <v>5.5688146380270531E-3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f>IF(E47&lt;G47,G47/E47-1,E47/G47-1)</f>
        <v>2.9090909090909056E-2</v>
      </c>
      <c r="F54" s="324" t="str">
        <f>IF(OR(E54&gt;=0.3,E54&lt;=-0.3),"超过30%","")</f>
        <v/>
      </c>
      <c r="G54" s="323">
        <f>IF(G47&lt;I47,I47/G47-1,G47/I47-1)</f>
        <v>1.4545454545454639E-2</v>
      </c>
      <c r="H54" s="324" t="str">
        <f>IF(OR(G54&gt;=0.3,G54&lt;=-0.3),"超过30%","")</f>
        <v/>
      </c>
      <c r="I54" s="323">
        <f>IF(I47&lt;E47,E47/I47-1,I47/E47-1)</f>
        <v>1.4336917562723928E-2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6" t="str">
        <f>YEAR(C7)&amp;"-"&amp;MONTH(C7)</f>
        <v>2019-5</v>
      </c>
      <c r="D58" s="336">
        <f>EDATE(C58,-1)</f>
        <v>43556</v>
      </c>
      <c r="E58" s="336">
        <f t="shared" ref="E58:O58" si="17">EDATE(D58,-1)</f>
        <v>43525</v>
      </c>
      <c r="F58" s="336">
        <f t="shared" si="17"/>
        <v>43497</v>
      </c>
      <c r="G58" s="336">
        <f t="shared" si="17"/>
        <v>43466</v>
      </c>
      <c r="H58" s="336">
        <f t="shared" si="17"/>
        <v>43435</v>
      </c>
      <c r="I58" s="336">
        <f t="shared" si="17"/>
        <v>43405</v>
      </c>
      <c r="J58" s="336">
        <f t="shared" si="17"/>
        <v>43374</v>
      </c>
      <c r="K58" s="336">
        <f t="shared" si="17"/>
        <v>43344</v>
      </c>
      <c r="L58" s="336">
        <f t="shared" si="17"/>
        <v>43313</v>
      </c>
      <c r="M58" s="336">
        <f t="shared" si="17"/>
        <v>43282</v>
      </c>
      <c r="N58" s="336">
        <f t="shared" si="17"/>
        <v>43252</v>
      </c>
      <c r="O58" s="336">
        <f t="shared" si="17"/>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100</v>
      </c>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1107</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997</v>
      </c>
      <c r="B63" s="349" t="s">
        <v>998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975"/>
      <c r="F64" s="975"/>
      <c r="G64" s="975"/>
      <c r="H64" s="975"/>
      <c r="I64" s="975"/>
      <c r="J64" s="975"/>
      <c r="K64" s="975"/>
      <c r="L64" s="975"/>
      <c r="M64" s="992"/>
      <c r="N64" s="425"/>
      <c r="O64" s="425"/>
      <c r="P64" s="423"/>
      <c r="Q64" s="412"/>
      <c r="R64" s="319"/>
      <c r="S64" s="319"/>
      <c r="T64" s="319"/>
      <c r="U64" s="319"/>
      <c r="V64" s="319"/>
      <c r="W64" s="319"/>
      <c r="X64" s="319"/>
      <c r="Y64" s="319"/>
      <c r="Z64" s="319"/>
      <c r="AA64" s="319"/>
      <c r="AB64" s="319"/>
      <c r="AC64" s="319"/>
    </row>
    <row r="65" spans="1:29" ht="27">
      <c r="A65" s="352"/>
      <c r="B65" s="355" t="s">
        <v>999</v>
      </c>
      <c r="C65" s="356" t="s">
        <v>2110</v>
      </c>
      <c r="D65" s="356" t="s">
        <v>2111</v>
      </c>
      <c r="E65" s="356" t="s">
        <v>2112</v>
      </c>
      <c r="F65" s="356" t="s">
        <v>2113</v>
      </c>
      <c r="G65" s="356" t="s">
        <v>2114</v>
      </c>
      <c r="H65" s="356" t="s">
        <v>2115</v>
      </c>
      <c r="I65" s="356" t="s">
        <v>2116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1（含）-2</v>
      </c>
      <c r="D67" s="545" t="str">
        <f t="shared" ref="D67:L67" si="19">D68&amp;"（含）"&amp;"-"&amp;E68</f>
        <v>2（含）-3</v>
      </c>
      <c r="E67" s="545" t="str">
        <f t="shared" si="19"/>
        <v>3（含）-4</v>
      </c>
      <c r="F67" s="545" t="str">
        <f t="shared" si="19"/>
        <v>4（含）-5</v>
      </c>
      <c r="G67" s="545" t="str">
        <f t="shared" si="19"/>
        <v>5（含）-</v>
      </c>
      <c r="H67" s="545" t="str">
        <f t="shared" si="19"/>
        <v>（含）-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2092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2093</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2095</v>
      </c>
      <c r="C100" s="994" t="s">
        <v>484</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2096</v>
      </c>
      <c r="C102" s="368" t="str">
        <f>C103&amp;"(含)"&amp;"-"&amp;D103</f>
        <v>0(含)-10000</v>
      </c>
      <c r="D102" s="368" t="str">
        <f t="shared" ref="D102:L102" si="24">D103&amp;"(含)"&amp;"-"&amp;E103</f>
        <v>10000(含)-30000</v>
      </c>
      <c r="E102" s="368" t="str">
        <f t="shared" si="24"/>
        <v>30000(含)-50000</v>
      </c>
      <c r="F102" s="368" t="str">
        <f t="shared" si="24"/>
        <v>50000(含)-100000</v>
      </c>
      <c r="G102" s="368" t="str">
        <f t="shared" si="24"/>
        <v>100000(含)-150000</v>
      </c>
      <c r="H102" s="368" t="str">
        <f t="shared" si="24"/>
        <v>150000(含)-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30000</v>
      </c>
      <c r="F103" s="475">
        <v>50000</v>
      </c>
      <c r="G103" s="475">
        <v>100000</v>
      </c>
      <c r="H103" s="475">
        <v>150000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96</v>
      </c>
      <c r="D104" s="354">
        <v>97</v>
      </c>
      <c r="E104" s="354">
        <v>98</v>
      </c>
      <c r="F104" s="354">
        <v>99</v>
      </c>
      <c r="G104" s="354">
        <v>100</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2097</v>
      </c>
      <c r="C105" s="995" t="s">
        <v>1978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2098</v>
      </c>
      <c r="C107" s="996" t="s">
        <v>952</v>
      </c>
      <c r="D107" s="996" t="s">
        <v>950</v>
      </c>
      <c r="E107" s="996" t="s">
        <v>951</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2099</v>
      </c>
      <c r="C109" s="997" t="s">
        <v>2108</v>
      </c>
      <c r="D109" s="997" t="s">
        <v>2101</v>
      </c>
      <c r="E109" s="997" t="s">
        <v>2100</v>
      </c>
      <c r="F109" s="996" t="s">
        <v>2117</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2102</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8"/>
      <c r="K111" s="998"/>
      <c r="L111" s="999"/>
      <c r="M111" s="100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1"/>
      <c r="K112" s="1001"/>
      <c r="L112" s="1002"/>
      <c r="M112" s="100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004"/>
      <c r="K113" s="1004"/>
      <c r="L113" s="1004"/>
      <c r="M113" s="1005"/>
      <c r="N113" s="435"/>
      <c r="O113" s="435"/>
      <c r="P113" s="436"/>
      <c r="Q113" s="457"/>
      <c r="R113" s="458"/>
      <c r="S113" s="458"/>
      <c r="T113" s="458"/>
      <c r="U113" s="458"/>
      <c r="V113" s="458"/>
      <c r="W113" s="458"/>
      <c r="X113" s="458"/>
      <c r="Y113" s="458"/>
      <c r="Z113" s="458"/>
      <c r="AA113" s="458"/>
      <c r="AB113" s="458"/>
      <c r="AC113" s="458"/>
    </row>
    <row r="114" spans="1:29">
      <c r="A114" s="474"/>
      <c r="B114" s="355" t="s">
        <v>2103</v>
      </c>
      <c r="C114" s="997" t="s">
        <v>952</v>
      </c>
      <c r="D114" s="997" t="s">
        <v>950</v>
      </c>
      <c r="E114" s="996" t="s">
        <v>951</v>
      </c>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2104</v>
      </c>
      <c r="C116" s="997" t="s">
        <v>249</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2105</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2106</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2107</v>
      </c>
      <c r="C122" s="997" t="s">
        <v>2108</v>
      </c>
      <c r="D122" s="997" t="s">
        <v>2101</v>
      </c>
      <c r="E122" s="997" t="s">
        <v>2100</v>
      </c>
      <c r="F122" s="996" t="s">
        <v>2117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6" t="s">
        <v>2118</v>
      </c>
      <c r="C136" s="1007"/>
      <c r="D136" s="1007"/>
      <c r="E136" s="1007"/>
      <c r="F136" s="1007"/>
      <c r="G136" s="1007"/>
      <c r="H136" s="1007"/>
      <c r="I136" s="1007"/>
      <c r="J136" s="1007"/>
      <c r="K136" s="103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8" t="s">
        <v>2119</v>
      </c>
      <c r="C137" s="1009"/>
      <c r="D137" s="1009"/>
      <c r="E137" s="1009"/>
      <c r="F137" s="1009"/>
      <c r="G137" s="1010"/>
      <c r="H137" s="1011"/>
      <c r="I137" s="1039" t="s">
        <v>2120</v>
      </c>
      <c r="J137" s="1009"/>
      <c r="K137" s="104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2"/>
      <c r="C138" s="1013" t="s">
        <v>2121</v>
      </c>
      <c r="D138" s="1013" t="s">
        <v>2122</v>
      </c>
      <c r="E138" s="1014" t="s">
        <v>2123</v>
      </c>
      <c r="F138" s="1015" t="s">
        <v>2124</v>
      </c>
      <c r="G138" s="1013" t="s">
        <v>2122</v>
      </c>
      <c r="H138" s="1016" t="s">
        <v>2123</v>
      </c>
      <c r="I138" s="1041"/>
      <c r="J138" s="1013" t="s">
        <v>2125</v>
      </c>
      <c r="K138" s="1016" t="s">
        <v>2126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7">
        <v>6</v>
      </c>
      <c r="C139" s="1018">
        <v>96</v>
      </c>
      <c r="D139" s="1019" t="s">
        <v>2127</v>
      </c>
      <c r="E139" s="1020">
        <v>100</v>
      </c>
      <c r="F139" s="1021">
        <v>102.5</v>
      </c>
      <c r="G139" s="1019" t="s">
        <v>2127</v>
      </c>
      <c r="H139" s="1022">
        <v>105</v>
      </c>
      <c r="I139" s="1042" t="s">
        <v>2128</v>
      </c>
      <c r="J139" s="1018">
        <v>20</v>
      </c>
      <c r="K139" s="1043">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3">
        <v>5</v>
      </c>
      <c r="C140" s="1024">
        <v>100</v>
      </c>
      <c r="D140" s="1025"/>
      <c r="E140" s="1026"/>
      <c r="F140" s="1027">
        <v>102</v>
      </c>
      <c r="G140" s="1025"/>
      <c r="H140" s="1028"/>
      <c r="I140" s="1044" t="s">
        <v>2129</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3">
        <v>4</v>
      </c>
      <c r="C141" s="1024">
        <v>102</v>
      </c>
      <c r="D141" s="1025"/>
      <c r="E141" s="1026"/>
      <c r="F141" s="1027">
        <v>101.5</v>
      </c>
      <c r="G141" s="1025"/>
      <c r="H141" s="1028"/>
      <c r="I141" s="1044" t="s">
        <v>2130</v>
      </c>
      <c r="J141" s="899">
        <v>1</v>
      </c>
      <c r="K141" s="1045">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3">
        <v>3</v>
      </c>
      <c r="C142" s="1024">
        <v>103</v>
      </c>
      <c r="D142" s="1025"/>
      <c r="E142" s="1026"/>
      <c r="F142" s="1027">
        <v>101</v>
      </c>
      <c r="G142" s="1025"/>
      <c r="H142" s="1028"/>
      <c r="I142" s="1044" t="s">
        <v>2131</v>
      </c>
      <c r="J142" s="899">
        <f>J139</f>
        <v>20</v>
      </c>
      <c r="K142" s="1046">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3">
        <v>2</v>
      </c>
      <c r="C143" s="1024">
        <v>100</v>
      </c>
      <c r="D143" s="1025"/>
      <c r="E143" s="1026"/>
      <c r="F143" s="1027">
        <v>100.5</v>
      </c>
      <c r="G143" s="1025"/>
      <c r="H143" s="1028"/>
      <c r="I143" s="1044" t="s">
        <v>1254</v>
      </c>
      <c r="J143" s="1024">
        <v>15</v>
      </c>
      <c r="K143" s="1045">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3">
        <v>1</v>
      </c>
      <c r="C144" s="1024">
        <v>98</v>
      </c>
      <c r="D144" s="1029" t="s">
        <v>2132</v>
      </c>
      <c r="E144" s="1026">
        <v>102</v>
      </c>
      <c r="F144" s="1030">
        <v>100</v>
      </c>
      <c r="G144" s="1029" t="s">
        <v>2132</v>
      </c>
      <c r="H144" s="1028">
        <v>105</v>
      </c>
      <c r="I144" s="1044" t="s">
        <v>1254</v>
      </c>
      <c r="J144" s="1024">
        <v>18</v>
      </c>
      <c r="K144" s="1045">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1" t="s">
        <v>2133</v>
      </c>
      <c r="C145" s="1032">
        <f>ROUND(MAX(C139:C144)/MIN(C139:C144)-1,3)</f>
        <v>7.2999999999999995E-2</v>
      </c>
      <c r="D145" s="1033"/>
      <c r="E145" s="1033"/>
      <c r="F145" s="1034" t="s">
        <v>2134</v>
      </c>
      <c r="G145" s="1035"/>
      <c r="H145" s="1036"/>
      <c r="I145" s="1047" t="s">
        <v>1254</v>
      </c>
      <c r="J145" s="1048">
        <v>8</v>
      </c>
      <c r="K145" s="1049">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7" t="s">
        <v>2135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7" t="s">
        <v>2136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2137</v>
      </c>
      <c r="B1" s="707"/>
      <c r="C1" s="708" t="s">
        <v>492</v>
      </c>
      <c r="D1" s="709" t="s">
        <v>2172</v>
      </c>
      <c r="E1" s="710" t="s">
        <v>589</v>
      </c>
      <c r="F1" s="711">
        <f ca="1">J53</f>
        <v>37.549999999999997</v>
      </c>
      <c r="G1" s="712">
        <f>MATCH(C1,'数据-取费表'!A6:A16,0)+5</f>
        <v>7</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0</v>
      </c>
      <c r="C2" s="714"/>
      <c r="D2" s="715"/>
      <c r="E2" s="716"/>
      <c r="F2" s="716"/>
      <c r="G2" s="717"/>
      <c r="H2" s="714"/>
      <c r="I2" s="714"/>
      <c r="J2" s="714"/>
      <c r="K2" s="854"/>
      <c r="L2" s="714"/>
      <c r="M2" s="714"/>
    </row>
    <row r="3" spans="1:33" ht="18" customHeight="1">
      <c r="A3" s="718" t="s">
        <v>2084</v>
      </c>
      <c r="B3" s="719">
        <f ca="1">IF(ISERROR(B2*10000/F43),0,ROUND(B2*10000/F43,0))</f>
        <v>0</v>
      </c>
      <c r="C3" s="714"/>
      <c r="D3" s="715"/>
      <c r="E3" s="716"/>
      <c r="F3" s="716"/>
      <c r="G3" s="717"/>
      <c r="H3" s="720" t="s">
        <v>1814</v>
      </c>
      <c r="I3" s="855"/>
      <c r="J3" s="855"/>
      <c r="K3" s="856"/>
      <c r="L3" s="855"/>
      <c r="M3" s="855"/>
    </row>
    <row r="4" spans="1:33" ht="18" customHeight="1">
      <c r="A4" s="721" t="s">
        <v>1815</v>
      </c>
      <c r="B4" s="722" t="s">
        <v>1816</v>
      </c>
      <c r="C4" s="722" t="s">
        <v>1817</v>
      </c>
      <c r="D4" s="722" t="s">
        <v>1818</v>
      </c>
      <c r="E4" s="723" t="s">
        <v>1819</v>
      </c>
      <c r="F4" s="724"/>
      <c r="G4" s="725"/>
      <c r="H4" s="721" t="s">
        <v>1815</v>
      </c>
      <c r="I4" s="722" t="s">
        <v>1816</v>
      </c>
      <c r="J4" s="722" t="s">
        <v>1817</v>
      </c>
      <c r="K4" s="722" t="s">
        <v>1818</v>
      </c>
      <c r="L4" s="723" t="s">
        <v>1819</v>
      </c>
      <c r="M4" s="724"/>
    </row>
    <row r="5" spans="1:33" ht="18" customHeight="1">
      <c r="A5" s="726">
        <v>1</v>
      </c>
      <c r="B5" s="727" t="s">
        <v>1820</v>
      </c>
      <c r="C5" s="728">
        <f ca="1">C6+C10+C12</f>
        <v>0</v>
      </c>
      <c r="D5" s="729" t="s">
        <v>1821</v>
      </c>
      <c r="E5" s="730"/>
      <c r="F5" s="731"/>
      <c r="G5" s="725"/>
      <c r="H5" s="726">
        <v>1</v>
      </c>
      <c r="I5" s="727" t="s">
        <v>1820</v>
      </c>
      <c r="J5" s="728">
        <f ca="1">J6+J10+J12</f>
        <v>0</v>
      </c>
      <c r="K5" s="729" t="s">
        <v>1821</v>
      </c>
      <c r="L5" s="730"/>
      <c r="M5" s="731"/>
    </row>
    <row r="6" spans="1:33" ht="18" customHeight="1">
      <c r="A6" s="732" t="s">
        <v>853</v>
      </c>
      <c r="B6" s="3393" t="s">
        <v>1822</v>
      </c>
      <c r="C6" s="733">
        <f ca="1">ROUND(F6*F8*F7*(1-F9)/10000,0)</f>
        <v>0</v>
      </c>
      <c r="D6" s="734" t="s">
        <v>2138</v>
      </c>
      <c r="E6" s="735" t="s">
        <v>1824</v>
      </c>
      <c r="F6" s="736">
        <f ca="1">INDIRECT("'数据-取费表'!u"&amp;$G$1)</f>
        <v>0</v>
      </c>
      <c r="G6" s="725"/>
      <c r="H6" s="737" t="s">
        <v>853</v>
      </c>
      <c r="I6" s="3393" t="s">
        <v>1822</v>
      </c>
      <c r="J6" s="733">
        <f ca="1">ROUND(M6*M8*M7*(1-M9)/10000,0)</f>
        <v>0</v>
      </c>
      <c r="K6" s="806" t="s">
        <v>2139</v>
      </c>
      <c r="L6" s="735" t="s">
        <v>1824</v>
      </c>
      <c r="M6" s="736">
        <f ca="1">INDIRECT("'数据-取费表'!z"&amp;$G$1)</f>
        <v>0</v>
      </c>
    </row>
    <row r="7" spans="1:33" ht="18" customHeight="1">
      <c r="A7" s="738"/>
      <c r="B7" s="3394"/>
      <c r="C7" s="739"/>
      <c r="D7" s="740"/>
      <c r="E7" s="735" t="s">
        <v>1825</v>
      </c>
      <c r="F7" s="736">
        <f ca="1">IF(INDIRECT("'数据-取费表'!ah"&amp;$G$1)="",INDIRECT("'数据-取费表'!k"&amp;$G$1),INDIRECT("'数据-取费表'!ah"&amp;$G$1))</f>
        <v>1733.03</v>
      </c>
      <c r="G7" s="725"/>
      <c r="H7" s="741"/>
      <c r="I7" s="3394"/>
      <c r="J7" s="739"/>
      <c r="K7" s="740"/>
      <c r="L7" s="735" t="s">
        <v>1825</v>
      </c>
      <c r="M7" s="736">
        <f ca="1">F7</f>
        <v>1733.03</v>
      </c>
    </row>
    <row r="8" spans="1:33" ht="18" customHeight="1">
      <c r="A8" s="742"/>
      <c r="B8" s="3395"/>
      <c r="C8" s="739"/>
      <c r="D8" s="740"/>
      <c r="E8" s="735" t="s">
        <v>1826</v>
      </c>
      <c r="F8" s="736">
        <f ca="1">INDIRECT("'数据-取费表'!ai"&amp;$G$1)</f>
        <v>0</v>
      </c>
      <c r="G8" s="725"/>
      <c r="H8" s="741"/>
      <c r="I8" s="3395"/>
      <c r="J8" s="739"/>
      <c r="K8" s="740"/>
      <c r="L8" s="735" t="s">
        <v>1826</v>
      </c>
      <c r="M8" s="736">
        <f ca="1">INDIRECT("'数据-取费表'!ai"&amp;$G$1)</f>
        <v>0</v>
      </c>
    </row>
    <row r="9" spans="1:33" ht="18" customHeight="1">
      <c r="A9" s="743"/>
      <c r="B9" s="3396"/>
      <c r="C9" s="739"/>
      <c r="D9" s="740"/>
      <c r="E9" s="735" t="s">
        <v>1827</v>
      </c>
      <c r="F9" s="744">
        <f ca="1">INDIRECT("'数据-取费表'!w"&amp;$G$1)</f>
        <v>0</v>
      </c>
      <c r="G9" s="725"/>
      <c r="H9" s="745"/>
      <c r="I9" s="3395"/>
      <c r="J9" s="739"/>
      <c r="K9" s="740"/>
      <c r="L9" s="788" t="s">
        <v>1827</v>
      </c>
      <c r="M9" s="754">
        <f ca="1">INDIRECT("'数据-取费表'!ab"&amp;$G$1)</f>
        <v>0</v>
      </c>
    </row>
    <row r="10" spans="1:33" ht="18" customHeight="1">
      <c r="A10" s="732" t="s">
        <v>855</v>
      </c>
      <c r="B10" s="746" t="s">
        <v>1828</v>
      </c>
      <c r="C10" s="120">
        <f ca="1">ROUND(IF(F10="押一",C6/12*F11,IF(F10="押二",C6/12*2*F11,IF(F10="押三",C6/12*3*F11,C11*F11))),0)</f>
        <v>0</v>
      </c>
      <c r="D10" s="747" t="s">
        <v>1829</v>
      </c>
      <c r="E10" s="748" t="s">
        <v>1830</v>
      </c>
      <c r="F10" s="749" t="s">
        <v>2173</v>
      </c>
      <c r="G10" s="725"/>
      <c r="H10" s="750" t="s">
        <v>855</v>
      </c>
      <c r="I10" s="857" t="s">
        <v>1828</v>
      </c>
      <c r="J10" s="733">
        <f ca="1">ROUND(IF(M10="押一",J6/12*M11,IF(M10="押二",J6/12*2*M11,IF(M10="押三",J6/12*3*M11,J11*M11))),0)</f>
        <v>0</v>
      </c>
      <c r="K10" s="747" t="s">
        <v>1829</v>
      </c>
      <c r="L10" s="748" t="s">
        <v>1830</v>
      </c>
      <c r="M10" s="749"/>
    </row>
    <row r="11" spans="1:33" ht="18" customHeight="1">
      <c r="A11" s="751"/>
      <c r="B11" s="752" t="s">
        <v>1831</v>
      </c>
      <c r="C11" s="753"/>
      <c r="D11" s="740"/>
      <c r="E11" s="748" t="s">
        <v>635</v>
      </c>
      <c r="F11" s="754">
        <f ca="1">'数据-取费表'!B39</f>
        <v>1.4999999999999999E-2</v>
      </c>
      <c r="G11" s="725"/>
      <c r="H11" s="755"/>
      <c r="I11" s="752" t="s">
        <v>1831</v>
      </c>
      <c r="J11" s="753"/>
      <c r="K11" s="858"/>
      <c r="L11" s="748" t="s">
        <v>635</v>
      </c>
      <c r="M11" s="859">
        <f ca="1">'数据-取费表'!B39</f>
        <v>1.4999999999999999E-2</v>
      </c>
    </row>
    <row r="12" spans="1:33" ht="18" customHeight="1">
      <c r="A12" s="756" t="s">
        <v>1013</v>
      </c>
      <c r="B12" s="757" t="s">
        <v>1832</v>
      </c>
      <c r="C12" s="758"/>
      <c r="D12" s="759"/>
      <c r="E12" s="760"/>
      <c r="F12" s="761"/>
      <c r="G12" s="725"/>
      <c r="H12" s="762" t="s">
        <v>1013</v>
      </c>
      <c r="I12" s="860" t="s">
        <v>1832</v>
      </c>
      <c r="J12" s="861"/>
      <c r="K12" s="759"/>
      <c r="L12" s="760"/>
      <c r="M12" s="862"/>
    </row>
    <row r="13" spans="1:33" ht="18" customHeight="1">
      <c r="A13" s="763">
        <v>2</v>
      </c>
      <c r="B13" s="764" t="s">
        <v>1836</v>
      </c>
      <c r="C13" s="765">
        <f ca="1">ROUND(C29*F13,0)</f>
        <v>0</v>
      </c>
      <c r="D13" s="766" t="s">
        <v>2140</v>
      </c>
      <c r="E13" s="766" t="s">
        <v>1835</v>
      </c>
      <c r="F13" s="767">
        <f ca="1">INDIRECT("'数据-取费表'!y"&amp;$G$1)</f>
        <v>0</v>
      </c>
      <c r="G13" s="725"/>
      <c r="H13" s="763">
        <v>2</v>
      </c>
      <c r="I13" s="764" t="s">
        <v>1836</v>
      </c>
      <c r="J13" s="863">
        <f ca="1">ROUND(J14*J15,0)</f>
        <v>0</v>
      </c>
      <c r="K13" s="797" t="s">
        <v>1834</v>
      </c>
      <c r="L13" s="864"/>
      <c r="M13" s="865"/>
    </row>
    <row r="14" spans="1:33" ht="18" customHeight="1">
      <c r="A14" s="768" t="s">
        <v>877</v>
      </c>
      <c r="B14" s="735" t="s">
        <v>1020</v>
      </c>
      <c r="C14" s="769">
        <f ca="1">INDIRECT("'数据-取费表'!m"&amp;$G$1)+INDIRECT("'数据-取费表'!t"&amp;$G$1)</f>
        <v>381</v>
      </c>
      <c r="D14" s="770" t="s">
        <v>1837</v>
      </c>
      <c r="E14" s="771"/>
      <c r="F14" s="772"/>
      <c r="G14" s="725"/>
      <c r="H14" s="773" t="s">
        <v>853</v>
      </c>
      <c r="I14" s="849" t="s">
        <v>1838</v>
      </c>
      <c r="J14" s="121">
        <f ca="1">C29</f>
        <v>495</v>
      </c>
      <c r="K14" s="850"/>
      <c r="L14" s="866"/>
      <c r="M14" s="867"/>
    </row>
    <row r="15" spans="1:33" s="701" customFormat="1" ht="18" customHeight="1">
      <c r="A15" s="768" t="s">
        <v>882</v>
      </c>
      <c r="B15" s="735" t="s">
        <v>1022</v>
      </c>
      <c r="C15" s="121">
        <f ca="1">ROUND(C14*F15,0)</f>
        <v>11</v>
      </c>
      <c r="D15" s="774" t="s">
        <v>1839</v>
      </c>
      <c r="E15" s="774" t="s">
        <v>1840</v>
      </c>
      <c r="F15" s="775">
        <f>'数据-取费表'!B33</f>
        <v>0.03</v>
      </c>
      <c r="G15" s="776"/>
      <c r="H15" s="762" t="s">
        <v>855</v>
      </c>
      <c r="I15" s="794" t="s">
        <v>1835</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1025</v>
      </c>
      <c r="C16" s="121">
        <f ca="1">ROUND(INDIRECT("'数据-取费表'!m"&amp;$G$1)*F16,0)</f>
        <v>0</v>
      </c>
      <c r="D16" s="735" t="s">
        <v>1839</v>
      </c>
      <c r="E16" s="735" t="s">
        <v>1840</v>
      </c>
      <c r="F16" s="777">
        <f ca="1">IF(INDIRECT("'数据-取费表'!c"&amp;$G$1)="住宅",'数据-取费表'!B34,0)</f>
        <v>0</v>
      </c>
      <c r="G16" s="725"/>
      <c r="H16" s="763" t="s">
        <v>1900</v>
      </c>
      <c r="I16" s="764" t="s">
        <v>1841</v>
      </c>
      <c r="J16" s="765">
        <f ca="1">ROUND(J17+J22+J23+J24,0)</f>
        <v>43</v>
      </c>
      <c r="K16" s="797" t="s">
        <v>1842</v>
      </c>
      <c r="L16" s="798"/>
      <c r="M16" s="731"/>
    </row>
    <row r="17" spans="1:33" s="701" customFormat="1" ht="18" customHeight="1">
      <c r="A17" s="768" t="s">
        <v>2141</v>
      </c>
      <c r="B17" s="735" t="s">
        <v>1843</v>
      </c>
      <c r="C17" s="121">
        <f ca="1">ROUND(F17*(F43+INDIRECT("'数据-取费表'!S"&amp;$G$1))/10000,0)</f>
        <v>35</v>
      </c>
      <c r="D17" s="735" t="s">
        <v>1844</v>
      </c>
      <c r="E17" s="735" t="s">
        <v>1845</v>
      </c>
      <c r="F17" s="778">
        <f>'数据-取费表'!B35</f>
        <v>200</v>
      </c>
      <c r="G17" s="776"/>
      <c r="H17" s="773" t="s">
        <v>853</v>
      </c>
      <c r="I17" s="735" t="s">
        <v>1846</v>
      </c>
      <c r="J17" s="121">
        <f ca="1">ROUND(IF(项目基本情况!B11="自然人",J5*M17,J18+J19+J20),0)</f>
        <v>43</v>
      </c>
      <c r="K17" s="770" t="s">
        <v>1847</v>
      </c>
      <c r="L17" s="801" t="s">
        <v>1848</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2142</v>
      </c>
      <c r="B18" s="735" t="s">
        <v>1030</v>
      </c>
      <c r="C18" s="121">
        <f ca="1">ROUND(C14*F18,0)</f>
        <v>6</v>
      </c>
      <c r="D18" s="735" t="s">
        <v>1839</v>
      </c>
      <c r="E18" s="735" t="s">
        <v>1840</v>
      </c>
      <c r="F18" s="777">
        <f>'数据-取费表'!B36</f>
        <v>1.4999999999999999E-2</v>
      </c>
      <c r="G18" s="776"/>
      <c r="H18" s="768" t="s">
        <v>877</v>
      </c>
      <c r="I18" s="735" t="s">
        <v>1849</v>
      </c>
      <c r="J18" s="121">
        <f ca="1">ROUND(J5*M18/1.05,1)</f>
        <v>0</v>
      </c>
      <c r="K18" s="801" t="s">
        <v>1850</v>
      </c>
      <c r="L18" s="735" t="s">
        <v>1840</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1851</v>
      </c>
      <c r="C19" s="121">
        <f ca="1">SUM(C14:C18)</f>
        <v>433</v>
      </c>
      <c r="D19" s="779" t="s">
        <v>1852</v>
      </c>
      <c r="E19" s="123"/>
      <c r="F19" s="778"/>
      <c r="G19" s="725"/>
      <c r="H19" s="768" t="s">
        <v>882</v>
      </c>
      <c r="I19" s="735" t="s">
        <v>1853</v>
      </c>
      <c r="J19" s="121">
        <f ca="1">IF(K19="按租金收入计税",ROUND(J5*M19,1),ROUND(C29*F33*0.7,1))</f>
        <v>41.6</v>
      </c>
      <c r="K19" s="804" t="s">
        <v>1854</v>
      </c>
      <c r="L19" s="735" t="s">
        <v>1840</v>
      </c>
      <c r="M19" s="777">
        <f>IF(K19="按租金收入计税",'数据-取费表'!B51,'数据-取费表'!B50)</f>
        <v>1.2E-2</v>
      </c>
    </row>
    <row r="20" spans="1:33" s="701" customFormat="1" ht="18" customHeight="1">
      <c r="A20" s="773" t="s">
        <v>855</v>
      </c>
      <c r="B20" s="735" t="s">
        <v>1856</v>
      </c>
      <c r="C20" s="121">
        <f ca="1">ROUND(C19*F20,0)</f>
        <v>9</v>
      </c>
      <c r="D20" s="780" t="s">
        <v>1857</v>
      </c>
      <c r="E20" s="735" t="s">
        <v>1840</v>
      </c>
      <c r="F20" s="777">
        <f>'数据-取费表'!B37</f>
        <v>0.02</v>
      </c>
      <c r="G20" s="776"/>
      <c r="H20" s="781" t="s">
        <v>885</v>
      </c>
      <c r="I20" s="806" t="s">
        <v>1858</v>
      </c>
      <c r="J20" s="807">
        <f ca="1">ROUND(M20*M21/10000,0)</f>
        <v>1</v>
      </c>
      <c r="K20" s="808" t="s">
        <v>1859</v>
      </c>
      <c r="L20" s="735" t="s">
        <v>1860</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1013</v>
      </c>
      <c r="B21" s="735" t="s">
        <v>1862</v>
      </c>
      <c r="C21" s="121" t="s">
        <v>138</v>
      </c>
      <c r="D21" s="780" t="s">
        <v>2143</v>
      </c>
      <c r="E21" s="735" t="s">
        <v>1864</v>
      </c>
      <c r="F21" s="777">
        <f>'数据-取费表'!B38</f>
        <v>0.01</v>
      </c>
      <c r="G21" s="776"/>
      <c r="H21" s="782"/>
      <c r="I21" s="810"/>
      <c r="J21" s="811"/>
      <c r="K21" s="812"/>
      <c r="L21" s="735" t="s">
        <v>1865</v>
      </c>
      <c r="M21" s="736">
        <f ca="1">INDIRECT("'数据-取费表'!r"&amp;$G$1)</f>
        <v>1014.37</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2144</v>
      </c>
      <c r="B22" s="735" t="s">
        <v>1867</v>
      </c>
      <c r="C22" s="121"/>
      <c r="D22" s="783" t="str">
        <f>IF(F23&lt;=1,"单利计息。","复利计息。")&amp;"建造成本、管理费用、销售费用产生的利息。"</f>
        <v>复利计息。建造成本、管理费用、销售费用产生的利息。</v>
      </c>
      <c r="E22" s="123"/>
      <c r="F22" s="778"/>
      <c r="G22" s="725"/>
      <c r="H22" s="773" t="s">
        <v>855</v>
      </c>
      <c r="I22" s="735" t="s">
        <v>1868</v>
      </c>
      <c r="J22" s="121">
        <f ca="1">ROUND(J14*M22,0)</f>
        <v>0</v>
      </c>
      <c r="K22" s="801" t="s">
        <v>1869</v>
      </c>
      <c r="L22" s="735" t="s">
        <v>1840</v>
      </c>
      <c r="M22" s="813">
        <f ca="1">INDIRECT("'数据-取费表'!Ak"&amp;$G$1)</f>
        <v>0</v>
      </c>
    </row>
    <row r="23" spans="1:33" s="701" customFormat="1" ht="18" customHeight="1">
      <c r="A23" s="768" t="s">
        <v>877</v>
      </c>
      <c r="B23" s="735" t="s">
        <v>1870</v>
      </c>
      <c r="C23" s="121">
        <f ca="1">ROUND(IF('数据-取费表'!B22&lt;=1,(C19+C20)*F24*F23/2,(C19+C20)*(POWER((1+F24),F23/2)-1)),0)</f>
        <v>21</v>
      </c>
      <c r="D23" s="784" t="str">
        <f>IF(F23&lt;=1,"(建造成本+管理费用)×利率×(建设周期÷2)","(建造成本+管理费用)×((1+利率)^(建设周期÷2)-1)")</f>
        <v>(建造成本+管理费用)×((1+利率)^(建设周期÷2)-1)</v>
      </c>
      <c r="E23" s="735" t="s">
        <v>1871</v>
      </c>
      <c r="F23" s="785">
        <f>'数据-取费表'!B20</f>
        <v>2</v>
      </c>
      <c r="G23" s="776"/>
      <c r="H23" s="773" t="s">
        <v>1013</v>
      </c>
      <c r="I23" s="735" t="s">
        <v>1872</v>
      </c>
      <c r="J23" s="121">
        <f ca="1">ROUND(J13*M23,0)</f>
        <v>0</v>
      </c>
      <c r="K23" s="801" t="s">
        <v>1873</v>
      </c>
      <c r="L23" s="735" t="s">
        <v>1840</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1874</v>
      </c>
      <c r="C24" s="121">
        <f ca="1">ROUND(IF('数据-取费表'!B22&lt;=1,F21*F24*F23/2,F21*(POWER((1+F24),F23/2)-1)),4)</f>
        <v>5.0000000000000001E-4</v>
      </c>
      <c r="D24" s="784" t="str">
        <f>IF(F23&lt;=1,"销售费用×利率×(建设周期÷2)","销售费用×((1+利率)^(建设周期÷2)-1)")</f>
        <v>销售费用×((1+利率)^(建设周期÷2)-1)</v>
      </c>
      <c r="E24" s="735" t="s">
        <v>1875</v>
      </c>
      <c r="F24" s="786">
        <f ca="1">'数据-取费表'!B40</f>
        <v>4.7500000000000001E-2</v>
      </c>
      <c r="G24" s="776"/>
      <c r="H24" s="762" t="s">
        <v>2144</v>
      </c>
      <c r="I24" s="794" t="s">
        <v>1856</v>
      </c>
      <c r="J24" s="792">
        <f ca="1">ROUND(J5*M24,0)</f>
        <v>0</v>
      </c>
      <c r="K24" s="793" t="s">
        <v>1876</v>
      </c>
      <c r="L24" s="794" t="s">
        <v>1840</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1878</v>
      </c>
      <c r="C25" s="121"/>
      <c r="D25" s="779" t="s">
        <v>1879</v>
      </c>
      <c r="E25" s="123"/>
      <c r="F25" s="778"/>
      <c r="G25" s="725"/>
      <c r="H25" s="763" t="s">
        <v>2145</v>
      </c>
      <c r="I25" s="815" t="s">
        <v>1880</v>
      </c>
      <c r="J25" s="765">
        <f ca="1">J5-J16</f>
        <v>-43</v>
      </c>
      <c r="K25" s="816" t="s">
        <v>1881</v>
      </c>
      <c r="L25" s="817"/>
      <c r="M25" s="818"/>
    </row>
    <row r="26" spans="1:33" ht="18" customHeight="1">
      <c r="A26" s="768" t="s">
        <v>877</v>
      </c>
      <c r="B26" s="735" t="s">
        <v>1882</v>
      </c>
      <c r="C26" s="121">
        <f ca="1">ROUND((C19+C20)*F26,0)</f>
        <v>0</v>
      </c>
      <c r="D26" s="780" t="s">
        <v>1883</v>
      </c>
      <c r="E26" s="788" t="s">
        <v>1884</v>
      </c>
      <c r="F26" s="744">
        <f ca="1">INDIRECT("'数据-取费表'!q"&amp;$G$1)</f>
        <v>0</v>
      </c>
      <c r="G26" s="725"/>
      <c r="H26" s="789" t="s">
        <v>2146</v>
      </c>
      <c r="I26" s="819" t="s">
        <v>2147</v>
      </c>
      <c r="J26" s="733">
        <f ca="1">IF(J5&lt;&gt;0,ROUND(J25*(1-((1+M28)/(1+M26))^M27)/(M26-M28),0),0)</f>
        <v>0</v>
      </c>
      <c r="K26" s="808" t="s">
        <v>1886</v>
      </c>
      <c r="L26" s="735" t="s">
        <v>2148</v>
      </c>
      <c r="M26" s="744">
        <f ca="1">INDIRECT("'数据-取费表'!I"&amp;$G$1)</f>
        <v>5.5E-2</v>
      </c>
    </row>
    <row r="27" spans="1:33" ht="18" customHeight="1">
      <c r="A27" s="768" t="s">
        <v>882</v>
      </c>
      <c r="B27" s="735" t="s">
        <v>1888</v>
      </c>
      <c r="C27" s="121">
        <f ca="1">ROUND(F21*F26,4)</f>
        <v>0</v>
      </c>
      <c r="D27" s="780" t="s">
        <v>1889</v>
      </c>
      <c r="E27" s="774"/>
      <c r="F27" s="775"/>
      <c r="G27" s="725"/>
      <c r="H27" s="790"/>
      <c r="I27" s="820"/>
      <c r="J27" s="739"/>
      <c r="K27" s="821" t="s">
        <v>1890</v>
      </c>
      <c r="L27" s="735" t="s">
        <v>1891</v>
      </c>
      <c r="M27" s="822">
        <f ca="1">INDIRECT("'数据-取费表'!ag"&amp;$G$1)</f>
        <v>0</v>
      </c>
    </row>
    <row r="28" spans="1:33" s="701" customFormat="1" ht="18" customHeight="1">
      <c r="A28" s="787" t="s">
        <v>911</v>
      </c>
      <c r="B28" s="735" t="s">
        <v>1893</v>
      </c>
      <c r="C28" s="121">
        <f>ROUND(F28/(1+'数据-取费表'!C42),4)</f>
        <v>5.3600000000000002E-2</v>
      </c>
      <c r="D28" s="780" t="s">
        <v>2149</v>
      </c>
      <c r="E28" s="735" t="s">
        <v>1840</v>
      </c>
      <c r="F28" s="777">
        <f>'数据-取费表'!B41</f>
        <v>5.6300000000000003E-2</v>
      </c>
      <c r="G28" s="776"/>
      <c r="H28" s="763"/>
      <c r="I28" s="824"/>
      <c r="J28" s="765"/>
      <c r="K28" s="812"/>
      <c r="L28" s="735" t="s">
        <v>1895</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1088</v>
      </c>
      <c r="B29" s="760" t="s">
        <v>1897</v>
      </c>
      <c r="C29" s="792">
        <f ca="1">ROUND((C19+C20+C23+C26)/(1-F21-C24-C27-C28),0)</f>
        <v>495</v>
      </c>
      <c r="D29" s="793"/>
      <c r="E29" s="794"/>
      <c r="F29" s="795"/>
      <c r="G29" s="776"/>
      <c r="H29" s="796" t="s">
        <v>2150</v>
      </c>
      <c r="I29" s="825" t="s">
        <v>2151</v>
      </c>
      <c r="J29" s="826">
        <f ca="1">ROUND(J26/(1+F40)^F41,0)</f>
        <v>0</v>
      </c>
      <c r="K29" s="827" t="s">
        <v>1899</v>
      </c>
      <c r="L29" s="828"/>
      <c r="M29" s="829">
        <f ca="1">INDIRECT("'数据-取费表'!k"&amp;$G$1)</f>
        <v>1733.03</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1900</v>
      </c>
      <c r="B30" s="764" t="s">
        <v>1841</v>
      </c>
      <c r="C30" s="765">
        <f ca="1">ROUND(C31+C36+C37+C38,0)</f>
        <v>1</v>
      </c>
      <c r="D30" s="797" t="s">
        <v>1842</v>
      </c>
      <c r="E30" s="798"/>
      <c r="F30" s="731"/>
      <c r="G30" s="799"/>
      <c r="H30" s="800"/>
      <c r="I30" s="873"/>
      <c r="J30" s="874"/>
      <c r="K30" s="875"/>
      <c r="L30" s="876"/>
      <c r="M30" s="877"/>
    </row>
    <row r="31" spans="1:33" ht="18" customHeight="1">
      <c r="A31" s="773" t="s">
        <v>853</v>
      </c>
      <c r="B31" s="735" t="s">
        <v>1846</v>
      </c>
      <c r="C31" s="121">
        <f ca="1">ROUND(IF(项目基本情况!B11="自然人",C5*F31,C32+C33+C34),1)</f>
        <v>0.8</v>
      </c>
      <c r="D31" s="770" t="s">
        <v>1847</v>
      </c>
      <c r="E31" s="801" t="s">
        <v>1848</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1849</v>
      </c>
      <c r="C32" s="121">
        <f ca="1">ROUND(C5*F32/1.05,1)</f>
        <v>0</v>
      </c>
      <c r="D32" s="801" t="s">
        <v>1850</v>
      </c>
      <c r="E32" s="735" t="s">
        <v>1840</v>
      </c>
      <c r="F32" s="777">
        <f>'数据-取费表'!B41</f>
        <v>5.6300000000000003E-2</v>
      </c>
      <c r="G32" s="799"/>
      <c r="H32" s="803"/>
      <c r="I32" s="878"/>
      <c r="J32" s="879"/>
      <c r="K32" s="880"/>
      <c r="L32" s="881"/>
      <c r="M32" s="882"/>
    </row>
    <row r="33" spans="1:18" ht="18" customHeight="1">
      <c r="A33" s="768" t="s">
        <v>882</v>
      </c>
      <c r="B33" s="735" t="s">
        <v>1853</v>
      </c>
      <c r="C33" s="121">
        <f ca="1">IF(D33="按租金收入计税",ROUND(C5*F33,1),IF(D33="按房产原值计税",ROUND(C29*F33*0.7,1),INDIRECT("'数据-取费表'!Aj"&amp;$G$1)))</f>
        <v>0</v>
      </c>
      <c r="D33" s="804" t="s">
        <v>2174</v>
      </c>
      <c r="E33" s="735" t="s">
        <v>1840</v>
      </c>
      <c r="F33" s="777">
        <f>IF(D33="按租金收入计税",'数据-取费表'!B51,'数据-取费表'!B50)</f>
        <v>0.12</v>
      </c>
      <c r="G33" s="799"/>
      <c r="H33" s="805"/>
      <c r="I33" s="805"/>
      <c r="J33" s="805"/>
      <c r="K33" s="883"/>
      <c r="L33" s="805"/>
      <c r="M33" s="805"/>
    </row>
    <row r="34" spans="1:18" ht="18" customHeight="1">
      <c r="A34" s="781" t="s">
        <v>885</v>
      </c>
      <c r="B34" s="806" t="s">
        <v>1858</v>
      </c>
      <c r="C34" s="807">
        <f ca="1">ROUND(F34*F35/10000,1)</f>
        <v>0.8</v>
      </c>
      <c r="D34" s="808" t="s">
        <v>1859</v>
      </c>
      <c r="E34" s="735" t="s">
        <v>1860</v>
      </c>
      <c r="F34" s="785">
        <f>'数据-取费表'!B52</f>
        <v>8</v>
      </c>
      <c r="G34" s="799"/>
      <c r="H34" s="800"/>
      <c r="I34" s="884" t="s">
        <v>2152</v>
      </c>
      <c r="J34" s="885"/>
      <c r="K34" s="886"/>
      <c r="L34" s="887"/>
      <c r="M34" s="887"/>
    </row>
    <row r="35" spans="1:18" ht="18" customHeight="1">
      <c r="A35" s="809"/>
      <c r="B35" s="810"/>
      <c r="C35" s="811"/>
      <c r="D35" s="812"/>
      <c r="E35" s="735" t="s">
        <v>1865</v>
      </c>
      <c r="F35" s="736">
        <f ca="1">INDIRECT("'数据-取费表'!r"&amp;$G$1)</f>
        <v>1014.37</v>
      </c>
      <c r="G35" s="799"/>
      <c r="H35" s="800"/>
      <c r="I35" s="888" t="s">
        <v>2153</v>
      </c>
      <c r="J35" s="889">
        <f ca="1">ROUND(C13*J36,0)</f>
        <v>0</v>
      </c>
      <c r="K35" s="883"/>
      <c r="L35" s="805"/>
      <c r="M35" s="805"/>
    </row>
    <row r="36" spans="1:18" ht="18" customHeight="1">
      <c r="A36" s="773" t="s">
        <v>855</v>
      </c>
      <c r="B36" s="735" t="s">
        <v>1868</v>
      </c>
      <c r="C36" s="121">
        <f ca="1">ROUND(C29*F36,1)</f>
        <v>0</v>
      </c>
      <c r="D36" s="801" t="s">
        <v>1903</v>
      </c>
      <c r="E36" s="735" t="s">
        <v>1840</v>
      </c>
      <c r="F36" s="813">
        <f ca="1">INDIRECT("'数据-取费表'!Ak"&amp;$G$1)</f>
        <v>0</v>
      </c>
      <c r="G36" s="799"/>
      <c r="H36" s="805"/>
      <c r="I36" s="890" t="s">
        <v>2154</v>
      </c>
      <c r="J36" s="891">
        <f ca="1">INDIRECT("'数据-取费表'!j"&amp;$G$1)</f>
        <v>0.08</v>
      </c>
      <c r="K36" s="892"/>
      <c r="L36" s="805"/>
      <c r="M36" s="805"/>
    </row>
    <row r="37" spans="1:18" ht="18" customHeight="1">
      <c r="A37" s="773" t="s">
        <v>1013</v>
      </c>
      <c r="B37" s="735" t="s">
        <v>1872</v>
      </c>
      <c r="C37" s="121">
        <f ca="1">ROUND(C13*F37,1)</f>
        <v>0</v>
      </c>
      <c r="D37" s="801" t="s">
        <v>1873</v>
      </c>
      <c r="E37" s="735" t="s">
        <v>1840</v>
      </c>
      <c r="F37" s="814">
        <f ca="1">INDIRECT("'数据-取费表'!Al"&amp;$G$1)</f>
        <v>0</v>
      </c>
      <c r="G37" s="799"/>
      <c r="H37" s="805"/>
      <c r="I37" s="893" t="s">
        <v>2155</v>
      </c>
      <c r="J37" s="894"/>
      <c r="K37" s="892"/>
      <c r="L37" s="805"/>
      <c r="M37" s="805"/>
    </row>
    <row r="38" spans="1:18" ht="18" customHeight="1">
      <c r="A38" s="762" t="s">
        <v>2144</v>
      </c>
      <c r="B38" s="794" t="s">
        <v>1856</v>
      </c>
      <c r="C38" s="792">
        <f ca="1">ROUND(C5*F38,1)</f>
        <v>0</v>
      </c>
      <c r="D38" s="793" t="s">
        <v>1876</v>
      </c>
      <c r="E38" s="794" t="s">
        <v>1840</v>
      </c>
      <c r="F38" s="761">
        <f ca="1">INDIRECT("'数据-取费表'!Am"&amp;$G$1)</f>
        <v>0</v>
      </c>
      <c r="G38" s="799"/>
      <c r="H38" s="805"/>
      <c r="I38" s="895" t="s">
        <v>2156</v>
      </c>
      <c r="J38" s="896"/>
      <c r="K38" s="897"/>
      <c r="L38" s="805"/>
      <c r="M38" s="805"/>
    </row>
    <row r="39" spans="1:18" ht="24.6" customHeight="1">
      <c r="A39" s="763" t="s">
        <v>2145</v>
      </c>
      <c r="B39" s="815" t="s">
        <v>1880</v>
      </c>
      <c r="C39" s="765">
        <f ca="1">C5-C30</f>
        <v>-1</v>
      </c>
      <c r="D39" s="816" t="s">
        <v>1881</v>
      </c>
      <c r="E39" s="817"/>
      <c r="F39" s="818"/>
      <c r="G39" s="799"/>
      <c r="H39" s="805"/>
      <c r="I39" s="888" t="s">
        <v>2157</v>
      </c>
      <c r="J39" s="898">
        <f ca="1">ROUND(J35/C39,3)</f>
        <v>0</v>
      </c>
      <c r="K39" s="897"/>
      <c r="L39" s="805"/>
      <c r="M39" s="805"/>
    </row>
    <row r="40" spans="1:18" ht="18" customHeight="1">
      <c r="A40" s="726" t="s">
        <v>2146</v>
      </c>
      <c r="B40" s="819" t="s">
        <v>2158</v>
      </c>
      <c r="C40" s="733">
        <f ca="1">ROUND(C39*(1-((1+F42)/(1+F40))^F41)/(F40-F42),0)</f>
        <v>0</v>
      </c>
      <c r="D40" s="808" t="s">
        <v>1886</v>
      </c>
      <c r="E40" s="735" t="s">
        <v>2148</v>
      </c>
      <c r="F40" s="744">
        <f ca="1">INDIRECT("'数据-取费表'!I"&amp;$G$1)</f>
        <v>5.5E-2</v>
      </c>
      <c r="G40" s="799"/>
      <c r="H40" s="799"/>
      <c r="I40" s="888" t="s">
        <v>2159</v>
      </c>
      <c r="J40" s="898">
        <f ca="1">1-J39</f>
        <v>1</v>
      </c>
      <c r="K40" s="897"/>
      <c r="L40" s="799"/>
      <c r="M40" s="799"/>
    </row>
    <row r="41" spans="1:18" ht="18" customHeight="1">
      <c r="A41" s="743"/>
      <c r="B41" s="820"/>
      <c r="C41" s="739"/>
      <c r="D41" s="821" t="s">
        <v>1890</v>
      </c>
      <c r="E41" s="735" t="s">
        <v>1891</v>
      </c>
      <c r="F41" s="822">
        <f ca="1">IF(INDIRECT("'数据-取费表'!af"&amp;$G$1)=0,INDIRECT("'数据-取费表'!ae"&amp;$G$1),INDIRECT("'数据-取费表'!af"&amp;$G$1))</f>
        <v>0</v>
      </c>
      <c r="G41" s="799"/>
      <c r="H41" s="823"/>
      <c r="I41" s="895" t="s">
        <v>2160</v>
      </c>
      <c r="J41" s="899"/>
      <c r="K41" s="892"/>
      <c r="L41" s="823"/>
      <c r="M41" s="823"/>
    </row>
    <row r="42" spans="1:18" ht="18" customHeight="1">
      <c r="A42" s="751"/>
      <c r="B42" s="824"/>
      <c r="C42" s="765"/>
      <c r="D42" s="812"/>
      <c r="E42" s="735" t="s">
        <v>1895</v>
      </c>
      <c r="F42" s="744">
        <f ca="1">INDIRECT("'数据-取费表'!v"&amp;$G$1)</f>
        <v>0</v>
      </c>
      <c r="G42" s="799"/>
      <c r="H42" s="823"/>
      <c r="I42" s="900" t="s">
        <v>2161</v>
      </c>
      <c r="J42" s="898" t="e">
        <f ca="1">ROUND(C13/C40,3)</f>
        <v>#DIV/0!</v>
      </c>
      <c r="K42" s="892"/>
      <c r="L42" s="823"/>
      <c r="M42" s="823"/>
    </row>
    <row r="43" spans="1:18" ht="18" customHeight="1">
      <c r="A43" s="796" t="s">
        <v>2150</v>
      </c>
      <c r="B43" s="825" t="s">
        <v>2162</v>
      </c>
      <c r="C43" s="826">
        <f ca="1">ROUND(C40*10000/F43,0)</f>
        <v>0</v>
      </c>
      <c r="D43" s="827" t="s">
        <v>2163</v>
      </c>
      <c r="E43" s="828" t="s">
        <v>2164</v>
      </c>
      <c r="F43" s="829">
        <f ca="1">INDIRECT("'数据-取费表'!k"&amp;$G$1)</f>
        <v>1733.03</v>
      </c>
      <c r="G43" s="799"/>
      <c r="H43" s="823"/>
      <c r="I43" s="900" t="s">
        <v>2165</v>
      </c>
      <c r="J43" s="901" t="e">
        <f ca="1">1-J42</f>
        <v>#DIV/0!</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2166</v>
      </c>
      <c r="B46" s="830"/>
      <c r="C46" s="833">
        <f ca="1">C67-C40</f>
        <v>0</v>
      </c>
      <c r="D46" s="830"/>
      <c r="E46" s="830"/>
      <c r="F46" s="830"/>
      <c r="I46" s="903" t="s">
        <v>1916</v>
      </c>
      <c r="J46" s="904"/>
      <c r="K46" s="905"/>
      <c r="L46" s="906">
        <f>IF(OR(M47="住宅",D1="土地（套用方法）"),0,IF(L48&gt;J51,L60,J60))</f>
        <v>0</v>
      </c>
      <c r="O46" s="907" t="s">
        <v>1917</v>
      </c>
      <c r="P46" s="725"/>
      <c r="Q46" s="912"/>
      <c r="R46" s="725"/>
    </row>
    <row r="47" spans="1:18" s="609" customFormat="1" ht="18" customHeight="1">
      <c r="A47" s="834">
        <v>1</v>
      </c>
      <c r="B47" s="835" t="s">
        <v>2167</v>
      </c>
      <c r="C47" s="833">
        <f ca="1">C48+C52+C54</f>
        <v>0</v>
      </c>
      <c r="D47" s="830"/>
      <c r="E47" s="830"/>
      <c r="F47" s="830"/>
      <c r="I47" s="908" t="s">
        <v>1918</v>
      </c>
      <c r="J47" s="909" t="s">
        <v>1978</v>
      </c>
      <c r="K47" s="910" t="s">
        <v>1919</v>
      </c>
      <c r="L47" s="911">
        <f ca="1">INDIRECT("'数据-取费表'!d"&amp;$G$1)</f>
        <v>40</v>
      </c>
      <c r="M47" s="912" t="str">
        <f>IF(ISNUMBER(FIND("住宅",C1)),"住宅","非住宅")</f>
        <v>非住宅</v>
      </c>
      <c r="O47" s="913" t="s">
        <v>1322</v>
      </c>
      <c r="P47" s="914" t="s">
        <v>1920</v>
      </c>
      <c r="Q47" s="952" t="s">
        <v>1921</v>
      </c>
      <c r="R47" s="914" t="s">
        <v>1922</v>
      </c>
    </row>
    <row r="48" spans="1:18" s="609" customFormat="1" ht="18" customHeight="1">
      <c r="A48" s="836" t="s">
        <v>1126</v>
      </c>
      <c r="B48" s="837" t="s">
        <v>2168</v>
      </c>
      <c r="C48" s="838">
        <f ca="1">ROUND(F48*F50*F49*(1-F51)/10000,0)</f>
        <v>0</v>
      </c>
      <c r="D48" s="839" t="s">
        <v>2139</v>
      </c>
      <c r="E48" s="840" t="s">
        <v>2169</v>
      </c>
      <c r="F48" s="841"/>
      <c r="G48" s="842"/>
      <c r="I48" s="915" t="s">
        <v>1923</v>
      </c>
      <c r="J48" s="916" t="s">
        <v>1973</v>
      </c>
      <c r="K48" s="917" t="s">
        <v>1924</v>
      </c>
      <c r="L48" s="918">
        <f ca="1">INDIRECT("'数据-取费表'!f"&amp;$G$1)</f>
        <v>39.549999999999997</v>
      </c>
      <c r="O48" s="919" t="s">
        <v>1925</v>
      </c>
      <c r="P48" s="920" t="s">
        <v>1926</v>
      </c>
      <c r="Q48" s="953">
        <f ca="1">C40+J29</f>
        <v>0</v>
      </c>
      <c r="R48" s="920" t="s">
        <v>1927</v>
      </c>
    </row>
    <row r="49" spans="1:18" s="609" customFormat="1" ht="18" customHeight="1">
      <c r="A49" s="743"/>
      <c r="B49" s="820"/>
      <c r="C49" s="739"/>
      <c r="D49" s="740"/>
      <c r="E49" s="735" t="s">
        <v>1825</v>
      </c>
      <c r="F49" s="736">
        <f ca="1">F7</f>
        <v>1733.03</v>
      </c>
      <c r="G49" s="842"/>
      <c r="H49" s="843"/>
      <c r="I49" s="915" t="s">
        <v>1928</v>
      </c>
      <c r="J49" s="921"/>
      <c r="K49" s="922" t="s">
        <v>1929</v>
      </c>
      <c r="L49" s="923"/>
      <c r="O49" s="919" t="s">
        <v>1930</v>
      </c>
      <c r="P49" s="920" t="s">
        <v>1931</v>
      </c>
      <c r="Q49" s="953">
        <f ca="1">J60</f>
        <v>198</v>
      </c>
      <c r="R49" s="920" t="s">
        <v>1932</v>
      </c>
    </row>
    <row r="50" spans="1:18" s="609" customFormat="1" ht="18" customHeight="1">
      <c r="A50" s="743"/>
      <c r="B50" s="820"/>
      <c r="C50" s="739"/>
      <c r="D50" s="740"/>
      <c r="E50" s="735" t="s">
        <v>1826</v>
      </c>
      <c r="F50" s="736">
        <f ca="1">F8</f>
        <v>0</v>
      </c>
      <c r="G50" s="844"/>
      <c r="H50" s="843"/>
      <c r="I50" s="915" t="s">
        <v>1933</v>
      </c>
      <c r="J50" s="924">
        <f>SUMPRODUCT((I63:I65=J47)*(J62:L62=J48)*(J63:L65))</f>
        <v>60</v>
      </c>
      <c r="K50" s="922" t="s">
        <v>1934</v>
      </c>
      <c r="L50" s="923"/>
      <c r="O50" s="925" t="s">
        <v>1935</v>
      </c>
      <c r="P50" s="920" t="s">
        <v>1936</v>
      </c>
      <c r="Q50" s="953">
        <f ca="1">C29</f>
        <v>495</v>
      </c>
      <c r="R50" s="920" t="s">
        <v>1927</v>
      </c>
    </row>
    <row r="51" spans="1:18" s="609" customFormat="1" ht="18" customHeight="1">
      <c r="A51" s="743"/>
      <c r="B51" s="820"/>
      <c r="C51" s="739"/>
      <c r="D51" s="740"/>
      <c r="E51" s="735" t="s">
        <v>1827</v>
      </c>
      <c r="F51" s="845"/>
      <c r="H51" s="843"/>
      <c r="I51" s="926" t="s">
        <v>1937</v>
      </c>
      <c r="J51" s="927">
        <f>IF(J49="",J50,J49+J50-YEAR('数据-取费表'!B2))</f>
        <v>60</v>
      </c>
      <c r="K51" s="915" t="s">
        <v>1938</v>
      </c>
      <c r="L51" s="928">
        <f ca="1">ROUND(-PV(INDIRECT("'数据-取费表'!h"&amp;$G$1),L48,(C39-C13*J36),0),0)</f>
        <v>-17</v>
      </c>
      <c r="O51" s="925" t="s">
        <v>1939</v>
      </c>
      <c r="P51" s="920" t="s">
        <v>1940</v>
      </c>
      <c r="Q51" s="954">
        <f ca="1">J58</f>
        <v>0.4</v>
      </c>
      <c r="R51" s="955"/>
    </row>
    <row r="52" spans="1:18" s="609" customFormat="1" ht="18" customHeight="1">
      <c r="A52" s="726" t="s">
        <v>2170</v>
      </c>
      <c r="B52" s="746" t="s">
        <v>1828</v>
      </c>
      <c r="C52" s="120">
        <f ca="1">ROUND(IF(F52="押一",C48/12*F11,IF(F52="押二",C48/12*2*F11,IF(F52="押三",C48/12*3*F11,C53*F11))),0)</f>
        <v>0</v>
      </c>
      <c r="D52" s="747" t="s">
        <v>1829</v>
      </c>
      <c r="E52" s="748" t="s">
        <v>1830</v>
      </c>
      <c r="F52" s="749"/>
      <c r="I52" s="929" t="s">
        <v>1941</v>
      </c>
      <c r="J52" s="930"/>
      <c r="K52" s="929" t="s">
        <v>1185</v>
      </c>
      <c r="L52" s="930"/>
      <c r="O52" s="925" t="s">
        <v>1942</v>
      </c>
      <c r="P52" s="920" t="s">
        <v>1943</v>
      </c>
      <c r="Q52" s="954">
        <f>J52</f>
        <v>0</v>
      </c>
      <c r="R52" s="955"/>
    </row>
    <row r="53" spans="1:18" s="609" customFormat="1" ht="39.75" customHeight="1">
      <c r="A53" s="743"/>
      <c r="B53" s="752" t="s">
        <v>1831</v>
      </c>
      <c r="C53" s="753"/>
      <c r="D53" s="747"/>
      <c r="E53" s="748"/>
      <c r="F53" s="846"/>
      <c r="I53" s="931" t="s">
        <v>1944</v>
      </c>
      <c r="J53" s="932">
        <f ca="1">IF(M47="住宅",IF(D1="——",MAX(J51,L48),MAX(J51,L48-'数据-取费表'!B20)),IF(D1="——",MIN(J51,L48),MIN(J51,L48-'数据-取费表'!B20)))</f>
        <v>37.549999999999997</v>
      </c>
      <c r="K53" s="3413" t="s">
        <v>2171</v>
      </c>
      <c r="L53" s="3414"/>
      <c r="O53" s="925" t="s">
        <v>1945</v>
      </c>
      <c r="P53" s="920" t="s">
        <v>1946</v>
      </c>
      <c r="Q53" s="953">
        <f ca="1">J53</f>
        <v>37.549999999999997</v>
      </c>
      <c r="R53" s="920" t="s">
        <v>1947</v>
      </c>
    </row>
    <row r="54" spans="1:18" s="609" customFormat="1" ht="18" customHeight="1">
      <c r="A54" s="756" t="s">
        <v>1013</v>
      </c>
      <c r="B54" s="757" t="s">
        <v>1832</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1948</v>
      </c>
      <c r="P54" s="920" t="s">
        <v>1949</v>
      </c>
      <c r="Q54" s="953">
        <f ca="1">Q48+Q49</f>
        <v>198</v>
      </c>
      <c r="R54" s="955" t="s">
        <v>1950</v>
      </c>
    </row>
    <row r="55" spans="1:18" s="609" customFormat="1" ht="18" customHeight="1">
      <c r="A55" s="847">
        <v>2</v>
      </c>
      <c r="B55" s="848" t="s">
        <v>1836</v>
      </c>
      <c r="C55" s="120">
        <f ca="1">C13</f>
        <v>0</v>
      </c>
      <c r="D55" s="788"/>
      <c r="E55" s="788"/>
      <c r="F55" s="846"/>
      <c r="I55" s="933" t="s">
        <v>1951</v>
      </c>
      <c r="J55" s="934">
        <f ca="1">ROUND(IF(J47="钢混",J57/J50,1-(1-2%)*(J50-J57)/J50),3)</f>
        <v>0.34100000000000003</v>
      </c>
      <c r="K55" s="935" t="s">
        <v>1952</v>
      </c>
      <c r="L55" s="936"/>
      <c r="O55" s="937" t="s">
        <v>1953</v>
      </c>
      <c r="P55" s="725"/>
      <c r="Q55" s="912"/>
      <c r="R55" s="725"/>
    </row>
    <row r="56" spans="1:18" s="609" customFormat="1" ht="42.75" customHeight="1">
      <c r="A56" s="787"/>
      <c r="B56" s="849" t="s">
        <v>1897</v>
      </c>
      <c r="C56" s="121">
        <f ca="1">C29</f>
        <v>495</v>
      </c>
      <c r="D56" s="801"/>
      <c r="E56" s="735"/>
      <c r="F56" s="777"/>
      <c r="I56" s="938" t="s">
        <v>1954</v>
      </c>
      <c r="J56" s="939" t="s">
        <v>395</v>
      </c>
      <c r="K56" s="915" t="s">
        <v>1955</v>
      </c>
      <c r="L56" s="918" t="str">
        <f ca="1">IF(L48&lt;J51,"——",L48-J51)</f>
        <v>——</v>
      </c>
      <c r="O56" s="913" t="s">
        <v>1322</v>
      </c>
      <c r="P56" s="914" t="s">
        <v>1920</v>
      </c>
      <c r="Q56" s="952" t="s">
        <v>1921</v>
      </c>
      <c r="R56" s="914" t="s">
        <v>1922</v>
      </c>
    </row>
    <row r="57" spans="1:18" s="609" customFormat="1" ht="28.5" customHeight="1">
      <c r="A57" s="847" t="s">
        <v>1900</v>
      </c>
      <c r="B57" s="848" t="s">
        <v>1841</v>
      </c>
      <c r="C57" s="120">
        <f ca="1">ROUND(C58+C63+C64+C65,0)</f>
        <v>1</v>
      </c>
      <c r="D57" s="850" t="s">
        <v>1842</v>
      </c>
      <c r="E57" s="123"/>
      <c r="F57" s="778"/>
      <c r="I57" s="940" t="s">
        <v>1956</v>
      </c>
      <c r="J57" s="941">
        <f ca="1">IF(OR(M47="住宅",J51&lt;L48,J56="是"),"——",J51-L48)</f>
        <v>20.450000000000003</v>
      </c>
      <c r="K57" s="915" t="s">
        <v>1957</v>
      </c>
      <c r="L57" s="918" t="str">
        <f ca="1">IF(L48&lt;J51,"——",IF(L55="比较法",L49,IF(L55="基准地价",L50,L51)))</f>
        <v>——</v>
      </c>
      <c r="O57" s="919" t="s">
        <v>1925</v>
      </c>
      <c r="P57" s="920" t="s">
        <v>1926</v>
      </c>
      <c r="Q57" s="953">
        <f ca="1">C40+J29</f>
        <v>0</v>
      </c>
      <c r="R57" s="920" t="s">
        <v>1927</v>
      </c>
    </row>
    <row r="58" spans="1:18" s="609" customFormat="1" ht="28.5" customHeight="1">
      <c r="A58" s="773" t="s">
        <v>853</v>
      </c>
      <c r="B58" s="735" t="s">
        <v>1846</v>
      </c>
      <c r="C58" s="121">
        <f ca="1">ROUND(IF(项目基本情况!B11="自然人",C47*F58,C59+C60+C61),1)</f>
        <v>0.8</v>
      </c>
      <c r="D58" s="770" t="s">
        <v>1847</v>
      </c>
      <c r="E58" s="801" t="s">
        <v>1848</v>
      </c>
      <c r="F58" s="802" t="str">
        <f ca="1">IF(项目基本情况!B11="企业","",IF(INDIRECT("'数据-取费表'!c"&amp;$G$1)="住宅",5%,IF(F48*F49*F50/12/(1+'数据-取费表'!C42)&gt;20000,12%,7%)))</f>
        <v/>
      </c>
      <c r="I58" s="940" t="s">
        <v>1958</v>
      </c>
      <c r="J58" s="942">
        <f ca="1">IF(J55&lt;0.4,0.4,J55)</f>
        <v>0.4</v>
      </c>
      <c r="K58" s="915" t="s">
        <v>1959</v>
      </c>
      <c r="L58" s="918" t="e">
        <f ca="1">ROUND(POWER(1+L52,L47-L48)*(POWER(1+L52,L48)-1)/(POWER(1+L52,L47)-1),4)</f>
        <v>#DIV/0!</v>
      </c>
      <c r="O58" s="919" t="s">
        <v>1930</v>
      </c>
      <c r="P58" s="920" t="s">
        <v>1960</v>
      </c>
      <c r="Q58" s="953">
        <f ca="1">L60</f>
        <v>0</v>
      </c>
      <c r="R58" s="955" t="s">
        <v>1961</v>
      </c>
    </row>
    <row r="59" spans="1:18" s="609" customFormat="1" ht="28.5" customHeight="1">
      <c r="A59" s="768" t="s">
        <v>877</v>
      </c>
      <c r="B59" s="735" t="s">
        <v>1849</v>
      </c>
      <c r="C59" s="121">
        <f ca="1">ROUND(C47*F59/1.05,1)</f>
        <v>0</v>
      </c>
      <c r="D59" s="801" t="s">
        <v>1850</v>
      </c>
      <c r="E59" s="735" t="s">
        <v>1840</v>
      </c>
      <c r="F59" s="777">
        <f t="shared" ref="F59:F65" si="0">F32</f>
        <v>5.6300000000000003E-2</v>
      </c>
      <c r="I59" s="940" t="s">
        <v>1962</v>
      </c>
      <c r="J59" s="941">
        <f ca="1">IF(OR(M47="住宅",J51&lt;L48,J56="是"),"——",ROUND(C29*J58,0))</f>
        <v>198</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1935</v>
      </c>
      <c r="P59" s="920" t="s">
        <v>1964</v>
      </c>
      <c r="Q59" s="953">
        <f>IF(L55="比较法",L49,IF(L55="基准地价",L50,0))</f>
        <v>0</v>
      </c>
      <c r="R59" s="920" t="s">
        <v>1927</v>
      </c>
    </row>
    <row r="60" spans="1:18" s="609" customFormat="1" ht="18" customHeight="1">
      <c r="A60" s="768" t="s">
        <v>882</v>
      </c>
      <c r="B60" s="735" t="s">
        <v>1853</v>
      </c>
      <c r="C60" s="121">
        <f ca="1">IF(D60="按租金收入计税",ROUND(C47*F60,1),IF(D60="按房产原值计税",ROUND(C56*F60*0.7,1),INDIRECT("'数据-取费表'!Aj"&amp;$G$1)))</f>
        <v>0</v>
      </c>
      <c r="D60" s="801" t="str">
        <f>D33</f>
        <v>按租金收入计税</v>
      </c>
      <c r="E60" s="735" t="s">
        <v>1840</v>
      </c>
      <c r="F60" s="777">
        <f t="shared" si="0"/>
        <v>0.12</v>
      </c>
      <c r="I60" s="943" t="s">
        <v>1965</v>
      </c>
      <c r="J60" s="944">
        <f ca="1">IF(OR(M47="住宅",J51&lt;L48,J56="是"),"0",ROUND(J59/(1+J52)^J53,0))</f>
        <v>198</v>
      </c>
      <c r="K60" s="945" t="s">
        <v>1966</v>
      </c>
      <c r="L60" s="944">
        <f ca="1">IF(OR(M47="住宅",L48&lt;J51),0,ROUND(L57*(L58/L59-1),0))</f>
        <v>0</v>
      </c>
      <c r="O60" s="925" t="s">
        <v>1939</v>
      </c>
      <c r="P60" s="920" t="s">
        <v>1967</v>
      </c>
      <c r="Q60" s="954">
        <f>L52</f>
        <v>0</v>
      </c>
      <c r="R60" s="955"/>
    </row>
    <row r="61" spans="1:18" s="609" customFormat="1" ht="18" customHeight="1">
      <c r="A61" s="781" t="s">
        <v>885</v>
      </c>
      <c r="B61" s="806" t="s">
        <v>1858</v>
      </c>
      <c r="C61" s="807">
        <f ca="1">ROUND(F61*F62/10000,1)</f>
        <v>0.8</v>
      </c>
      <c r="D61" s="808" t="s">
        <v>1859</v>
      </c>
      <c r="E61" s="735" t="s">
        <v>1860</v>
      </c>
      <c r="F61" s="785">
        <f t="shared" si="0"/>
        <v>8</v>
      </c>
      <c r="K61" s="902"/>
      <c r="O61" s="925" t="s">
        <v>1942</v>
      </c>
      <c r="P61" s="920" t="s">
        <v>1968</v>
      </c>
      <c r="Q61" s="953" t="e">
        <f ca="1">L58</f>
        <v>#DIV/0!</v>
      </c>
      <c r="R61" s="955" t="s">
        <v>1969</v>
      </c>
    </row>
    <row r="62" spans="1:18" s="609" customFormat="1">
      <c r="A62" s="809"/>
      <c r="B62" s="810"/>
      <c r="C62" s="811"/>
      <c r="D62" s="812"/>
      <c r="E62" s="735" t="s">
        <v>1865</v>
      </c>
      <c r="F62" s="736">
        <f t="shared" ca="1" si="0"/>
        <v>1014.37</v>
      </c>
      <c r="I62" s="946" t="s">
        <v>1970</v>
      </c>
      <c r="J62" s="947" t="s">
        <v>1971</v>
      </c>
      <c r="K62" s="947" t="s">
        <v>1972</v>
      </c>
      <c r="L62" s="947" t="s">
        <v>1973</v>
      </c>
      <c r="M62" s="948" t="s">
        <v>1974</v>
      </c>
      <c r="O62" s="925" t="s">
        <v>1945</v>
      </c>
      <c r="P62" s="920" t="str">
        <f>K59</f>
        <v>建设期及建筑物耐用年限下的土地年期修正系数Kn</v>
      </c>
      <c r="Q62" s="953" t="e">
        <f ca="1">L59</f>
        <v>#DIV/0!</v>
      </c>
      <c r="R62" s="955" t="s">
        <v>1976</v>
      </c>
    </row>
    <row r="63" spans="1:18" s="609" customFormat="1">
      <c r="A63" s="773" t="s">
        <v>855</v>
      </c>
      <c r="B63" s="735" t="s">
        <v>1868</v>
      </c>
      <c r="C63" s="121">
        <f ca="1">ROUND(C56*F63,1)</f>
        <v>0</v>
      </c>
      <c r="D63" s="801" t="s">
        <v>1903</v>
      </c>
      <c r="E63" s="735" t="s">
        <v>1840</v>
      </c>
      <c r="F63" s="813">
        <f t="shared" ca="1" si="0"/>
        <v>0</v>
      </c>
      <c r="I63" s="946" t="s">
        <v>1977</v>
      </c>
      <c r="J63" s="947">
        <v>70</v>
      </c>
      <c r="K63" s="947">
        <v>50</v>
      </c>
      <c r="L63" s="947">
        <v>80</v>
      </c>
      <c r="M63" s="949">
        <v>0.02</v>
      </c>
      <c r="O63" s="919" t="s">
        <v>1948</v>
      </c>
      <c r="P63" s="920" t="s">
        <v>1949</v>
      </c>
      <c r="Q63" s="953">
        <f ca="1">Q57+Q58</f>
        <v>0</v>
      </c>
      <c r="R63" s="955" t="s">
        <v>1950</v>
      </c>
    </row>
    <row r="64" spans="1:18" s="609" customFormat="1" ht="15.75">
      <c r="A64" s="773" t="s">
        <v>1013</v>
      </c>
      <c r="B64" s="735" t="s">
        <v>1872</v>
      </c>
      <c r="C64" s="121">
        <f ca="1">ROUND(C55*F64,1)</f>
        <v>0</v>
      </c>
      <c r="D64" s="801" t="s">
        <v>1873</v>
      </c>
      <c r="E64" s="735" t="s">
        <v>1840</v>
      </c>
      <c r="F64" s="814">
        <f t="shared" ca="1" si="0"/>
        <v>0</v>
      </c>
      <c r="I64" s="946" t="s">
        <v>1978</v>
      </c>
      <c r="J64" s="947">
        <v>50</v>
      </c>
      <c r="K64" s="947">
        <v>35</v>
      </c>
      <c r="L64" s="947">
        <v>60</v>
      </c>
      <c r="M64" s="899">
        <v>0</v>
      </c>
      <c r="O64" s="937" t="s">
        <v>1979</v>
      </c>
      <c r="P64" s="725"/>
      <c r="Q64" s="912"/>
      <c r="R64" s="725"/>
    </row>
    <row r="65" spans="1:18" s="609" customFormat="1">
      <c r="A65" s="773" t="s">
        <v>2144</v>
      </c>
      <c r="B65" s="735" t="s">
        <v>1856</v>
      </c>
      <c r="C65" s="121">
        <f ca="1">ROUND(C47*F65,1)</f>
        <v>0</v>
      </c>
      <c r="D65" s="801" t="s">
        <v>1876</v>
      </c>
      <c r="E65" s="735" t="s">
        <v>1840</v>
      </c>
      <c r="F65" s="744">
        <f t="shared" ca="1" si="0"/>
        <v>0</v>
      </c>
      <c r="I65" s="946" t="s">
        <v>1980</v>
      </c>
      <c r="J65" s="947">
        <v>40</v>
      </c>
      <c r="K65" s="947">
        <v>30</v>
      </c>
      <c r="L65" s="947">
        <v>50</v>
      </c>
      <c r="M65" s="949">
        <v>0.02</v>
      </c>
      <c r="O65" s="913" t="s">
        <v>1322</v>
      </c>
      <c r="P65" s="914" t="s">
        <v>1920</v>
      </c>
      <c r="Q65" s="952" t="s">
        <v>1921</v>
      </c>
      <c r="R65" s="914" t="s">
        <v>1922</v>
      </c>
    </row>
    <row r="66" spans="1:18" s="609" customFormat="1" ht="24">
      <c r="A66" s="847" t="s">
        <v>2145</v>
      </c>
      <c r="B66" s="956" t="s">
        <v>1880</v>
      </c>
      <c r="C66" s="120">
        <f ca="1">C47-C57</f>
        <v>-1</v>
      </c>
      <c r="D66" s="770" t="s">
        <v>1881</v>
      </c>
      <c r="E66" s="957"/>
      <c r="F66" s="958"/>
      <c r="K66" s="902"/>
      <c r="O66" s="919" t="s">
        <v>1925</v>
      </c>
      <c r="P66" s="920" t="s">
        <v>1926</v>
      </c>
      <c r="Q66" s="953">
        <f ca="1">C40+J29</f>
        <v>0</v>
      </c>
      <c r="R66" s="920" t="s">
        <v>1927</v>
      </c>
    </row>
    <row r="67" spans="1:18" s="609" customFormat="1" ht="19.5">
      <c r="A67" s="726" t="s">
        <v>2146</v>
      </c>
      <c r="B67" s="819" t="s">
        <v>2158</v>
      </c>
      <c r="C67" s="733">
        <f ca="1">ROUND(C66*(1-((1+F69)/(1+F67))^F68)/(F67-F69),0)</f>
        <v>0</v>
      </c>
      <c r="D67" s="808" t="s">
        <v>1886</v>
      </c>
      <c r="E67" s="735" t="s">
        <v>1887</v>
      </c>
      <c r="F67" s="744">
        <f ca="1">F40</f>
        <v>5.5E-2</v>
      </c>
      <c r="K67" s="902"/>
      <c r="O67" s="919" t="s">
        <v>1930</v>
      </c>
      <c r="P67" s="920" t="s">
        <v>1960</v>
      </c>
      <c r="Q67" s="953">
        <f ca="1">L60</f>
        <v>0</v>
      </c>
      <c r="R67" s="955" t="s">
        <v>1961</v>
      </c>
    </row>
    <row r="68" spans="1:18" ht="21">
      <c r="A68" s="743"/>
      <c r="B68" s="820"/>
      <c r="C68" s="739"/>
      <c r="D68" s="821" t="s">
        <v>1890</v>
      </c>
      <c r="E68" s="735" t="s">
        <v>1891</v>
      </c>
      <c r="F68" s="822">
        <f ca="1">F41</f>
        <v>0</v>
      </c>
      <c r="O68" s="925" t="s">
        <v>1935</v>
      </c>
      <c r="P68" s="920" t="s">
        <v>1964</v>
      </c>
      <c r="Q68" s="960">
        <f ca="1">L51</f>
        <v>-17</v>
      </c>
      <c r="R68" s="961" t="s">
        <v>1981</v>
      </c>
    </row>
    <row r="69" spans="1:18" ht="19.5">
      <c r="A69" s="751"/>
      <c r="B69" s="824"/>
      <c r="C69" s="765"/>
      <c r="D69" s="812"/>
      <c r="E69" s="735" t="s">
        <v>1895</v>
      </c>
      <c r="F69" s="845"/>
      <c r="O69" s="925" t="s">
        <v>1939</v>
      </c>
      <c r="P69" s="959" t="s">
        <v>1982</v>
      </c>
      <c r="Q69" s="953">
        <f ca="1">ROUND(Q70-Q71*Q72,0)</f>
        <v>-1</v>
      </c>
      <c r="R69" s="955"/>
    </row>
    <row r="70" spans="1:18">
      <c r="A70" s="796" t="s">
        <v>2150</v>
      </c>
      <c r="B70" s="825" t="s">
        <v>2162</v>
      </c>
      <c r="C70" s="826">
        <f ca="1">ROUND(C67*10000/F70,0)</f>
        <v>0</v>
      </c>
      <c r="D70" s="827" t="s">
        <v>2163</v>
      </c>
      <c r="E70" s="828" t="s">
        <v>2164</v>
      </c>
      <c r="F70" s="829">
        <f ca="1">F43</f>
        <v>1733.03</v>
      </c>
      <c r="O70" s="925" t="s">
        <v>1983</v>
      </c>
      <c r="P70" s="959" t="s">
        <v>1984</v>
      </c>
      <c r="Q70" s="953">
        <f ca="1">C39</f>
        <v>-1</v>
      </c>
      <c r="R70" s="920" t="s">
        <v>1927</v>
      </c>
    </row>
    <row r="71" spans="1:18">
      <c r="O71" s="925" t="s">
        <v>1985</v>
      </c>
      <c r="P71" s="959" t="s">
        <v>1986</v>
      </c>
      <c r="Q71" s="953">
        <f ca="1">C13</f>
        <v>0</v>
      </c>
      <c r="R71" s="920" t="s">
        <v>1927</v>
      </c>
    </row>
    <row r="72" spans="1:18">
      <c r="O72" s="925" t="s">
        <v>1987</v>
      </c>
      <c r="P72" s="959" t="s">
        <v>1988</v>
      </c>
      <c r="Q72" s="954">
        <f ca="1">J36</f>
        <v>0.08</v>
      </c>
      <c r="R72" s="955"/>
    </row>
    <row r="73" spans="1:18">
      <c r="O73" s="925" t="s">
        <v>1942</v>
      </c>
      <c r="P73" s="920" t="s">
        <v>1967</v>
      </c>
      <c r="Q73" s="954">
        <f>L52</f>
        <v>0</v>
      </c>
      <c r="R73" s="955"/>
    </row>
    <row r="74" spans="1:18" ht="19.5">
      <c r="O74" s="925" t="s">
        <v>1945</v>
      </c>
      <c r="P74" s="920" t="s">
        <v>1968</v>
      </c>
      <c r="Q74" s="953" t="e">
        <f ca="1">L58</f>
        <v>#DIV/0!</v>
      </c>
      <c r="R74" s="955" t="s">
        <v>1969</v>
      </c>
    </row>
    <row r="75" spans="1:18">
      <c r="O75" s="925" t="s">
        <v>1989</v>
      </c>
      <c r="P75" s="920" t="str">
        <f>K59</f>
        <v>建设期及建筑物耐用年限下的土地年期修正系数Kn</v>
      </c>
      <c r="Q75" s="953" t="e">
        <f ca="1">L59</f>
        <v>#DIV/0!</v>
      </c>
      <c r="R75" s="955" t="s">
        <v>1976</v>
      </c>
    </row>
    <row r="76" spans="1:18">
      <c r="O76" s="919" t="s">
        <v>1948</v>
      </c>
      <c r="P76" s="920" t="s">
        <v>1949</v>
      </c>
      <c r="Q76" s="953">
        <f ca="1">Q66+Q67</f>
        <v>0</v>
      </c>
      <c r="R76" s="955" t="s">
        <v>1950</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6" sqref="D2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2137</v>
      </c>
      <c r="B1" s="707"/>
      <c r="C1" s="708" t="s">
        <v>493</v>
      </c>
      <c r="D1" s="709" t="s">
        <v>2172</v>
      </c>
      <c r="E1" s="710" t="s">
        <v>589</v>
      </c>
      <c r="F1" s="711">
        <f ca="1">J53</f>
        <v>47.55</v>
      </c>
      <c r="G1" s="712">
        <f>MATCH(C1,'数据-取费表'!A6:A16,0)+5</f>
        <v>8</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3636</v>
      </c>
      <c r="C2" s="714"/>
      <c r="D2" s="715"/>
      <c r="E2" s="716"/>
      <c r="F2" s="716"/>
      <c r="G2" s="717"/>
      <c r="H2" s="714"/>
      <c r="I2" s="714"/>
      <c r="J2" s="714"/>
      <c r="K2" s="854"/>
      <c r="L2" s="714"/>
      <c r="M2" s="714"/>
    </row>
    <row r="3" spans="1:33" ht="18" customHeight="1">
      <c r="A3" s="718" t="s">
        <v>2084</v>
      </c>
      <c r="B3" s="719">
        <f ca="1">IF(ISERROR(B2*10000/F43),0,ROUND(B2*10000/F43,0))</f>
        <v>1453</v>
      </c>
      <c r="C3" s="714"/>
      <c r="D3" s="715"/>
      <c r="E3" s="716"/>
      <c r="F3" s="716"/>
      <c r="G3" s="717"/>
      <c r="H3" s="720" t="s">
        <v>1814</v>
      </c>
      <c r="I3" s="855"/>
      <c r="J3" s="855"/>
      <c r="K3" s="856"/>
      <c r="L3" s="855"/>
      <c r="M3" s="855"/>
    </row>
    <row r="4" spans="1:33" ht="18" customHeight="1">
      <c r="A4" s="721" t="s">
        <v>1815</v>
      </c>
      <c r="B4" s="722" t="s">
        <v>1816</v>
      </c>
      <c r="C4" s="722" t="s">
        <v>1817</v>
      </c>
      <c r="D4" s="722" t="s">
        <v>1818</v>
      </c>
      <c r="E4" s="723" t="s">
        <v>1819</v>
      </c>
      <c r="F4" s="724"/>
      <c r="G4" s="725"/>
      <c r="H4" s="721" t="s">
        <v>1815</v>
      </c>
      <c r="I4" s="722" t="s">
        <v>1816</v>
      </c>
      <c r="J4" s="722" t="s">
        <v>1817</v>
      </c>
      <c r="K4" s="722" t="s">
        <v>1818</v>
      </c>
      <c r="L4" s="723" t="s">
        <v>1819</v>
      </c>
      <c r="M4" s="724"/>
    </row>
    <row r="5" spans="1:33" ht="18" customHeight="1">
      <c r="A5" s="726">
        <v>1</v>
      </c>
      <c r="B5" s="727" t="s">
        <v>1820</v>
      </c>
      <c r="C5" s="728">
        <f ca="1">C6+C10+C12</f>
        <v>276</v>
      </c>
      <c r="D5" s="729" t="s">
        <v>1821</v>
      </c>
      <c r="E5" s="730"/>
      <c r="F5" s="731"/>
      <c r="G5" s="725"/>
      <c r="H5" s="726">
        <v>1</v>
      </c>
      <c r="I5" s="727" t="s">
        <v>1820</v>
      </c>
      <c r="J5" s="728">
        <f ca="1">J6+J10+J12</f>
        <v>0</v>
      </c>
      <c r="K5" s="729" t="s">
        <v>1821</v>
      </c>
      <c r="L5" s="730"/>
      <c r="M5" s="731"/>
    </row>
    <row r="6" spans="1:33" ht="18" customHeight="1">
      <c r="A6" s="732" t="s">
        <v>853</v>
      </c>
      <c r="B6" s="3393" t="s">
        <v>1822</v>
      </c>
      <c r="C6" s="733">
        <f ca="1">ROUND(F6*F8*F7*(1-F9)/10000,0)</f>
        <v>276</v>
      </c>
      <c r="D6" s="734" t="s">
        <v>2138</v>
      </c>
      <c r="E6" s="735" t="s">
        <v>1824</v>
      </c>
      <c r="F6" s="736">
        <f ca="1">INDIRECT("'数据-取费表'!u"&amp;$G$1)</f>
        <v>550</v>
      </c>
      <c r="G6" s="725"/>
      <c r="H6" s="737" t="s">
        <v>853</v>
      </c>
      <c r="I6" s="3393" t="s">
        <v>1822</v>
      </c>
      <c r="J6" s="733">
        <f ca="1">ROUND(M6*M8*M7*(1-M9)/10000,0)</f>
        <v>0</v>
      </c>
      <c r="K6" s="806" t="s">
        <v>2139</v>
      </c>
      <c r="L6" s="735" t="s">
        <v>1824</v>
      </c>
      <c r="M6" s="736">
        <f ca="1">INDIRECT("'数据-取费表'!z"&amp;$G$1)</f>
        <v>0</v>
      </c>
    </row>
    <row r="7" spans="1:33" ht="18" customHeight="1">
      <c r="A7" s="738"/>
      <c r="B7" s="3394"/>
      <c r="C7" s="739"/>
      <c r="D7" s="740"/>
      <c r="E7" s="735" t="s">
        <v>1825</v>
      </c>
      <c r="F7" s="736">
        <f ca="1">IF(INDIRECT("'数据-取费表'!ah"&amp;$G$1)="",INDIRECT("'数据-取费表'!k"&amp;$G$1),INDIRECT("'数据-取费表'!ah"&amp;$G$1))</f>
        <v>464</v>
      </c>
      <c r="G7" s="725"/>
      <c r="H7" s="741"/>
      <c r="I7" s="3394"/>
      <c r="J7" s="739"/>
      <c r="K7" s="740"/>
      <c r="L7" s="735" t="s">
        <v>1825</v>
      </c>
      <c r="M7" s="736">
        <f ca="1">F7</f>
        <v>464</v>
      </c>
    </row>
    <row r="8" spans="1:33" ht="18" customHeight="1">
      <c r="A8" s="742"/>
      <c r="B8" s="3395"/>
      <c r="C8" s="739"/>
      <c r="D8" s="740"/>
      <c r="E8" s="735" t="s">
        <v>1826</v>
      </c>
      <c r="F8" s="736">
        <f ca="1">INDIRECT("'数据-取费表'!ai"&amp;$G$1)</f>
        <v>12</v>
      </c>
      <c r="G8" s="725"/>
      <c r="H8" s="741"/>
      <c r="I8" s="3395"/>
      <c r="J8" s="739"/>
      <c r="K8" s="740"/>
      <c r="L8" s="735" t="s">
        <v>1826</v>
      </c>
      <c r="M8" s="736">
        <f ca="1">INDIRECT("'数据-取费表'!ai"&amp;$G$1)</f>
        <v>12</v>
      </c>
    </row>
    <row r="9" spans="1:33" ht="18" customHeight="1">
      <c r="A9" s="743"/>
      <c r="B9" s="3396"/>
      <c r="C9" s="739"/>
      <c r="D9" s="740"/>
      <c r="E9" s="735" t="s">
        <v>1827</v>
      </c>
      <c r="F9" s="744">
        <f ca="1">INDIRECT("'数据-取费表'!w"&amp;$G$1)</f>
        <v>0.1</v>
      </c>
      <c r="G9" s="725"/>
      <c r="H9" s="745"/>
      <c r="I9" s="3395"/>
      <c r="J9" s="739"/>
      <c r="K9" s="740"/>
      <c r="L9" s="788" t="s">
        <v>1827</v>
      </c>
      <c r="M9" s="754">
        <f ca="1">INDIRECT("'数据-取费表'!ab"&amp;$G$1)</f>
        <v>0</v>
      </c>
    </row>
    <row r="10" spans="1:33" ht="18" customHeight="1">
      <c r="A10" s="732" t="s">
        <v>855</v>
      </c>
      <c r="B10" s="746" t="s">
        <v>1828</v>
      </c>
      <c r="C10" s="120">
        <f ca="1">ROUND(IF(F10="押一",C6/12*F11,IF(F10="押二",C6/12*2*F11,IF(F10="押三",C6/12*3*F11,C11*F11))),0)</f>
        <v>0</v>
      </c>
      <c r="D10" s="747" t="s">
        <v>1829</v>
      </c>
      <c r="E10" s="748" t="s">
        <v>1830</v>
      </c>
      <c r="F10" s="3446" t="s">
        <v>2338</v>
      </c>
      <c r="G10" s="725"/>
      <c r="H10" s="750" t="s">
        <v>855</v>
      </c>
      <c r="I10" s="857" t="s">
        <v>1828</v>
      </c>
      <c r="J10" s="733">
        <f ca="1">ROUND(IF(M10="押一",J6/12*M11,IF(M10="押二",J6/12*2*M11,IF(M10="押三",J6/12*3*M11,J11*M11))),0)</f>
        <v>0</v>
      </c>
      <c r="K10" s="747" t="s">
        <v>1829</v>
      </c>
      <c r="L10" s="748" t="s">
        <v>1830</v>
      </c>
      <c r="M10" s="749"/>
    </row>
    <row r="11" spans="1:33" ht="18" customHeight="1">
      <c r="A11" s="751"/>
      <c r="B11" s="752" t="s">
        <v>1831</v>
      </c>
      <c r="C11" s="753"/>
      <c r="D11" s="740"/>
      <c r="E11" s="748" t="s">
        <v>635</v>
      </c>
      <c r="F11" s="754">
        <f ca="1">'数据-取费表'!B39</f>
        <v>1.4999999999999999E-2</v>
      </c>
      <c r="G11" s="725"/>
      <c r="H11" s="755"/>
      <c r="I11" s="752" t="s">
        <v>1831</v>
      </c>
      <c r="J11" s="753"/>
      <c r="K11" s="858"/>
      <c r="L11" s="748" t="s">
        <v>635</v>
      </c>
      <c r="M11" s="859">
        <f ca="1">'数据-取费表'!B39</f>
        <v>1.4999999999999999E-2</v>
      </c>
    </row>
    <row r="12" spans="1:33" ht="18" customHeight="1">
      <c r="A12" s="756" t="s">
        <v>1013</v>
      </c>
      <c r="B12" s="757" t="s">
        <v>1832</v>
      </c>
      <c r="C12" s="758"/>
      <c r="D12" s="759"/>
      <c r="E12" s="760"/>
      <c r="F12" s="761"/>
      <c r="G12" s="725"/>
      <c r="H12" s="762" t="s">
        <v>1013</v>
      </c>
      <c r="I12" s="860" t="s">
        <v>1832</v>
      </c>
      <c r="J12" s="861"/>
      <c r="K12" s="759"/>
      <c r="L12" s="760"/>
      <c r="M12" s="862"/>
    </row>
    <row r="13" spans="1:33" ht="18" customHeight="1">
      <c r="A13" s="763">
        <v>2</v>
      </c>
      <c r="B13" s="764" t="s">
        <v>1836</v>
      </c>
      <c r="C13" s="765">
        <f ca="1">ROUND(C29*F13,0)</f>
        <v>5605</v>
      </c>
      <c r="D13" s="766" t="s">
        <v>2140</v>
      </c>
      <c r="E13" s="766" t="s">
        <v>1835</v>
      </c>
      <c r="F13" s="767">
        <f ca="1">INDIRECT("'数据-取费表'!y"&amp;$G$1)</f>
        <v>1</v>
      </c>
      <c r="G13" s="725"/>
      <c r="H13" s="763">
        <v>2</v>
      </c>
      <c r="I13" s="764" t="s">
        <v>1836</v>
      </c>
      <c r="J13" s="863">
        <f ca="1">ROUND(J14*J15,0)</f>
        <v>0</v>
      </c>
      <c r="K13" s="797" t="s">
        <v>1834</v>
      </c>
      <c r="L13" s="864"/>
      <c r="M13" s="865"/>
    </row>
    <row r="14" spans="1:33" ht="18" customHeight="1">
      <c r="A14" s="768" t="s">
        <v>877</v>
      </c>
      <c r="B14" s="735" t="s">
        <v>1020</v>
      </c>
      <c r="C14" s="769">
        <f ca="1">INDIRECT("'数据-取费表'!m"&amp;$G$1)+INDIRECT("'数据-取费表'!t"&amp;$G$1)</f>
        <v>4003</v>
      </c>
      <c r="D14" s="770" t="s">
        <v>1837</v>
      </c>
      <c r="E14" s="771"/>
      <c r="F14" s="772"/>
      <c r="G14" s="725"/>
      <c r="H14" s="773" t="s">
        <v>853</v>
      </c>
      <c r="I14" s="849" t="s">
        <v>1838</v>
      </c>
      <c r="J14" s="121">
        <f ca="1">C29</f>
        <v>5605</v>
      </c>
      <c r="K14" s="850"/>
      <c r="L14" s="866"/>
      <c r="M14" s="867"/>
    </row>
    <row r="15" spans="1:33" s="701" customFormat="1" ht="18" customHeight="1">
      <c r="A15" s="768" t="s">
        <v>882</v>
      </c>
      <c r="B15" s="735" t="s">
        <v>1022</v>
      </c>
      <c r="C15" s="121">
        <f ca="1">ROUND(C14*F15,0)</f>
        <v>120</v>
      </c>
      <c r="D15" s="774" t="s">
        <v>1839</v>
      </c>
      <c r="E15" s="774" t="s">
        <v>1840</v>
      </c>
      <c r="F15" s="775">
        <f>'数据-取费表'!B33</f>
        <v>0.03</v>
      </c>
      <c r="G15" s="776"/>
      <c r="H15" s="762" t="s">
        <v>855</v>
      </c>
      <c r="I15" s="794" t="s">
        <v>1835</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1025</v>
      </c>
      <c r="C16" s="121">
        <f ca="1">ROUND(INDIRECT("'数据-取费表'!m"&amp;$G$1)*F16,0)</f>
        <v>0</v>
      </c>
      <c r="D16" s="735" t="s">
        <v>1839</v>
      </c>
      <c r="E16" s="735" t="s">
        <v>1840</v>
      </c>
      <c r="F16" s="777">
        <f ca="1">IF(INDIRECT("'数据-取费表'!c"&amp;$G$1)="住宅",'数据-取费表'!B34,0)</f>
        <v>0</v>
      </c>
      <c r="G16" s="725"/>
      <c r="H16" s="763" t="s">
        <v>1900</v>
      </c>
      <c r="I16" s="764" t="s">
        <v>1841</v>
      </c>
      <c r="J16" s="765">
        <f ca="1">ROUND(J17+J22+J23+J24,0)</f>
        <v>567</v>
      </c>
      <c r="K16" s="797" t="s">
        <v>1842</v>
      </c>
      <c r="L16" s="798"/>
      <c r="M16" s="731"/>
    </row>
    <row r="17" spans="1:33" s="701" customFormat="1" ht="18" customHeight="1">
      <c r="A17" s="768" t="s">
        <v>2141</v>
      </c>
      <c r="B17" s="735" t="s">
        <v>1843</v>
      </c>
      <c r="C17" s="121">
        <f ca="1">ROUND(F17*(F43+INDIRECT("'数据-取费表'!S"&amp;$G$1))/10000,0)</f>
        <v>500</v>
      </c>
      <c r="D17" s="735" t="s">
        <v>1844</v>
      </c>
      <c r="E17" s="735" t="s">
        <v>1845</v>
      </c>
      <c r="F17" s="778">
        <f>'数据-取费表'!B35</f>
        <v>200</v>
      </c>
      <c r="G17" s="776"/>
      <c r="H17" s="773" t="s">
        <v>853</v>
      </c>
      <c r="I17" s="735" t="s">
        <v>1846</v>
      </c>
      <c r="J17" s="121">
        <f ca="1">ROUND(IF(项目基本情况!B11="自然人",J5*M17,J18+J19+J20),0)</f>
        <v>483</v>
      </c>
      <c r="K17" s="770" t="s">
        <v>1847</v>
      </c>
      <c r="L17" s="801" t="s">
        <v>1848</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2142</v>
      </c>
      <c r="B18" s="735" t="s">
        <v>1030</v>
      </c>
      <c r="C18" s="121">
        <f ca="1">ROUND(C14*F18,0)</f>
        <v>60</v>
      </c>
      <c r="D18" s="735" t="s">
        <v>1839</v>
      </c>
      <c r="E18" s="735" t="s">
        <v>1840</v>
      </c>
      <c r="F18" s="777">
        <f>'数据-取费表'!B36</f>
        <v>1.4999999999999999E-2</v>
      </c>
      <c r="G18" s="776"/>
      <c r="H18" s="768" t="s">
        <v>877</v>
      </c>
      <c r="I18" s="735" t="s">
        <v>1849</v>
      </c>
      <c r="J18" s="121">
        <f ca="1">ROUND(J5*M18/1.05,1)</f>
        <v>0</v>
      </c>
      <c r="K18" s="801" t="s">
        <v>1850</v>
      </c>
      <c r="L18" s="735" t="s">
        <v>1840</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1851</v>
      </c>
      <c r="C19" s="121">
        <f ca="1">SUM(C14:C18)</f>
        <v>4683</v>
      </c>
      <c r="D19" s="779" t="s">
        <v>1852</v>
      </c>
      <c r="E19" s="123"/>
      <c r="F19" s="778"/>
      <c r="G19" s="725"/>
      <c r="H19" s="768" t="s">
        <v>882</v>
      </c>
      <c r="I19" s="735" t="s">
        <v>1853</v>
      </c>
      <c r="J19" s="121">
        <f ca="1">IF(K19="按租金收入计税",ROUND(J5*M19,1),ROUND(C29*F33*0.7,1))</f>
        <v>470.8</v>
      </c>
      <c r="K19" s="804" t="s">
        <v>1854</v>
      </c>
      <c r="L19" s="735" t="s">
        <v>1840</v>
      </c>
      <c r="M19" s="777">
        <f>IF(K19="按租金收入计税",'数据-取费表'!B51,'数据-取费表'!B50)</f>
        <v>1.2E-2</v>
      </c>
    </row>
    <row r="20" spans="1:33" s="701" customFormat="1" ht="18" customHeight="1">
      <c r="A20" s="773" t="s">
        <v>855</v>
      </c>
      <c r="B20" s="735" t="s">
        <v>1856</v>
      </c>
      <c r="C20" s="121">
        <f ca="1">ROUND(C19*F20,0)</f>
        <v>94</v>
      </c>
      <c r="D20" s="780" t="s">
        <v>1857</v>
      </c>
      <c r="E20" s="735" t="s">
        <v>1840</v>
      </c>
      <c r="F20" s="777">
        <f>'数据-取费表'!B37</f>
        <v>0.02</v>
      </c>
      <c r="G20" s="776"/>
      <c r="H20" s="781" t="s">
        <v>885</v>
      </c>
      <c r="I20" s="806" t="s">
        <v>1858</v>
      </c>
      <c r="J20" s="807">
        <f ca="1">ROUND(M20*M21/10000,0)</f>
        <v>12</v>
      </c>
      <c r="K20" s="808" t="s">
        <v>1859</v>
      </c>
      <c r="L20" s="735" t="s">
        <v>1860</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1013</v>
      </c>
      <c r="B21" s="735" t="s">
        <v>1862</v>
      </c>
      <c r="C21" s="121" t="s">
        <v>138</v>
      </c>
      <c r="D21" s="780" t="s">
        <v>2143</v>
      </c>
      <c r="E21" s="735" t="s">
        <v>1864</v>
      </c>
      <c r="F21" s="777">
        <f>'数据-取费表'!B38</f>
        <v>0.01</v>
      </c>
      <c r="G21" s="776"/>
      <c r="H21" s="782"/>
      <c r="I21" s="810"/>
      <c r="J21" s="811"/>
      <c r="K21" s="812"/>
      <c r="L21" s="735" t="s">
        <v>1865</v>
      </c>
      <c r="M21" s="736">
        <f ca="1">INDIRECT("'数据-取费表'!r"&amp;$G$1)</f>
        <v>14643.53</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2144</v>
      </c>
      <c r="B22" s="735" t="s">
        <v>1867</v>
      </c>
      <c r="C22" s="121"/>
      <c r="D22" s="783" t="str">
        <f>IF(F23&lt;=1,"单利计息。","复利计息。")&amp;"建造成本、管理费用、销售费用产生的利息。"</f>
        <v>复利计息。建造成本、管理费用、销售费用产生的利息。</v>
      </c>
      <c r="E22" s="123"/>
      <c r="F22" s="778"/>
      <c r="G22" s="725"/>
      <c r="H22" s="773" t="s">
        <v>855</v>
      </c>
      <c r="I22" s="735" t="s">
        <v>1868</v>
      </c>
      <c r="J22" s="121">
        <f ca="1">ROUND(J14*M22,0)</f>
        <v>84</v>
      </c>
      <c r="K22" s="801" t="s">
        <v>1869</v>
      </c>
      <c r="L22" s="735" t="s">
        <v>1840</v>
      </c>
      <c r="M22" s="813">
        <f ca="1">INDIRECT("'数据-取费表'!Ak"&amp;$G$1)</f>
        <v>1.4999999999999999E-2</v>
      </c>
    </row>
    <row r="23" spans="1:33" s="701" customFormat="1" ht="18" customHeight="1">
      <c r="A23" s="768" t="s">
        <v>877</v>
      </c>
      <c r="B23" s="735" t="s">
        <v>1870</v>
      </c>
      <c r="C23" s="121">
        <f ca="1">ROUND(IF('数据-取费表'!B22&lt;=1,(C19+C20)*F24*F23/2,(C19+C20)*(POWER((1+F24),F23/2)-1)),0)</f>
        <v>227</v>
      </c>
      <c r="D23" s="784" t="str">
        <f>IF(F23&lt;=1,"(建造成本+管理费用)×利率×(建设周期÷2)","(建造成本+管理费用)×((1+利率)^(建设周期÷2)-1)")</f>
        <v>(建造成本+管理费用)×((1+利率)^(建设周期÷2)-1)</v>
      </c>
      <c r="E23" s="735" t="s">
        <v>1871</v>
      </c>
      <c r="F23" s="785">
        <f>'数据-取费表'!B20</f>
        <v>2</v>
      </c>
      <c r="G23" s="776"/>
      <c r="H23" s="773" t="s">
        <v>1013</v>
      </c>
      <c r="I23" s="735" t="s">
        <v>1872</v>
      </c>
      <c r="J23" s="121">
        <f ca="1">ROUND(J13*M23,0)</f>
        <v>0</v>
      </c>
      <c r="K23" s="801" t="s">
        <v>1873</v>
      </c>
      <c r="L23" s="735" t="s">
        <v>1840</v>
      </c>
      <c r="M23" s="814">
        <f ca="1">INDIRECT("'数据-取费表'!Al"&amp;$G$1)</f>
        <v>1.5E-3</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1874</v>
      </c>
      <c r="C24" s="121">
        <f ca="1">ROUND(IF('数据-取费表'!B22&lt;=1,F21*F24*F23/2,F21*(POWER((1+F24),F23/2)-1)),4)</f>
        <v>5.0000000000000001E-4</v>
      </c>
      <c r="D24" s="784" t="str">
        <f>IF(F23&lt;=1,"销售费用×利率×(建设周期÷2)","销售费用×((1+利率)^(建设周期÷2)-1)")</f>
        <v>销售费用×((1+利率)^(建设周期÷2)-1)</v>
      </c>
      <c r="E24" s="735" t="s">
        <v>1875</v>
      </c>
      <c r="F24" s="786">
        <f ca="1">'数据-取费表'!B40</f>
        <v>4.7500000000000001E-2</v>
      </c>
      <c r="G24" s="776"/>
      <c r="H24" s="762" t="s">
        <v>2144</v>
      </c>
      <c r="I24" s="794" t="s">
        <v>1856</v>
      </c>
      <c r="J24" s="792">
        <f ca="1">ROUND(J5*M24,0)</f>
        <v>0</v>
      </c>
      <c r="K24" s="793" t="s">
        <v>1876</v>
      </c>
      <c r="L24" s="794" t="s">
        <v>1840</v>
      </c>
      <c r="M24" s="761">
        <f ca="1">INDIRECT("'数据-取费表'!Am"&amp;$G$1)</f>
        <v>0.01</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1878</v>
      </c>
      <c r="C25" s="121"/>
      <c r="D25" s="779" t="s">
        <v>1879</v>
      </c>
      <c r="E25" s="123"/>
      <c r="F25" s="778"/>
      <c r="G25" s="725"/>
      <c r="H25" s="763" t="s">
        <v>2145</v>
      </c>
      <c r="I25" s="815" t="s">
        <v>1880</v>
      </c>
      <c r="J25" s="765">
        <f ca="1">J5-J16</f>
        <v>-567</v>
      </c>
      <c r="K25" s="816" t="s">
        <v>1881</v>
      </c>
      <c r="L25" s="817"/>
      <c r="M25" s="818"/>
    </row>
    <row r="26" spans="1:33" ht="18" customHeight="1">
      <c r="A26" s="768" t="s">
        <v>877</v>
      </c>
      <c r="B26" s="735" t="s">
        <v>1882</v>
      </c>
      <c r="C26" s="121">
        <f ca="1">ROUND((C19+C20)*F26,0)</f>
        <v>239</v>
      </c>
      <c r="D26" s="780" t="s">
        <v>1883</v>
      </c>
      <c r="E26" s="788" t="s">
        <v>1884</v>
      </c>
      <c r="F26" s="744">
        <f ca="1">INDIRECT("'数据-取费表'!q"&amp;$G$1)</f>
        <v>0.05</v>
      </c>
      <c r="G26" s="725"/>
      <c r="H26" s="789" t="s">
        <v>2146</v>
      </c>
      <c r="I26" s="819" t="s">
        <v>2147</v>
      </c>
      <c r="J26" s="733">
        <f ca="1">IF(J5&lt;&gt;0,ROUND(J25*(1-((1+M28)/(1+M26))^M27)/(M26-M28),0),0)</f>
        <v>0</v>
      </c>
      <c r="K26" s="808" t="s">
        <v>1886</v>
      </c>
      <c r="L26" s="735" t="s">
        <v>2148</v>
      </c>
      <c r="M26" s="744">
        <f ca="1">INDIRECT("'数据-取费表'!I"&amp;$G$1)</f>
        <v>4.4999999999999998E-2</v>
      </c>
    </row>
    <row r="27" spans="1:33" ht="18" customHeight="1">
      <c r="A27" s="768" t="s">
        <v>882</v>
      </c>
      <c r="B27" s="735" t="s">
        <v>1888</v>
      </c>
      <c r="C27" s="121">
        <f ca="1">ROUND(F21*F26,4)</f>
        <v>5.0000000000000001E-4</v>
      </c>
      <c r="D27" s="780" t="s">
        <v>1889</v>
      </c>
      <c r="E27" s="774"/>
      <c r="F27" s="775"/>
      <c r="G27" s="725"/>
      <c r="H27" s="790"/>
      <c r="I27" s="820"/>
      <c r="J27" s="739"/>
      <c r="K27" s="821" t="s">
        <v>1890</v>
      </c>
      <c r="L27" s="735" t="s">
        <v>1891</v>
      </c>
      <c r="M27" s="822">
        <f ca="1">INDIRECT("'数据-取费表'!ag"&amp;$G$1)</f>
        <v>0</v>
      </c>
    </row>
    <row r="28" spans="1:33" s="701" customFormat="1" ht="18" customHeight="1">
      <c r="A28" s="787" t="s">
        <v>911</v>
      </c>
      <c r="B28" s="735" t="s">
        <v>1893</v>
      </c>
      <c r="C28" s="121">
        <f>ROUND(F28/(1+'数据-取费表'!C42),4)</f>
        <v>5.3600000000000002E-2</v>
      </c>
      <c r="D28" s="780" t="s">
        <v>2149</v>
      </c>
      <c r="E28" s="735" t="s">
        <v>1840</v>
      </c>
      <c r="F28" s="777">
        <f>'数据-取费表'!B41</f>
        <v>5.6300000000000003E-2</v>
      </c>
      <c r="G28" s="776"/>
      <c r="H28" s="763"/>
      <c r="I28" s="824"/>
      <c r="J28" s="765"/>
      <c r="K28" s="812"/>
      <c r="L28" s="735" t="s">
        <v>1895</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1088</v>
      </c>
      <c r="B29" s="760" t="s">
        <v>1897</v>
      </c>
      <c r="C29" s="792">
        <f ca="1">ROUND((C19+C20+C23+C26)/(1-F21-C24-C27-C28),0)</f>
        <v>5605</v>
      </c>
      <c r="D29" s="793"/>
      <c r="E29" s="794"/>
      <c r="F29" s="795"/>
      <c r="G29" s="776"/>
      <c r="H29" s="796" t="s">
        <v>2150</v>
      </c>
      <c r="I29" s="825" t="s">
        <v>2151</v>
      </c>
      <c r="J29" s="826">
        <f ca="1">ROUND(J26/(1+F40)^F41,0)</f>
        <v>0</v>
      </c>
      <c r="K29" s="827" t="s">
        <v>1899</v>
      </c>
      <c r="L29" s="828"/>
      <c r="M29" s="829">
        <f ca="1">INDIRECT("'数据-取费表'!k"&amp;$G$1)</f>
        <v>25018.11</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1900</v>
      </c>
      <c r="B30" s="764" t="s">
        <v>1841</v>
      </c>
      <c r="C30" s="765">
        <f ca="1">ROUND(C31+C36+C37+C38,0)</f>
        <v>155</v>
      </c>
      <c r="D30" s="797" t="s">
        <v>1842</v>
      </c>
      <c r="E30" s="798"/>
      <c r="F30" s="731"/>
      <c r="G30" s="799"/>
      <c r="H30" s="800"/>
      <c r="I30" s="873"/>
      <c r="J30" s="874"/>
      <c r="K30" s="875"/>
      <c r="L30" s="876"/>
      <c r="M30" s="877"/>
    </row>
    <row r="31" spans="1:33" ht="18" customHeight="1">
      <c r="A31" s="773" t="s">
        <v>853</v>
      </c>
      <c r="B31" s="735" t="s">
        <v>1846</v>
      </c>
      <c r="C31" s="121">
        <f ca="1">ROUND(IF(项目基本情况!B11="自然人",C5*F31,C32+C33+C34),1)</f>
        <v>59.6</v>
      </c>
      <c r="D31" s="770" t="s">
        <v>1847</v>
      </c>
      <c r="E31" s="801" t="s">
        <v>1848</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1849</v>
      </c>
      <c r="C32" s="121">
        <f ca="1">ROUND(C5*F32/1.05,1)</f>
        <v>14.8</v>
      </c>
      <c r="D32" s="801" t="s">
        <v>1850</v>
      </c>
      <c r="E32" s="735" t="s">
        <v>1840</v>
      </c>
      <c r="F32" s="777">
        <f>'数据-取费表'!B41</f>
        <v>5.6300000000000003E-2</v>
      </c>
      <c r="G32" s="799"/>
      <c r="H32" s="803"/>
      <c r="I32" s="878"/>
      <c r="J32" s="879"/>
      <c r="K32" s="880"/>
      <c r="L32" s="881"/>
      <c r="M32" s="882"/>
    </row>
    <row r="33" spans="1:18" ht="18" customHeight="1">
      <c r="A33" s="768" t="s">
        <v>882</v>
      </c>
      <c r="B33" s="735" t="s">
        <v>1853</v>
      </c>
      <c r="C33" s="121">
        <f ca="1">IF(D33="按租金收入计税",ROUND(C5*F33,1),IF(D33="按房产原值计税",ROUND(C29*F33*0.7,1),INDIRECT("'数据-取费表'!Aj"&amp;$G$1)))</f>
        <v>33.1</v>
      </c>
      <c r="D33" s="804" t="s">
        <v>2174</v>
      </c>
      <c r="E33" s="735" t="s">
        <v>1840</v>
      </c>
      <c r="F33" s="777">
        <f>IF(D33="按租金收入计税",'数据-取费表'!B51,'数据-取费表'!B50)</f>
        <v>0.12</v>
      </c>
      <c r="G33" s="799"/>
      <c r="H33" s="805"/>
      <c r="I33" s="805"/>
      <c r="J33" s="805"/>
      <c r="K33" s="883"/>
      <c r="L33" s="805"/>
      <c r="M33" s="805"/>
    </row>
    <row r="34" spans="1:18" ht="18" customHeight="1">
      <c r="A34" s="781" t="s">
        <v>885</v>
      </c>
      <c r="B34" s="806" t="s">
        <v>1858</v>
      </c>
      <c r="C34" s="807">
        <f ca="1">ROUND(F34*F35/10000,1)</f>
        <v>11.7</v>
      </c>
      <c r="D34" s="808" t="s">
        <v>1859</v>
      </c>
      <c r="E34" s="735" t="s">
        <v>1860</v>
      </c>
      <c r="F34" s="785">
        <f>'数据-取费表'!B52</f>
        <v>8</v>
      </c>
      <c r="G34" s="799"/>
      <c r="H34" s="800"/>
      <c r="I34" s="884" t="s">
        <v>2152</v>
      </c>
      <c r="J34" s="885"/>
      <c r="K34" s="886"/>
      <c r="L34" s="887"/>
      <c r="M34" s="887"/>
    </row>
    <row r="35" spans="1:18" ht="18" customHeight="1">
      <c r="A35" s="809"/>
      <c r="B35" s="810"/>
      <c r="C35" s="811"/>
      <c r="D35" s="812"/>
      <c r="E35" s="735" t="s">
        <v>1865</v>
      </c>
      <c r="F35" s="736">
        <f ca="1">INDIRECT("'数据-取费表'!r"&amp;$G$1)</f>
        <v>14643.53</v>
      </c>
      <c r="G35" s="799"/>
      <c r="H35" s="800"/>
      <c r="I35" s="888" t="s">
        <v>2153</v>
      </c>
      <c r="J35" s="889">
        <f ca="1">ROUND(C13*J36,0)</f>
        <v>448</v>
      </c>
      <c r="K35" s="883"/>
      <c r="L35" s="805"/>
      <c r="M35" s="805"/>
    </row>
    <row r="36" spans="1:18" ht="18" customHeight="1">
      <c r="A36" s="773" t="s">
        <v>855</v>
      </c>
      <c r="B36" s="735" t="s">
        <v>1868</v>
      </c>
      <c r="C36" s="121">
        <f ca="1">ROUND(C29*F36,1)</f>
        <v>84.1</v>
      </c>
      <c r="D36" s="801" t="s">
        <v>1903</v>
      </c>
      <c r="E36" s="735" t="s">
        <v>1840</v>
      </c>
      <c r="F36" s="813">
        <f ca="1">INDIRECT("'数据-取费表'!Ak"&amp;$G$1)</f>
        <v>1.4999999999999999E-2</v>
      </c>
      <c r="G36" s="799"/>
      <c r="H36" s="805"/>
      <c r="I36" s="890" t="s">
        <v>2154</v>
      </c>
      <c r="J36" s="891">
        <f ca="1">INDIRECT("'数据-取费表'!j"&amp;$G$1)</f>
        <v>0.08</v>
      </c>
      <c r="K36" s="892"/>
      <c r="L36" s="805"/>
      <c r="M36" s="805"/>
    </row>
    <row r="37" spans="1:18" ht="18" customHeight="1">
      <c r="A37" s="773" t="s">
        <v>1013</v>
      </c>
      <c r="B37" s="735" t="s">
        <v>1872</v>
      </c>
      <c r="C37" s="121">
        <f ca="1">ROUND(C13*F37,1)</f>
        <v>8.4</v>
      </c>
      <c r="D37" s="801" t="s">
        <v>1873</v>
      </c>
      <c r="E37" s="735" t="s">
        <v>1840</v>
      </c>
      <c r="F37" s="814">
        <f ca="1">INDIRECT("'数据-取费表'!Al"&amp;$G$1)</f>
        <v>1.5E-3</v>
      </c>
      <c r="G37" s="799"/>
      <c r="H37" s="805"/>
      <c r="I37" s="893" t="s">
        <v>2155</v>
      </c>
      <c r="J37" s="894"/>
      <c r="K37" s="892"/>
      <c r="L37" s="805"/>
      <c r="M37" s="805"/>
    </row>
    <row r="38" spans="1:18" ht="18" customHeight="1">
      <c r="A38" s="762" t="s">
        <v>2144</v>
      </c>
      <c r="B38" s="794" t="s">
        <v>1856</v>
      </c>
      <c r="C38" s="792">
        <f ca="1">ROUND(C5*F38,1)</f>
        <v>2.8</v>
      </c>
      <c r="D38" s="793" t="s">
        <v>1876</v>
      </c>
      <c r="E38" s="794" t="s">
        <v>1840</v>
      </c>
      <c r="F38" s="761">
        <f ca="1">INDIRECT("'数据-取费表'!Am"&amp;$G$1)</f>
        <v>0.01</v>
      </c>
      <c r="G38" s="799"/>
      <c r="H38" s="805"/>
      <c r="I38" s="895" t="s">
        <v>2156</v>
      </c>
      <c r="J38" s="896"/>
      <c r="K38" s="897"/>
      <c r="L38" s="805"/>
      <c r="M38" s="805"/>
    </row>
    <row r="39" spans="1:18" ht="24.6" customHeight="1">
      <c r="A39" s="763" t="s">
        <v>2145</v>
      </c>
      <c r="B39" s="815" t="s">
        <v>1880</v>
      </c>
      <c r="C39" s="765">
        <f ca="1">C5-C30</f>
        <v>121</v>
      </c>
      <c r="D39" s="816" t="s">
        <v>1881</v>
      </c>
      <c r="E39" s="817"/>
      <c r="F39" s="818"/>
      <c r="G39" s="799"/>
      <c r="H39" s="805"/>
      <c r="I39" s="888" t="s">
        <v>2157</v>
      </c>
      <c r="J39" s="898">
        <f ca="1">ROUND(J35/C39,3)</f>
        <v>3.702</v>
      </c>
      <c r="K39" s="897"/>
      <c r="L39" s="805"/>
      <c r="M39" s="805"/>
    </row>
    <row r="40" spans="1:18" ht="18" customHeight="1">
      <c r="A40" s="726" t="s">
        <v>2146</v>
      </c>
      <c r="B40" s="819" t="s">
        <v>2158</v>
      </c>
      <c r="C40" s="733">
        <f ca="1">ROUND(C39*(1-((1+F42)/(1+F40))^F41)/(F40-F42),0)</f>
        <v>3636</v>
      </c>
      <c r="D40" s="808" t="s">
        <v>1886</v>
      </c>
      <c r="E40" s="735" t="s">
        <v>2148</v>
      </c>
      <c r="F40" s="744">
        <f ca="1">INDIRECT("'数据-取费表'!I"&amp;$G$1)</f>
        <v>4.4999999999999998E-2</v>
      </c>
      <c r="G40" s="799"/>
      <c r="H40" s="799"/>
      <c r="I40" s="888" t="s">
        <v>2159</v>
      </c>
      <c r="J40" s="898">
        <f ca="1">1-J39</f>
        <v>-2.702</v>
      </c>
      <c r="K40" s="897"/>
      <c r="L40" s="799"/>
      <c r="M40" s="799"/>
    </row>
    <row r="41" spans="1:18" ht="18" customHeight="1">
      <c r="A41" s="743"/>
      <c r="B41" s="820"/>
      <c r="C41" s="739"/>
      <c r="D41" s="821" t="s">
        <v>1890</v>
      </c>
      <c r="E41" s="735" t="s">
        <v>1891</v>
      </c>
      <c r="F41" s="822">
        <f ca="1">IF(INDIRECT("'数据-取费表'!af"&amp;$G$1)=0,INDIRECT("'数据-取费表'!ae"&amp;$G$1),INDIRECT("'数据-取费表'!af"&amp;$G$1))</f>
        <v>47.55</v>
      </c>
      <c r="G41" s="799"/>
      <c r="H41" s="823"/>
      <c r="I41" s="895" t="s">
        <v>2160</v>
      </c>
      <c r="J41" s="899"/>
      <c r="K41" s="892"/>
      <c r="L41" s="823"/>
      <c r="M41" s="823"/>
    </row>
    <row r="42" spans="1:18" ht="18" customHeight="1">
      <c r="A42" s="751"/>
      <c r="B42" s="824"/>
      <c r="C42" s="765"/>
      <c r="D42" s="812"/>
      <c r="E42" s="735" t="s">
        <v>1895</v>
      </c>
      <c r="F42" s="744">
        <f ca="1">INDIRECT("'数据-取费表'!v"&amp;$G$1)</f>
        <v>2.5000000000000001E-2</v>
      </c>
      <c r="G42" s="799"/>
      <c r="H42" s="823"/>
      <c r="I42" s="900" t="s">
        <v>2161</v>
      </c>
      <c r="J42" s="898">
        <f ca="1">ROUND(C13/C40,3)</f>
        <v>1.542</v>
      </c>
      <c r="K42" s="892"/>
      <c r="L42" s="823"/>
      <c r="M42" s="823"/>
    </row>
    <row r="43" spans="1:18" ht="18" customHeight="1">
      <c r="A43" s="796" t="s">
        <v>2150</v>
      </c>
      <c r="B43" s="825" t="s">
        <v>2162</v>
      </c>
      <c r="C43" s="826">
        <f ca="1">ROUND(C40*10000/F43,0)</f>
        <v>1453</v>
      </c>
      <c r="D43" s="827" t="s">
        <v>2163</v>
      </c>
      <c r="E43" s="828" t="s">
        <v>2164</v>
      </c>
      <c r="F43" s="829">
        <f ca="1">INDIRECT("'数据-取费表'!k"&amp;$G$1)</f>
        <v>25018.11</v>
      </c>
      <c r="G43" s="799"/>
      <c r="H43" s="823"/>
      <c r="I43" s="900" t="s">
        <v>2165</v>
      </c>
      <c r="J43" s="901">
        <f ca="1">1-J42</f>
        <v>-0.54200000000000004</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2166</v>
      </c>
      <c r="B46" s="830"/>
      <c r="C46" s="833">
        <f ca="1">C67-C40</f>
        <v>-5662</v>
      </c>
      <c r="D46" s="830"/>
      <c r="E46" s="830"/>
      <c r="F46" s="830"/>
      <c r="I46" s="903" t="s">
        <v>1916</v>
      </c>
      <c r="J46" s="904"/>
      <c r="K46" s="905"/>
      <c r="L46" s="906">
        <f>IF(OR(M47="住宅",D1="土地（套用方法）"),0,IF(L48&gt;J51,L60,J60))</f>
        <v>0</v>
      </c>
      <c r="O46" s="907" t="s">
        <v>1917</v>
      </c>
      <c r="P46" s="725"/>
      <c r="Q46" s="912"/>
      <c r="R46" s="725"/>
    </row>
    <row r="47" spans="1:18" s="609" customFormat="1" ht="18" customHeight="1">
      <c r="A47" s="834">
        <v>1</v>
      </c>
      <c r="B47" s="835" t="s">
        <v>2167</v>
      </c>
      <c r="C47" s="833">
        <f ca="1">C48+C52+C54</f>
        <v>0</v>
      </c>
      <c r="D47" s="830"/>
      <c r="E47" s="830"/>
      <c r="F47" s="830"/>
      <c r="I47" s="908" t="s">
        <v>1918</v>
      </c>
      <c r="J47" s="909" t="s">
        <v>1978</v>
      </c>
      <c r="K47" s="910" t="s">
        <v>1919</v>
      </c>
      <c r="L47" s="911">
        <f ca="1">INDIRECT("'数据-取费表'!d"&amp;$G$1)</f>
        <v>50</v>
      </c>
      <c r="M47" s="912" t="str">
        <f>IF(ISNUMBER(FIND("住宅",C1)),"住宅","非住宅")</f>
        <v>非住宅</v>
      </c>
      <c r="O47" s="913" t="s">
        <v>1322</v>
      </c>
      <c r="P47" s="914" t="s">
        <v>1920</v>
      </c>
      <c r="Q47" s="952" t="s">
        <v>1921</v>
      </c>
      <c r="R47" s="914" t="s">
        <v>1922</v>
      </c>
    </row>
    <row r="48" spans="1:18" s="609" customFormat="1" ht="18" customHeight="1">
      <c r="A48" s="836" t="s">
        <v>1126</v>
      </c>
      <c r="B48" s="837" t="s">
        <v>2168</v>
      </c>
      <c r="C48" s="838">
        <f ca="1">ROUND(F48*F50*F49*(1-F51)/10000,0)</f>
        <v>0</v>
      </c>
      <c r="D48" s="839" t="s">
        <v>2139</v>
      </c>
      <c r="E48" s="840" t="s">
        <v>2169</v>
      </c>
      <c r="F48" s="841"/>
      <c r="G48" s="842"/>
      <c r="I48" s="915" t="s">
        <v>1923</v>
      </c>
      <c r="J48" s="916" t="s">
        <v>1973</v>
      </c>
      <c r="K48" s="917" t="s">
        <v>1924</v>
      </c>
      <c r="L48" s="918">
        <f ca="1">INDIRECT("'数据-取费表'!f"&amp;$G$1)</f>
        <v>49.55</v>
      </c>
      <c r="O48" s="919" t="s">
        <v>1925</v>
      </c>
      <c r="P48" s="920" t="s">
        <v>1926</v>
      </c>
      <c r="Q48" s="953">
        <f ca="1">C40+J29</f>
        <v>3636</v>
      </c>
      <c r="R48" s="920" t="s">
        <v>1927</v>
      </c>
    </row>
    <row r="49" spans="1:18" s="609" customFormat="1" ht="18" customHeight="1">
      <c r="A49" s="743"/>
      <c r="B49" s="820"/>
      <c r="C49" s="739"/>
      <c r="D49" s="740"/>
      <c r="E49" s="735" t="s">
        <v>1825</v>
      </c>
      <c r="F49" s="736">
        <f ca="1">F7</f>
        <v>464</v>
      </c>
      <c r="G49" s="842"/>
      <c r="H49" s="843"/>
      <c r="I49" s="915" t="s">
        <v>1928</v>
      </c>
      <c r="J49" s="921"/>
      <c r="K49" s="922" t="s">
        <v>1929</v>
      </c>
      <c r="L49" s="923"/>
      <c r="O49" s="919" t="s">
        <v>1930</v>
      </c>
      <c r="P49" s="920" t="s">
        <v>1931</v>
      </c>
      <c r="Q49" s="953">
        <f ca="1">J60</f>
        <v>2242</v>
      </c>
      <c r="R49" s="920" t="s">
        <v>1932</v>
      </c>
    </row>
    <row r="50" spans="1:18" s="609" customFormat="1" ht="18" customHeight="1">
      <c r="A50" s="743"/>
      <c r="B50" s="820"/>
      <c r="C50" s="739"/>
      <c r="D50" s="740"/>
      <c r="E50" s="735" t="s">
        <v>1826</v>
      </c>
      <c r="F50" s="736">
        <f ca="1">F8</f>
        <v>12</v>
      </c>
      <c r="G50" s="844"/>
      <c r="H50" s="843"/>
      <c r="I50" s="915" t="s">
        <v>1933</v>
      </c>
      <c r="J50" s="924">
        <f>SUMPRODUCT((I63:I65=J47)*(J62:L62=J48)*(J63:L65))</f>
        <v>60</v>
      </c>
      <c r="K50" s="922" t="s">
        <v>1934</v>
      </c>
      <c r="L50" s="923"/>
      <c r="O50" s="925" t="s">
        <v>1935</v>
      </c>
      <c r="P50" s="920" t="s">
        <v>1936</v>
      </c>
      <c r="Q50" s="953">
        <f ca="1">C29</f>
        <v>5605</v>
      </c>
      <c r="R50" s="920" t="s">
        <v>1927</v>
      </c>
    </row>
    <row r="51" spans="1:18" s="609" customFormat="1" ht="18" customHeight="1">
      <c r="A51" s="743"/>
      <c r="B51" s="820"/>
      <c r="C51" s="739"/>
      <c r="D51" s="740"/>
      <c r="E51" s="735" t="s">
        <v>1827</v>
      </c>
      <c r="F51" s="845"/>
      <c r="H51" s="843"/>
      <c r="I51" s="926" t="s">
        <v>1937</v>
      </c>
      <c r="J51" s="927">
        <f>IF(J49="",J50,J49+J50-YEAR('数据-取费表'!B2))</f>
        <v>60</v>
      </c>
      <c r="K51" s="915" t="s">
        <v>1938</v>
      </c>
      <c r="L51" s="928">
        <f ca="1">ROUND(-PV(INDIRECT("'数据-取费表'!h"&amp;$G$1),L48,(C39-C13*J36),0),0)</f>
        <v>-7013</v>
      </c>
      <c r="O51" s="925" t="s">
        <v>1939</v>
      </c>
      <c r="P51" s="920" t="s">
        <v>1940</v>
      </c>
      <c r="Q51" s="954">
        <f ca="1">J58</f>
        <v>0.4</v>
      </c>
      <c r="R51" s="955"/>
    </row>
    <row r="52" spans="1:18" s="609" customFormat="1" ht="18" customHeight="1">
      <c r="A52" s="726" t="s">
        <v>2170</v>
      </c>
      <c r="B52" s="746" t="s">
        <v>1828</v>
      </c>
      <c r="C52" s="120">
        <f ca="1">ROUND(IF(F52="押一",C48/12*F11,IF(F52="押二",C48/12*2*F11,IF(F52="押三",C48/12*3*F11,C53*F11))),0)</f>
        <v>0</v>
      </c>
      <c r="D52" s="747" t="s">
        <v>1829</v>
      </c>
      <c r="E52" s="748" t="s">
        <v>1830</v>
      </c>
      <c r="F52" s="749"/>
      <c r="I52" s="929" t="s">
        <v>1941</v>
      </c>
      <c r="J52" s="930"/>
      <c r="K52" s="929" t="s">
        <v>1185</v>
      </c>
      <c r="L52" s="930"/>
      <c r="O52" s="925" t="s">
        <v>1942</v>
      </c>
      <c r="P52" s="920" t="s">
        <v>1943</v>
      </c>
      <c r="Q52" s="954">
        <f>J52</f>
        <v>0</v>
      </c>
      <c r="R52" s="955"/>
    </row>
    <row r="53" spans="1:18" s="609" customFormat="1" ht="39.75" customHeight="1">
      <c r="A53" s="743"/>
      <c r="B53" s="752" t="s">
        <v>1831</v>
      </c>
      <c r="C53" s="753"/>
      <c r="D53" s="747"/>
      <c r="E53" s="748"/>
      <c r="F53" s="846"/>
      <c r="I53" s="931" t="s">
        <v>1944</v>
      </c>
      <c r="J53" s="932">
        <f ca="1">IF(M47="住宅",IF(D1="——",MAX(J51,L48),MAX(J51,L48-'数据-取费表'!B20)),IF(D1="——",MIN(J51,L48),MIN(J51,L48-'数据-取费表'!B20)))</f>
        <v>47.55</v>
      </c>
      <c r="K53" s="3413" t="s">
        <v>2171</v>
      </c>
      <c r="L53" s="3414"/>
      <c r="O53" s="925" t="s">
        <v>1945</v>
      </c>
      <c r="P53" s="920" t="s">
        <v>1946</v>
      </c>
      <c r="Q53" s="953">
        <f ca="1">J53</f>
        <v>47.55</v>
      </c>
      <c r="R53" s="920" t="s">
        <v>1947</v>
      </c>
    </row>
    <row r="54" spans="1:18" s="609" customFormat="1" ht="18" customHeight="1">
      <c r="A54" s="756" t="s">
        <v>1013</v>
      </c>
      <c r="B54" s="757" t="s">
        <v>1832</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1948</v>
      </c>
      <c r="P54" s="920" t="s">
        <v>1949</v>
      </c>
      <c r="Q54" s="953">
        <f ca="1">Q48+Q49</f>
        <v>5878</v>
      </c>
      <c r="R54" s="955" t="s">
        <v>1950</v>
      </c>
    </row>
    <row r="55" spans="1:18" s="609" customFormat="1" ht="18" customHeight="1">
      <c r="A55" s="847">
        <v>2</v>
      </c>
      <c r="B55" s="848" t="s">
        <v>1836</v>
      </c>
      <c r="C55" s="120">
        <f ca="1">C13</f>
        <v>5605</v>
      </c>
      <c r="D55" s="788"/>
      <c r="E55" s="788"/>
      <c r="F55" s="846"/>
      <c r="I55" s="933" t="s">
        <v>1951</v>
      </c>
      <c r="J55" s="934">
        <f ca="1">ROUND(IF(J47="钢混",J57/J50,1-(1-2%)*(J50-J57)/J50),3)</f>
        <v>0.17399999999999999</v>
      </c>
      <c r="K55" s="935" t="s">
        <v>1952</v>
      </c>
      <c r="L55" s="936"/>
      <c r="O55" s="937" t="s">
        <v>1953</v>
      </c>
      <c r="P55" s="725"/>
      <c r="Q55" s="912"/>
      <c r="R55" s="725"/>
    </row>
    <row r="56" spans="1:18" s="609" customFormat="1" ht="42.75" customHeight="1">
      <c r="A56" s="787"/>
      <c r="B56" s="849" t="s">
        <v>1897</v>
      </c>
      <c r="C56" s="121">
        <f ca="1">C29</f>
        <v>5605</v>
      </c>
      <c r="D56" s="801"/>
      <c r="E56" s="735"/>
      <c r="F56" s="777"/>
      <c r="I56" s="938" t="s">
        <v>1954</v>
      </c>
      <c r="J56" s="939" t="s">
        <v>395</v>
      </c>
      <c r="K56" s="915" t="s">
        <v>1955</v>
      </c>
      <c r="L56" s="918" t="str">
        <f ca="1">IF(L48&lt;J51,"——",L48-J51)</f>
        <v>——</v>
      </c>
      <c r="O56" s="913" t="s">
        <v>1322</v>
      </c>
      <c r="P56" s="914" t="s">
        <v>1920</v>
      </c>
      <c r="Q56" s="952" t="s">
        <v>1921</v>
      </c>
      <c r="R56" s="914" t="s">
        <v>1922</v>
      </c>
    </row>
    <row r="57" spans="1:18" s="609" customFormat="1" ht="28.5" customHeight="1">
      <c r="A57" s="847" t="s">
        <v>1900</v>
      </c>
      <c r="B57" s="848" t="s">
        <v>1841</v>
      </c>
      <c r="C57" s="120">
        <f ca="1">ROUND(C58+C63+C64+C65,0)</f>
        <v>104</v>
      </c>
      <c r="D57" s="850" t="s">
        <v>1842</v>
      </c>
      <c r="E57" s="123"/>
      <c r="F57" s="778"/>
      <c r="I57" s="940" t="s">
        <v>1956</v>
      </c>
      <c r="J57" s="941">
        <f ca="1">IF(OR(M47="住宅",J51&lt;L48,J56="是"),"——",J51-L48)</f>
        <v>10.450000000000003</v>
      </c>
      <c r="K57" s="915" t="s">
        <v>1957</v>
      </c>
      <c r="L57" s="918" t="str">
        <f ca="1">IF(L48&lt;J51,"——",IF(L55="比较法",L49,IF(L55="基准地价",L50,L51)))</f>
        <v>——</v>
      </c>
      <c r="O57" s="919" t="s">
        <v>1925</v>
      </c>
      <c r="P57" s="920" t="s">
        <v>1926</v>
      </c>
      <c r="Q57" s="953">
        <f ca="1">C40+J29</f>
        <v>3636</v>
      </c>
      <c r="R57" s="920" t="s">
        <v>1927</v>
      </c>
    </row>
    <row r="58" spans="1:18" s="609" customFormat="1" ht="28.5" customHeight="1">
      <c r="A58" s="773" t="s">
        <v>853</v>
      </c>
      <c r="B58" s="735" t="s">
        <v>1846</v>
      </c>
      <c r="C58" s="121">
        <f ca="1">ROUND(IF(项目基本情况!B11="自然人",C47*F58,C59+C60+C61),1)</f>
        <v>11.7</v>
      </c>
      <c r="D58" s="770" t="s">
        <v>1847</v>
      </c>
      <c r="E58" s="801" t="s">
        <v>1848</v>
      </c>
      <c r="F58" s="802" t="str">
        <f ca="1">IF(项目基本情况!B11="企业","",IF(INDIRECT("'数据-取费表'!c"&amp;$G$1)="住宅",5%,IF(F48*F49*F50/12/(1+'数据-取费表'!C42)&gt;20000,12%,7%)))</f>
        <v/>
      </c>
      <c r="I58" s="940" t="s">
        <v>1958</v>
      </c>
      <c r="J58" s="942">
        <f ca="1">IF(J55&lt;0.4,0.4,J55)</f>
        <v>0.4</v>
      </c>
      <c r="K58" s="915" t="s">
        <v>1959</v>
      </c>
      <c r="L58" s="918" t="e">
        <f ca="1">ROUND(POWER(1+L52,L47-L48)*(POWER(1+L52,L48)-1)/(POWER(1+L52,L47)-1),4)</f>
        <v>#DIV/0!</v>
      </c>
      <c r="O58" s="919" t="s">
        <v>1930</v>
      </c>
      <c r="P58" s="920" t="s">
        <v>1960</v>
      </c>
      <c r="Q58" s="953">
        <f ca="1">L60</f>
        <v>0</v>
      </c>
      <c r="R58" s="955" t="s">
        <v>1961</v>
      </c>
    </row>
    <row r="59" spans="1:18" s="609" customFormat="1" ht="28.5" customHeight="1">
      <c r="A59" s="768" t="s">
        <v>877</v>
      </c>
      <c r="B59" s="735" t="s">
        <v>1849</v>
      </c>
      <c r="C59" s="121">
        <f ca="1">ROUND(C47*F59/1.05,1)</f>
        <v>0</v>
      </c>
      <c r="D59" s="801" t="s">
        <v>1850</v>
      </c>
      <c r="E59" s="735" t="s">
        <v>1840</v>
      </c>
      <c r="F59" s="777">
        <f t="shared" ref="F59:F65" si="0">F32</f>
        <v>5.6300000000000003E-2</v>
      </c>
      <c r="I59" s="940" t="s">
        <v>1962</v>
      </c>
      <c r="J59" s="941">
        <f ca="1">IF(OR(M47="住宅",J51&lt;L48,J56="是"),"——",ROUND(C29*J58,0))</f>
        <v>2242</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1935</v>
      </c>
      <c r="P59" s="920" t="s">
        <v>1964</v>
      </c>
      <c r="Q59" s="953">
        <f>IF(L55="比较法",L49,IF(L55="基准地价",L50,0))</f>
        <v>0</v>
      </c>
      <c r="R59" s="920" t="s">
        <v>1927</v>
      </c>
    </row>
    <row r="60" spans="1:18" s="609" customFormat="1" ht="18" customHeight="1">
      <c r="A60" s="768" t="s">
        <v>882</v>
      </c>
      <c r="B60" s="735" t="s">
        <v>1853</v>
      </c>
      <c r="C60" s="121">
        <f ca="1">IF(D60="按租金收入计税",ROUND(C47*F60,1),IF(D60="按房产原值计税",ROUND(C56*F60*0.7,1),INDIRECT("'数据-取费表'!Aj"&amp;$G$1)))</f>
        <v>0</v>
      </c>
      <c r="D60" s="801" t="str">
        <f>D33</f>
        <v>按租金收入计税</v>
      </c>
      <c r="E60" s="735" t="s">
        <v>1840</v>
      </c>
      <c r="F60" s="777">
        <f t="shared" si="0"/>
        <v>0.12</v>
      </c>
      <c r="I60" s="943" t="s">
        <v>1965</v>
      </c>
      <c r="J60" s="944">
        <f ca="1">IF(OR(M47="住宅",J51&lt;L48,J56="是"),"0",ROUND(J59/(1+J52)^J53,0))</f>
        <v>2242</v>
      </c>
      <c r="K60" s="945" t="s">
        <v>1966</v>
      </c>
      <c r="L60" s="944">
        <f ca="1">IF(OR(M47="住宅",L48&lt;J51),0,ROUND(L57*(L58/L59-1),0))</f>
        <v>0</v>
      </c>
      <c r="O60" s="925" t="s">
        <v>1939</v>
      </c>
      <c r="P60" s="920" t="s">
        <v>1967</v>
      </c>
      <c r="Q60" s="954">
        <f>L52</f>
        <v>0</v>
      </c>
      <c r="R60" s="955"/>
    </row>
    <row r="61" spans="1:18" s="609" customFormat="1" ht="18" customHeight="1">
      <c r="A61" s="781" t="s">
        <v>885</v>
      </c>
      <c r="B61" s="806" t="s">
        <v>1858</v>
      </c>
      <c r="C61" s="807">
        <f ca="1">ROUND(F61*F62/10000,1)</f>
        <v>11.7</v>
      </c>
      <c r="D61" s="808" t="s">
        <v>1859</v>
      </c>
      <c r="E61" s="735" t="s">
        <v>1860</v>
      </c>
      <c r="F61" s="785">
        <f t="shared" si="0"/>
        <v>8</v>
      </c>
      <c r="K61" s="902"/>
      <c r="O61" s="925" t="s">
        <v>1942</v>
      </c>
      <c r="P61" s="920" t="s">
        <v>1968</v>
      </c>
      <c r="Q61" s="953" t="e">
        <f ca="1">L58</f>
        <v>#DIV/0!</v>
      </c>
      <c r="R61" s="955" t="s">
        <v>1969</v>
      </c>
    </row>
    <row r="62" spans="1:18" s="609" customFormat="1">
      <c r="A62" s="809"/>
      <c r="B62" s="810"/>
      <c r="C62" s="811"/>
      <c r="D62" s="812"/>
      <c r="E62" s="735" t="s">
        <v>1865</v>
      </c>
      <c r="F62" s="736">
        <f t="shared" ca="1" si="0"/>
        <v>14643.53</v>
      </c>
      <c r="I62" s="946" t="s">
        <v>1970</v>
      </c>
      <c r="J62" s="947" t="s">
        <v>1971</v>
      </c>
      <c r="K62" s="947" t="s">
        <v>1972</v>
      </c>
      <c r="L62" s="947" t="s">
        <v>1973</v>
      </c>
      <c r="M62" s="948" t="s">
        <v>1974</v>
      </c>
      <c r="O62" s="925" t="s">
        <v>1945</v>
      </c>
      <c r="P62" s="920" t="str">
        <f>K59</f>
        <v>建设期及建筑物耐用年限下的土地年期修正系数Kn</v>
      </c>
      <c r="Q62" s="953" t="e">
        <f ca="1">L59</f>
        <v>#DIV/0!</v>
      </c>
      <c r="R62" s="955" t="s">
        <v>1976</v>
      </c>
    </row>
    <row r="63" spans="1:18" s="609" customFormat="1">
      <c r="A63" s="773" t="s">
        <v>855</v>
      </c>
      <c r="B63" s="735" t="s">
        <v>1868</v>
      </c>
      <c r="C63" s="121">
        <f ca="1">ROUND(C56*F63,1)</f>
        <v>84.1</v>
      </c>
      <c r="D63" s="801" t="s">
        <v>1903</v>
      </c>
      <c r="E63" s="735" t="s">
        <v>1840</v>
      </c>
      <c r="F63" s="813">
        <f t="shared" ca="1" si="0"/>
        <v>1.4999999999999999E-2</v>
      </c>
      <c r="I63" s="946" t="s">
        <v>1977</v>
      </c>
      <c r="J63" s="947">
        <v>70</v>
      </c>
      <c r="K63" s="947">
        <v>50</v>
      </c>
      <c r="L63" s="947">
        <v>80</v>
      </c>
      <c r="M63" s="949">
        <v>0.02</v>
      </c>
      <c r="O63" s="919" t="s">
        <v>1948</v>
      </c>
      <c r="P63" s="920" t="s">
        <v>1949</v>
      </c>
      <c r="Q63" s="953">
        <f ca="1">Q57+Q58</f>
        <v>3636</v>
      </c>
      <c r="R63" s="955" t="s">
        <v>1950</v>
      </c>
    </row>
    <row r="64" spans="1:18" s="609" customFormat="1" ht="15.75">
      <c r="A64" s="773" t="s">
        <v>1013</v>
      </c>
      <c r="B64" s="735" t="s">
        <v>1872</v>
      </c>
      <c r="C64" s="121">
        <f ca="1">ROUND(C55*F64,1)</f>
        <v>8.4</v>
      </c>
      <c r="D64" s="801" t="s">
        <v>1873</v>
      </c>
      <c r="E64" s="735" t="s">
        <v>1840</v>
      </c>
      <c r="F64" s="814">
        <f t="shared" ca="1" si="0"/>
        <v>1.5E-3</v>
      </c>
      <c r="I64" s="946" t="s">
        <v>1978</v>
      </c>
      <c r="J64" s="947">
        <v>50</v>
      </c>
      <c r="K64" s="947">
        <v>35</v>
      </c>
      <c r="L64" s="947">
        <v>60</v>
      </c>
      <c r="M64" s="899">
        <v>0</v>
      </c>
      <c r="O64" s="937" t="s">
        <v>1979</v>
      </c>
      <c r="P64" s="725"/>
      <c r="Q64" s="912"/>
      <c r="R64" s="725"/>
    </row>
    <row r="65" spans="1:18" s="609" customFormat="1">
      <c r="A65" s="773" t="s">
        <v>2144</v>
      </c>
      <c r="B65" s="735" t="s">
        <v>1856</v>
      </c>
      <c r="C65" s="121">
        <f ca="1">ROUND(C47*F65,1)</f>
        <v>0</v>
      </c>
      <c r="D65" s="801" t="s">
        <v>1876</v>
      </c>
      <c r="E65" s="735" t="s">
        <v>1840</v>
      </c>
      <c r="F65" s="744">
        <f t="shared" ca="1" si="0"/>
        <v>0.01</v>
      </c>
      <c r="I65" s="946" t="s">
        <v>1980</v>
      </c>
      <c r="J65" s="947">
        <v>40</v>
      </c>
      <c r="K65" s="947">
        <v>30</v>
      </c>
      <c r="L65" s="947">
        <v>50</v>
      </c>
      <c r="M65" s="949">
        <v>0.02</v>
      </c>
      <c r="O65" s="913" t="s">
        <v>1322</v>
      </c>
      <c r="P65" s="914" t="s">
        <v>1920</v>
      </c>
      <c r="Q65" s="952" t="s">
        <v>1921</v>
      </c>
      <c r="R65" s="914" t="s">
        <v>1922</v>
      </c>
    </row>
    <row r="66" spans="1:18" s="609" customFormat="1" ht="24">
      <c r="A66" s="847" t="s">
        <v>2145</v>
      </c>
      <c r="B66" s="956" t="s">
        <v>1880</v>
      </c>
      <c r="C66" s="120">
        <f ca="1">C47-C57</f>
        <v>-104</v>
      </c>
      <c r="D66" s="770" t="s">
        <v>1881</v>
      </c>
      <c r="E66" s="957"/>
      <c r="F66" s="958"/>
      <c r="K66" s="902"/>
      <c r="O66" s="919" t="s">
        <v>1925</v>
      </c>
      <c r="P66" s="920" t="s">
        <v>1926</v>
      </c>
      <c r="Q66" s="953">
        <f ca="1">C40+J29</f>
        <v>3636</v>
      </c>
      <c r="R66" s="920" t="s">
        <v>1927</v>
      </c>
    </row>
    <row r="67" spans="1:18" s="609" customFormat="1" ht="19.5">
      <c r="A67" s="726" t="s">
        <v>2146</v>
      </c>
      <c r="B67" s="819" t="s">
        <v>2158</v>
      </c>
      <c r="C67" s="733">
        <f ca="1">ROUND(C66*(1-((1+F69)/(1+F67))^F68)/(F67-F69),0)</f>
        <v>-2026</v>
      </c>
      <c r="D67" s="808" t="s">
        <v>1886</v>
      </c>
      <c r="E67" s="735" t="s">
        <v>1887</v>
      </c>
      <c r="F67" s="744">
        <f t="shared" ref="F67:F70" ca="1" si="1">F40</f>
        <v>4.4999999999999998E-2</v>
      </c>
      <c r="K67" s="902"/>
      <c r="O67" s="919" t="s">
        <v>1930</v>
      </c>
      <c r="P67" s="920" t="s">
        <v>1960</v>
      </c>
      <c r="Q67" s="953">
        <f ca="1">L60</f>
        <v>0</v>
      </c>
      <c r="R67" s="955" t="s">
        <v>1961</v>
      </c>
    </row>
    <row r="68" spans="1:18" ht="21">
      <c r="A68" s="743"/>
      <c r="B68" s="820"/>
      <c r="C68" s="739"/>
      <c r="D68" s="821" t="s">
        <v>1890</v>
      </c>
      <c r="E68" s="735" t="s">
        <v>1891</v>
      </c>
      <c r="F68" s="822">
        <f t="shared" ca="1" si="1"/>
        <v>47.55</v>
      </c>
      <c r="O68" s="925" t="s">
        <v>1935</v>
      </c>
      <c r="P68" s="920" t="s">
        <v>1964</v>
      </c>
      <c r="Q68" s="960">
        <f ca="1">L51</f>
        <v>-7013</v>
      </c>
      <c r="R68" s="961" t="s">
        <v>1981</v>
      </c>
    </row>
    <row r="69" spans="1:18" ht="19.5">
      <c r="A69" s="751"/>
      <c r="B69" s="824"/>
      <c r="C69" s="765"/>
      <c r="D69" s="812"/>
      <c r="E69" s="735" t="s">
        <v>1895</v>
      </c>
      <c r="F69" s="845"/>
      <c r="O69" s="925" t="s">
        <v>1939</v>
      </c>
      <c r="P69" s="959" t="s">
        <v>1982</v>
      </c>
      <c r="Q69" s="953">
        <f ca="1">ROUND(Q70-Q71*Q72,0)</f>
        <v>-327</v>
      </c>
      <c r="R69" s="955"/>
    </row>
    <row r="70" spans="1:18">
      <c r="A70" s="796" t="s">
        <v>2150</v>
      </c>
      <c r="B70" s="825" t="s">
        <v>2162</v>
      </c>
      <c r="C70" s="826">
        <f ca="1">ROUND(C67*10000/F70,0)</f>
        <v>-810</v>
      </c>
      <c r="D70" s="827" t="s">
        <v>2163</v>
      </c>
      <c r="E70" s="828" t="s">
        <v>2164</v>
      </c>
      <c r="F70" s="829">
        <f t="shared" ca="1" si="1"/>
        <v>25018.11</v>
      </c>
      <c r="O70" s="925" t="s">
        <v>1983</v>
      </c>
      <c r="P70" s="959" t="s">
        <v>1984</v>
      </c>
      <c r="Q70" s="953">
        <f ca="1">C39</f>
        <v>121</v>
      </c>
      <c r="R70" s="920" t="s">
        <v>1927</v>
      </c>
    </row>
    <row r="71" spans="1:18">
      <c r="O71" s="925" t="s">
        <v>1985</v>
      </c>
      <c r="P71" s="959" t="s">
        <v>1986</v>
      </c>
      <c r="Q71" s="953">
        <f ca="1">C13</f>
        <v>5605</v>
      </c>
      <c r="R71" s="920" t="s">
        <v>1927</v>
      </c>
    </row>
    <row r="72" spans="1:18">
      <c r="O72" s="925" t="s">
        <v>1987</v>
      </c>
      <c r="P72" s="959" t="s">
        <v>1988</v>
      </c>
      <c r="Q72" s="954">
        <f ca="1">J36</f>
        <v>0.08</v>
      </c>
      <c r="R72" s="955"/>
    </row>
    <row r="73" spans="1:18">
      <c r="O73" s="925" t="s">
        <v>1942</v>
      </c>
      <c r="P73" s="920" t="s">
        <v>1967</v>
      </c>
      <c r="Q73" s="954">
        <f>L52</f>
        <v>0</v>
      </c>
      <c r="R73" s="955"/>
    </row>
    <row r="74" spans="1:18" ht="19.5">
      <c r="O74" s="925" t="s">
        <v>1945</v>
      </c>
      <c r="P74" s="920" t="s">
        <v>1968</v>
      </c>
      <c r="Q74" s="953" t="e">
        <f ca="1">L58</f>
        <v>#DIV/0!</v>
      </c>
      <c r="R74" s="955" t="s">
        <v>1969</v>
      </c>
    </row>
    <row r="75" spans="1:18">
      <c r="O75" s="925" t="s">
        <v>1989</v>
      </c>
      <c r="P75" s="920" t="str">
        <f>K59</f>
        <v>建设期及建筑物耐用年限下的土地年期修正系数Kn</v>
      </c>
      <c r="Q75" s="953" t="e">
        <f ca="1">L59</f>
        <v>#DIV/0!</v>
      </c>
      <c r="R75" s="955" t="s">
        <v>1976</v>
      </c>
    </row>
    <row r="76" spans="1:18">
      <c r="O76" s="919" t="s">
        <v>1948</v>
      </c>
      <c r="P76" s="920" t="s">
        <v>1949</v>
      </c>
      <c r="Q76" s="953">
        <f ca="1">Q66+Q67</f>
        <v>3636</v>
      </c>
      <c r="R76" s="955" t="s">
        <v>1950</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15" t="s">
        <v>2175</v>
      </c>
      <c r="B1" s="3416"/>
      <c r="C1" s="3417"/>
      <c r="D1" s="3418">
        <f>SUM(I10,I15,I20,I21,I23)</f>
        <v>0</v>
      </c>
      <c r="E1" s="3418"/>
      <c r="F1" s="3418"/>
      <c r="G1" s="3418"/>
      <c r="H1" s="3418"/>
      <c r="I1" s="3419"/>
    </row>
    <row r="2" spans="1:9">
      <c r="A2" s="3427" t="s">
        <v>2176</v>
      </c>
      <c r="B2" s="3420" t="s">
        <v>2177</v>
      </c>
      <c r="C2" s="3420"/>
      <c r="D2" s="670" t="s">
        <v>2178</v>
      </c>
      <c r="E2" s="670" t="s">
        <v>2179</v>
      </c>
      <c r="F2" s="670" t="s">
        <v>2180</v>
      </c>
      <c r="G2" s="670" t="s">
        <v>2181</v>
      </c>
      <c r="H2" s="670" t="s">
        <v>2182</v>
      </c>
      <c r="I2" s="694" t="s">
        <v>2183</v>
      </c>
    </row>
    <row r="3" spans="1:9">
      <c r="A3" s="3427"/>
      <c r="B3" s="3420" t="s">
        <v>2184</v>
      </c>
      <c r="C3" s="3420"/>
      <c r="D3" s="671"/>
      <c r="E3" s="670"/>
      <c r="F3" s="672"/>
      <c r="G3" s="672"/>
      <c r="H3" s="673"/>
      <c r="I3" s="695">
        <f>ROUND(D3*E3*F3*G3*H3/10000,0)</f>
        <v>0</v>
      </c>
    </row>
    <row r="4" spans="1:9">
      <c r="A4" s="3427"/>
      <c r="B4" s="3420" t="s">
        <v>2185</v>
      </c>
      <c r="C4" s="3420"/>
      <c r="D4" s="671"/>
      <c r="E4" s="670"/>
      <c r="F4" s="672"/>
      <c r="G4" s="672"/>
      <c r="H4" s="673"/>
      <c r="I4" s="695">
        <f t="shared" ref="I4:I9" si="0">ROUND(D4*E4*F4*G4*H4/10000,0)</f>
        <v>0</v>
      </c>
    </row>
    <row r="5" spans="1:9">
      <c r="A5" s="3427"/>
      <c r="B5" s="3420" t="s">
        <v>2186</v>
      </c>
      <c r="C5" s="3420"/>
      <c r="D5" s="671"/>
      <c r="E5" s="670"/>
      <c r="F5" s="672"/>
      <c r="G5" s="672"/>
      <c r="H5" s="673"/>
      <c r="I5" s="695">
        <f t="shared" si="0"/>
        <v>0</v>
      </c>
    </row>
    <row r="6" spans="1:9">
      <c r="A6" s="3427"/>
      <c r="B6" s="3420" t="s">
        <v>2187</v>
      </c>
      <c r="C6" s="3420"/>
      <c r="D6" s="671"/>
      <c r="E6" s="670"/>
      <c r="F6" s="672"/>
      <c r="G6" s="672"/>
      <c r="H6" s="673"/>
      <c r="I6" s="695">
        <f t="shared" si="0"/>
        <v>0</v>
      </c>
    </row>
    <row r="7" spans="1:9">
      <c r="A7" s="3427"/>
      <c r="B7" s="3420" t="s">
        <v>2188</v>
      </c>
      <c r="C7" s="3420"/>
      <c r="D7" s="671"/>
      <c r="E7" s="670"/>
      <c r="F7" s="672"/>
      <c r="G7" s="672"/>
      <c r="H7" s="673"/>
      <c r="I7" s="695">
        <f t="shared" si="0"/>
        <v>0</v>
      </c>
    </row>
    <row r="8" spans="1:9">
      <c r="A8" s="3427"/>
      <c r="B8" s="3420" t="s">
        <v>2189</v>
      </c>
      <c r="C8" s="3420"/>
      <c r="D8" s="671"/>
      <c r="E8" s="670"/>
      <c r="F8" s="672"/>
      <c r="G8" s="672"/>
      <c r="H8" s="673"/>
      <c r="I8" s="695">
        <f t="shared" si="0"/>
        <v>0</v>
      </c>
    </row>
    <row r="9" spans="1:9">
      <c r="A9" s="3427"/>
      <c r="B9" s="3420" t="s">
        <v>2190</v>
      </c>
      <c r="C9" s="3420"/>
      <c r="D9" s="671"/>
      <c r="E9" s="670"/>
      <c r="F9" s="672"/>
      <c r="G9" s="672"/>
      <c r="H9" s="673"/>
      <c r="I9" s="695">
        <f t="shared" si="0"/>
        <v>0</v>
      </c>
    </row>
    <row r="10" spans="1:9">
      <c r="A10" s="3427"/>
      <c r="B10" s="3421" t="s">
        <v>500</v>
      </c>
      <c r="C10" s="3421"/>
      <c r="D10" s="674">
        <v>527</v>
      </c>
      <c r="E10" s="674" t="e">
        <f>ROUND(D1*10000/D10/H9,0)</f>
        <v>#DIV/0!</v>
      </c>
      <c r="F10" s="675"/>
      <c r="G10" s="675"/>
      <c r="H10" s="676"/>
      <c r="I10" s="696">
        <f>SUM(I3:I9)</f>
        <v>0</v>
      </c>
    </row>
    <row r="11" spans="1:9" ht="14.25">
      <c r="A11" s="3427" t="s">
        <v>2191</v>
      </c>
      <c r="B11" s="3420" t="s">
        <v>2192</v>
      </c>
      <c r="C11" s="3420"/>
      <c r="D11" s="671" t="s">
        <v>2193</v>
      </c>
      <c r="E11" s="671" t="s">
        <v>2194</v>
      </c>
      <c r="F11" s="672" t="s">
        <v>2195</v>
      </c>
      <c r="G11" s="672" t="s">
        <v>2182</v>
      </c>
      <c r="H11" s="677" t="s">
        <v>138</v>
      </c>
      <c r="I11" s="694" t="s">
        <v>2183</v>
      </c>
    </row>
    <row r="12" spans="1:9">
      <c r="A12" s="3427"/>
      <c r="B12" s="3420" t="s">
        <v>2196</v>
      </c>
      <c r="C12" s="3420"/>
      <c r="D12" s="671"/>
      <c r="E12" s="671"/>
      <c r="F12" s="672"/>
      <c r="G12" s="673"/>
      <c r="H12" s="678"/>
      <c r="I12" s="694">
        <f>ROUND(D12*E12*F12*G12/10000,0)</f>
        <v>0</v>
      </c>
    </row>
    <row r="13" spans="1:9">
      <c r="A13" s="3427"/>
      <c r="B13" s="3420" t="s">
        <v>2197</v>
      </c>
      <c r="C13" s="3420"/>
      <c r="D13" s="671"/>
      <c r="E13" s="671"/>
      <c r="F13" s="672"/>
      <c r="G13" s="673"/>
      <c r="H13" s="678"/>
      <c r="I13" s="694">
        <f>ROUND(D13*E13*F13*G13/10000,0)</f>
        <v>0</v>
      </c>
    </row>
    <row r="14" spans="1:9">
      <c r="A14" s="3427"/>
      <c r="B14" s="3420" t="s">
        <v>2198</v>
      </c>
      <c r="C14" s="3420"/>
      <c r="D14" s="671"/>
      <c r="E14" s="671"/>
      <c r="F14" s="672"/>
      <c r="G14" s="673"/>
      <c r="H14" s="678"/>
      <c r="I14" s="694">
        <f>ROUND(D14*E14*F14*G14/10000,0)</f>
        <v>0</v>
      </c>
    </row>
    <row r="15" spans="1:9">
      <c r="A15" s="3427"/>
      <c r="B15" s="3421" t="s">
        <v>500</v>
      </c>
      <c r="C15" s="3421"/>
      <c r="D15" s="674"/>
      <c r="E15" s="674">
        <f>SUM(E12:E14)</f>
        <v>0</v>
      </c>
      <c r="F15" s="675"/>
      <c r="G15" s="673"/>
      <c r="H15" s="678"/>
      <c r="I15" s="697">
        <f>SUM(I12:I14)</f>
        <v>0</v>
      </c>
    </row>
    <row r="16" spans="1:9" ht="24">
      <c r="A16" s="3427" t="s">
        <v>2199</v>
      </c>
      <c r="B16" s="3420" t="s">
        <v>2200</v>
      </c>
      <c r="C16" s="3420"/>
      <c r="D16" s="671" t="s">
        <v>2178</v>
      </c>
      <c r="E16" s="679" t="s">
        <v>2201</v>
      </c>
      <c r="F16" s="672" t="s">
        <v>2202</v>
      </c>
      <c r="G16" s="673" t="s">
        <v>2182</v>
      </c>
      <c r="H16" s="677" t="s">
        <v>138</v>
      </c>
      <c r="I16" s="694" t="s">
        <v>2183</v>
      </c>
    </row>
    <row r="17" spans="1:9" ht="14.25">
      <c r="A17" s="3427"/>
      <c r="B17" s="3420" t="s">
        <v>2203</v>
      </c>
      <c r="C17" s="3420"/>
      <c r="D17" s="671"/>
      <c r="E17" s="671"/>
      <c r="F17" s="672"/>
      <c r="G17" s="673"/>
      <c r="H17" s="680"/>
      <c r="I17" s="698">
        <f>ROUND(D17*E17*F17*G17/10000,0)</f>
        <v>0</v>
      </c>
    </row>
    <row r="18" spans="1:9" ht="14.25">
      <c r="A18" s="3427"/>
      <c r="B18" s="3420" t="s">
        <v>2204</v>
      </c>
      <c r="C18" s="3420"/>
      <c r="D18" s="671"/>
      <c r="E18" s="671"/>
      <c r="F18" s="672"/>
      <c r="G18" s="673"/>
      <c r="H18" s="680"/>
      <c r="I18" s="698">
        <f>ROUND(D18*E18*F18*G18/10000,0)</f>
        <v>0</v>
      </c>
    </row>
    <row r="19" spans="1:9" ht="14.25">
      <c r="A19" s="3427"/>
      <c r="B19" s="3420" t="s">
        <v>2205</v>
      </c>
      <c r="C19" s="3420"/>
      <c r="D19" s="671"/>
      <c r="E19" s="671"/>
      <c r="F19" s="672"/>
      <c r="G19" s="673"/>
      <c r="H19" s="680"/>
      <c r="I19" s="698">
        <f>ROUND(D19*E19*F19*G19/10000,0)</f>
        <v>0</v>
      </c>
    </row>
    <row r="20" spans="1:9">
      <c r="A20" s="3427"/>
      <c r="B20" s="3421" t="s">
        <v>500</v>
      </c>
      <c r="C20" s="3421"/>
      <c r="D20" s="674">
        <f>SUM(D17:D19)</f>
        <v>0</v>
      </c>
      <c r="E20" s="674"/>
      <c r="F20" s="675"/>
      <c r="G20" s="673"/>
      <c r="H20" s="678"/>
      <c r="I20" s="697">
        <f>SUM(I17:I19)</f>
        <v>0</v>
      </c>
    </row>
    <row r="21" spans="1:9">
      <c r="A21" s="3427" t="s">
        <v>2206</v>
      </c>
      <c r="B21" s="3435"/>
      <c r="C21" s="3435"/>
      <c r="D21" s="3435"/>
      <c r="E21" s="3435"/>
      <c r="F21" s="3435"/>
      <c r="G21" s="3435"/>
      <c r="H21" s="681">
        <v>0.1</v>
      </c>
      <c r="I21" s="696">
        <f>ROUND(I10*H21,0)</f>
        <v>0</v>
      </c>
    </row>
    <row r="22" spans="1:9" ht="14.25">
      <c r="A22" s="3428" t="s">
        <v>2207</v>
      </c>
      <c r="B22" s="3429"/>
      <c r="C22" s="3430"/>
      <c r="D22" s="682" t="s">
        <v>389</v>
      </c>
      <c r="E22" s="682" t="s">
        <v>2208</v>
      </c>
      <c r="F22" s="683" t="s">
        <v>2182</v>
      </c>
      <c r="G22" s="683" t="s">
        <v>2209</v>
      </c>
      <c r="H22" s="677" t="s">
        <v>138</v>
      </c>
      <c r="I22" s="694" t="s">
        <v>2183</v>
      </c>
    </row>
    <row r="23" spans="1:9">
      <c r="A23" s="3431"/>
      <c r="B23" s="3432"/>
      <c r="C23" s="3433"/>
      <c r="D23" s="684"/>
      <c r="E23" s="684"/>
      <c r="F23" s="684"/>
      <c r="G23" s="685"/>
      <c r="H23" s="686"/>
      <c r="I23" s="699">
        <f>ROUND(E23*D23*F23*(1-G23)/10000,0)</f>
        <v>0</v>
      </c>
    </row>
    <row r="26" spans="1:9">
      <c r="A26" s="687" t="s">
        <v>2210</v>
      </c>
      <c r="B26" s="687"/>
      <c r="C26" s="687"/>
      <c r="D26" s="687"/>
      <c r="E26" s="3426">
        <f>C27-C30-C31-C32</f>
        <v>0</v>
      </c>
      <c r="F26" s="3426"/>
      <c r="G26" s="3426"/>
      <c r="H26" s="688" t="s">
        <v>2211</v>
      </c>
    </row>
    <row r="27" spans="1:9">
      <c r="A27" s="689">
        <v>1</v>
      </c>
      <c r="B27" s="690" t="s">
        <v>2212</v>
      </c>
      <c r="C27" s="690"/>
      <c r="D27" s="690"/>
      <c r="E27" s="3422"/>
      <c r="F27" s="3422"/>
      <c r="G27" s="3422"/>
    </row>
    <row r="28" spans="1:9">
      <c r="A28" s="691" t="s">
        <v>1126</v>
      </c>
      <c r="B28" s="690" t="s">
        <v>2213</v>
      </c>
      <c r="C28" s="690"/>
      <c r="D28" s="690"/>
      <c r="E28" s="3422"/>
      <c r="F28" s="3422"/>
      <c r="G28" s="3422"/>
    </row>
    <row r="29" spans="1:9">
      <c r="A29" s="691" t="s">
        <v>1166</v>
      </c>
      <c r="B29" s="690" t="s">
        <v>1832</v>
      </c>
      <c r="C29" s="690"/>
      <c r="D29" s="690"/>
      <c r="E29" s="690" t="s">
        <v>2214</v>
      </c>
      <c r="F29" s="690"/>
      <c r="G29" s="690"/>
    </row>
    <row r="30" spans="1:9">
      <c r="A30" s="689">
        <v>2</v>
      </c>
      <c r="B30" s="690" t="s">
        <v>2215</v>
      </c>
      <c r="C30" s="690">
        <f>C27*D30</f>
        <v>0</v>
      </c>
      <c r="D30" s="692">
        <v>0.2</v>
      </c>
      <c r="E30" s="690" t="s">
        <v>2216</v>
      </c>
      <c r="F30" s="690"/>
      <c r="G30" s="690"/>
    </row>
    <row r="31" spans="1:9">
      <c r="A31" s="689">
        <v>3</v>
      </c>
      <c r="B31" s="690" t="s">
        <v>2217</v>
      </c>
      <c r="C31" s="690">
        <f>C25*D31</f>
        <v>0</v>
      </c>
      <c r="D31" s="692">
        <v>0.15</v>
      </c>
      <c r="E31" s="690" t="s">
        <v>2218</v>
      </c>
      <c r="F31" s="690"/>
      <c r="G31" s="690"/>
    </row>
    <row r="32" spans="1:9">
      <c r="A32" s="689">
        <v>4</v>
      </c>
      <c r="B32" s="690" t="s">
        <v>2219</v>
      </c>
      <c r="C32" s="690">
        <f>C27*D32</f>
        <v>0</v>
      </c>
      <c r="D32" s="692">
        <v>0.05</v>
      </c>
      <c r="E32" s="3434"/>
      <c r="F32" s="3434"/>
      <c r="G32" s="3434"/>
    </row>
    <row r="33" spans="1:7" hidden="1">
      <c r="A33" s="3423" t="s">
        <v>2220</v>
      </c>
      <c r="B33" s="3424"/>
      <c r="C33" s="3424"/>
      <c r="D33" s="3425"/>
      <c r="E33" s="3426"/>
      <c r="F33" s="3426"/>
      <c r="G33" s="3426"/>
    </row>
    <row r="34" spans="1:7" hidden="1">
      <c r="A34" s="693">
        <v>1</v>
      </c>
      <c r="B34" s="690" t="s">
        <v>2221</v>
      </c>
      <c r="C34" s="690"/>
      <c r="D34" s="690"/>
      <c r="E34" s="3422"/>
      <c r="F34" s="3422"/>
      <c r="G34" s="3422"/>
    </row>
    <row r="35" spans="1:7" hidden="1">
      <c r="A35" s="693">
        <v>2</v>
      </c>
      <c r="B35" s="690" t="s">
        <v>2222</v>
      </c>
      <c r="C35" s="690"/>
      <c r="D35" s="690"/>
      <c r="E35" s="3422"/>
      <c r="F35" s="3422"/>
      <c r="G35" s="3422"/>
    </row>
    <row r="36" spans="1:7" hidden="1">
      <c r="A36" s="693">
        <v>3</v>
      </c>
      <c r="B36" s="690" t="s">
        <v>2223</v>
      </c>
      <c r="C36" s="690"/>
      <c r="D36" s="690"/>
      <c r="E36" s="3422"/>
      <c r="F36" s="3422"/>
      <c r="G36" s="3422"/>
    </row>
    <row r="37" spans="1:7" hidden="1">
      <c r="A37" s="693">
        <v>4</v>
      </c>
      <c r="B37" s="690" t="s">
        <v>2224</v>
      </c>
      <c r="C37" s="690"/>
      <c r="D37" s="690"/>
      <c r="E37" s="3422"/>
      <c r="F37" s="3422"/>
      <c r="G37" s="3422"/>
    </row>
    <row r="38" spans="1:7" hidden="1">
      <c r="A38" s="3423" t="s">
        <v>2225</v>
      </c>
      <c r="B38" s="3424"/>
      <c r="C38" s="3424"/>
      <c r="D38" s="3425"/>
      <c r="E38" s="3426"/>
      <c r="F38" s="3426"/>
      <c r="G38" s="342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2226</v>
      </c>
      <c r="B1" s="617"/>
      <c r="C1" s="618"/>
      <c r="D1" s="618"/>
      <c r="E1" s="618"/>
      <c r="F1" s="618"/>
      <c r="G1" s="619"/>
    </row>
    <row r="2" spans="1:25" s="609" customFormat="1" ht="18" customHeight="1">
      <c r="A2" s="205" t="s">
        <v>917</v>
      </c>
      <c r="B2" s="620">
        <f ca="1">C23</f>
        <v>0</v>
      </c>
      <c r="C2" s="619"/>
      <c r="D2" s="619"/>
      <c r="E2" s="619"/>
      <c r="F2" s="619"/>
      <c r="G2" s="619"/>
    </row>
    <row r="3" spans="1:25" s="609" customFormat="1" ht="18" customHeight="1">
      <c r="A3" s="621" t="s">
        <v>918</v>
      </c>
      <c r="B3" s="620">
        <f ca="1">ROUND(B2*10000/'数据-汇总表'!E3,0)</f>
        <v>0</v>
      </c>
      <c r="C3" s="619"/>
      <c r="D3" s="619"/>
      <c r="E3" s="619"/>
      <c r="F3" s="619"/>
      <c r="G3" s="619"/>
    </row>
    <row r="4" spans="1:25" s="609" customFormat="1" ht="18" customHeight="1">
      <c r="A4" s="622" t="s">
        <v>1008</v>
      </c>
      <c r="B4" s="623">
        <f ca="1">ROUND(B2*10000/'数据-汇总表'!D3,0)</f>
        <v>0</v>
      </c>
      <c r="C4" s="565"/>
      <c r="D4" s="619"/>
      <c r="E4" s="619"/>
      <c r="F4" s="619"/>
      <c r="G4" s="619"/>
    </row>
    <row r="5" spans="1:25" s="609" customFormat="1" ht="18" customHeight="1">
      <c r="A5" s="624"/>
      <c r="B5" s="625">
        <f ca="1">ROUND(B2/('数据-汇总表'!D3/666.67),0)</f>
        <v>0</v>
      </c>
      <c r="C5" s="626" t="s">
        <v>920</v>
      </c>
      <c r="D5" s="619"/>
      <c r="E5" s="619"/>
      <c r="F5" s="619"/>
      <c r="G5" s="619"/>
    </row>
    <row r="6" spans="1:25" s="610" customFormat="1" ht="13.5" customHeight="1">
      <c r="A6" s="627"/>
      <c r="B6" s="628" t="s">
        <v>848</v>
      </c>
      <c r="C6" s="629" t="s">
        <v>2227</v>
      </c>
      <c r="D6" s="629" t="s">
        <v>2228</v>
      </c>
      <c r="E6" s="630" t="s">
        <v>2229</v>
      </c>
      <c r="F6" s="630" t="s">
        <v>849</v>
      </c>
      <c r="G6" s="631"/>
    </row>
    <row r="7" spans="1:25" s="610" customFormat="1" ht="13.5" customHeight="1">
      <c r="A7" s="632">
        <v>1</v>
      </c>
      <c r="B7" s="633" t="s">
        <v>2230</v>
      </c>
      <c r="C7" s="634">
        <f>C8+C9</f>
        <v>0</v>
      </c>
      <c r="D7" s="634"/>
      <c r="E7" s="635"/>
      <c r="F7" s="635"/>
      <c r="G7" s="636"/>
    </row>
    <row r="8" spans="1:25" s="610" customFormat="1" ht="13.5" customHeight="1">
      <c r="A8" s="632" t="s">
        <v>2231</v>
      </c>
      <c r="B8" s="637" t="s">
        <v>2232</v>
      </c>
      <c r="C8" s="638"/>
      <c r="D8" s="634"/>
      <c r="E8" s="635"/>
      <c r="F8" s="635"/>
      <c r="G8" s="639"/>
    </row>
    <row r="9" spans="1:25" s="610" customFormat="1" ht="13.5" customHeight="1">
      <c r="A9" s="632" t="s">
        <v>2233</v>
      </c>
      <c r="B9" s="637" t="s">
        <v>2234</v>
      </c>
      <c r="C9" s="638"/>
      <c r="D9" s="634"/>
      <c r="E9" s="635"/>
      <c r="F9" s="635"/>
      <c r="G9" s="639"/>
    </row>
    <row r="10" spans="1:25" s="610" customFormat="1" ht="36">
      <c r="A10" s="632">
        <v>2</v>
      </c>
      <c r="B10" s="633" t="s">
        <v>2235</v>
      </c>
      <c r="C10" s="634">
        <f>C11+C14+C15</f>
        <v>0</v>
      </c>
      <c r="D10" s="640">
        <f>'数据-汇总表'!E3</f>
        <v>73411.47</v>
      </c>
      <c r="E10" s="634">
        <f>'数据-取费表'!B31</f>
        <v>200</v>
      </c>
      <c r="F10" s="641"/>
      <c r="G10" s="642" t="s">
        <v>2236</v>
      </c>
    </row>
    <row r="11" spans="1:25" s="610" customFormat="1" ht="13.5" customHeight="1">
      <c r="A11" s="632" t="s">
        <v>2231</v>
      </c>
      <c r="B11" s="643" t="s">
        <v>2237</v>
      </c>
      <c r="C11" s="644">
        <f>'数据-取费表'!B29</f>
        <v>0</v>
      </c>
      <c r="D11" s="645"/>
      <c r="E11" s="644"/>
      <c r="F11" s="646"/>
      <c r="G11" s="647" t="s">
        <v>2238</v>
      </c>
    </row>
    <row r="12" spans="1:25" s="610" customFormat="1" ht="13.5" customHeight="1">
      <c r="A12" s="648" t="s">
        <v>2239</v>
      </c>
      <c r="B12" s="649" t="s">
        <v>2240</v>
      </c>
      <c r="C12" s="650">
        <f>ROUND(D12*E12/10000,0)</f>
        <v>0</v>
      </c>
      <c r="D12" s="651">
        <f>'数据-汇总表'!E5</f>
        <v>46660.33</v>
      </c>
      <c r="E12" s="650">
        <f>'数据-取费表'!B27</f>
        <v>0</v>
      </c>
      <c r="F12" s="646"/>
      <c r="G12" s="642"/>
    </row>
    <row r="13" spans="1:25" s="610" customFormat="1" ht="13.5" customHeight="1">
      <c r="A13" s="648" t="s">
        <v>2241</v>
      </c>
      <c r="B13" s="649" t="s">
        <v>2242</v>
      </c>
      <c r="C13" s="650">
        <f>ROUND(D13*E13/10000,0)</f>
        <v>0</v>
      </c>
      <c r="D13" s="651">
        <f>'数据-汇总表'!E6</f>
        <v>26751.14</v>
      </c>
      <c r="E13" s="650">
        <f>'数据-取费表'!B28</f>
        <v>0</v>
      </c>
      <c r="F13" s="646"/>
      <c r="G13" s="642"/>
    </row>
    <row r="14" spans="1:25" s="610" customFormat="1" ht="13.5" customHeight="1">
      <c r="A14" s="632" t="s">
        <v>2233</v>
      </c>
      <c r="B14" s="652" t="s">
        <v>2243</v>
      </c>
      <c r="C14" s="638"/>
      <c r="D14" s="651"/>
      <c r="E14" s="650"/>
      <c r="F14" s="653"/>
      <c r="G14" s="654" t="s">
        <v>2244</v>
      </c>
    </row>
    <row r="15" spans="1:25" s="610" customFormat="1" ht="13.5" customHeight="1">
      <c r="A15" s="632" t="s">
        <v>2245</v>
      </c>
      <c r="B15" s="652" t="s">
        <v>2246</v>
      </c>
      <c r="C15" s="638"/>
      <c r="D15" s="651"/>
      <c r="E15" s="650"/>
      <c r="F15" s="653"/>
      <c r="G15" s="654" t="s">
        <v>2247</v>
      </c>
    </row>
    <row r="16" spans="1:25" s="611" customFormat="1" ht="48">
      <c r="A16" s="632">
        <v>3</v>
      </c>
      <c r="B16" s="633" t="s">
        <v>2248</v>
      </c>
      <c r="C16" s="638"/>
      <c r="D16" s="640"/>
      <c r="E16" s="634"/>
      <c r="F16" s="641"/>
      <c r="G16" s="642" t="s">
        <v>2249</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2250</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2251</v>
      </c>
      <c r="C18" s="634">
        <f>ROUND((C7+C10+C16)*F18,0)</f>
        <v>0</v>
      </c>
      <c r="D18" s="657"/>
      <c r="E18" s="658"/>
      <c r="F18" s="641">
        <f>'数据-取费表'!Q16</f>
        <v>0.08</v>
      </c>
      <c r="G18" s="660" t="s">
        <v>2252</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2253</v>
      </c>
      <c r="C19" s="634">
        <f ca="1">C7+C10+C16+C17+C18</f>
        <v>0</v>
      </c>
      <c r="D19" s="640"/>
      <c r="E19" s="634"/>
      <c r="F19" s="641"/>
      <c r="G19" s="660" t="s">
        <v>2254</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2255</v>
      </c>
      <c r="C20" s="634">
        <f ca="1">ROUND(C19*F20,0)</f>
        <v>0</v>
      </c>
      <c r="D20" s="640"/>
      <c r="E20" s="634"/>
      <c r="F20" s="662"/>
      <c r="G20" s="660" t="s">
        <v>2256</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2257</v>
      </c>
      <c r="C21" s="634">
        <f ca="1">C19+C20</f>
        <v>0</v>
      </c>
      <c r="D21" s="640"/>
      <c r="E21" s="634"/>
      <c r="F21" s="641"/>
      <c r="G21" s="660" t="s">
        <v>2258</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2259</v>
      </c>
      <c r="C22" s="634">
        <f ca="1">ROUND(C21*F22,0)</f>
        <v>0</v>
      </c>
      <c r="D22" s="640"/>
      <c r="E22" s="634"/>
      <c r="F22" s="663">
        <f>'数据-取费表'!AP16</f>
        <v>0.91800000000000004</v>
      </c>
      <c r="G22" s="660" t="s">
        <v>2260</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2261</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2262</v>
      </c>
      <c r="C1" s="200" t="s">
        <v>2081</v>
      </c>
      <c r="D1" s="597"/>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C49</f>
        <v>#DIV/0!</v>
      </c>
      <c r="C3" s="212" t="s">
        <v>2085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921</v>
      </c>
      <c r="B4" s="215"/>
      <c r="C4" s="3315" t="s">
        <v>922</v>
      </c>
      <c r="D4" s="3316"/>
      <c r="E4" s="3356" t="s">
        <v>923</v>
      </c>
      <c r="F4" s="3357"/>
      <c r="G4" s="3315" t="s">
        <v>924</v>
      </c>
      <c r="H4" s="3316"/>
      <c r="I4" s="3315" t="s">
        <v>925</v>
      </c>
      <c r="J4" s="3316"/>
      <c r="K4" s="376" t="s">
        <v>926</v>
      </c>
      <c r="L4" s="377"/>
      <c r="M4" s="378"/>
      <c r="N4" s="378"/>
      <c r="O4" s="378"/>
      <c r="P4" s="3343" t="s">
        <v>927</v>
      </c>
      <c r="Q4" s="3344"/>
      <c r="R4" s="3349" t="s">
        <v>923</v>
      </c>
      <c r="S4" s="3350"/>
      <c r="T4" s="3349" t="s">
        <v>924</v>
      </c>
      <c r="U4" s="3350"/>
      <c r="V4" s="3335" t="s">
        <v>925</v>
      </c>
      <c r="W4" s="3335"/>
      <c r="X4" s="443"/>
      <c r="Y4" s="3349" t="s">
        <v>927</v>
      </c>
      <c r="Z4" s="3350"/>
      <c r="AA4" s="3336" t="s">
        <v>923</v>
      </c>
      <c r="AB4" s="3335" t="s">
        <v>924</v>
      </c>
      <c r="AC4" s="3336" t="s">
        <v>925</v>
      </c>
    </row>
    <row r="5" spans="1:29" ht="15">
      <c r="A5" s="216"/>
      <c r="B5" s="217"/>
      <c r="C5" s="3358" t="s">
        <v>1099</v>
      </c>
      <c r="D5" s="3318"/>
      <c r="E5" s="3359" t="s">
        <v>1100</v>
      </c>
      <c r="F5" s="3360"/>
      <c r="G5" s="3358" t="s">
        <v>1101</v>
      </c>
      <c r="H5" s="3318"/>
      <c r="I5" s="3358" t="s">
        <v>1102</v>
      </c>
      <c r="J5" s="3318"/>
      <c r="K5" s="376"/>
      <c r="L5" s="377"/>
      <c r="M5" s="378"/>
      <c r="N5" s="378"/>
      <c r="O5" s="378"/>
      <c r="P5" s="3345"/>
      <c r="Q5" s="3346"/>
      <c r="R5" s="3351"/>
      <c r="S5" s="3352"/>
      <c r="T5" s="3351"/>
      <c r="U5" s="3352"/>
      <c r="V5" s="3335"/>
      <c r="W5" s="3335"/>
      <c r="X5" s="443"/>
      <c r="Y5" s="3351"/>
      <c r="Z5" s="3352"/>
      <c r="AA5" s="3337"/>
      <c r="AB5" s="3335"/>
      <c r="AC5" s="3337"/>
    </row>
    <row r="6" spans="1:29" ht="15">
      <c r="A6" s="218"/>
      <c r="B6" s="219"/>
      <c r="C6" s="3321" t="s">
        <v>1103</v>
      </c>
      <c r="D6" s="3322"/>
      <c r="E6" s="3361" t="s">
        <v>1103</v>
      </c>
      <c r="F6" s="3362"/>
      <c r="G6" s="3321" t="s">
        <v>1103</v>
      </c>
      <c r="H6" s="3322"/>
      <c r="I6" s="3321" t="s">
        <v>1103</v>
      </c>
      <c r="J6" s="3322"/>
      <c r="K6" s="376" t="s">
        <v>932</v>
      </c>
      <c r="L6" s="377"/>
      <c r="M6" s="378"/>
      <c r="N6" s="378"/>
      <c r="O6" s="378"/>
      <c r="P6" s="3347"/>
      <c r="Q6" s="3348"/>
      <c r="R6" s="3351"/>
      <c r="S6" s="3352"/>
      <c r="T6" s="3353"/>
      <c r="U6" s="3354"/>
      <c r="V6" s="3335"/>
      <c r="W6" s="3335"/>
      <c r="X6" s="443"/>
      <c r="Y6" s="3353"/>
      <c r="Z6" s="3354"/>
      <c r="AA6" s="3338"/>
      <c r="AB6" s="3335"/>
      <c r="AC6" s="3338"/>
    </row>
    <row r="7" spans="1:29" s="190" customFormat="1" ht="15">
      <c r="A7" s="220"/>
      <c r="B7" s="221" t="s">
        <v>933</v>
      </c>
      <c r="C7" s="222">
        <f>'数据-取费表'!B2</f>
        <v>43600</v>
      </c>
      <c r="D7" s="223">
        <v>100</v>
      </c>
      <c r="E7" s="224"/>
      <c r="F7" s="225">
        <f>SUMIF(58:58,YEAR(E7)&amp;"-"&amp;MONTH(E7),59:59)</f>
        <v>0</v>
      </c>
      <c r="G7" s="224"/>
      <c r="H7" s="223">
        <f>SUMIF(58:58,YEAR(G7)&amp;"-"&amp;MONTH(G7),59:59)</f>
        <v>0</v>
      </c>
      <c r="I7" s="224"/>
      <c r="J7" s="223">
        <f>SUMIF(58:58,YEAR(I7)&amp;"-"&amp;MONTH(I7),59:59)</f>
        <v>0</v>
      </c>
      <c r="K7" s="379"/>
      <c r="L7" s="380"/>
      <c r="M7" s="381"/>
      <c r="N7" s="381"/>
      <c r="O7" s="381"/>
      <c r="P7" s="3323" t="s">
        <v>934</v>
      </c>
      <c r="Q7" s="3324"/>
      <c r="R7" s="444" t="s">
        <v>935</v>
      </c>
      <c r="S7" s="445">
        <f t="shared" ref="S7:S15" si="0">F7</f>
        <v>0</v>
      </c>
      <c r="T7" s="444" t="s">
        <v>935</v>
      </c>
      <c r="U7" s="445">
        <f t="shared" ref="U7:U15" si="1">H7</f>
        <v>0</v>
      </c>
      <c r="V7" s="444" t="s">
        <v>935</v>
      </c>
      <c r="W7" s="445">
        <f t="shared" ref="W7:W15" si="2">J7</f>
        <v>0</v>
      </c>
      <c r="X7" s="446"/>
      <c r="Y7" s="3323" t="s">
        <v>934</v>
      </c>
      <c r="Z7" s="3355"/>
      <c r="AA7" s="463" t="e">
        <f>D7/F7</f>
        <v>#DIV/0!</v>
      </c>
      <c r="AB7" s="463" t="e">
        <f>D7/H7</f>
        <v>#DIV/0!</v>
      </c>
      <c r="AC7" s="463" t="e">
        <f>D7/J7</f>
        <v>#DIV/0!</v>
      </c>
    </row>
    <row r="8" spans="1:29" s="190" customFormat="1" ht="15">
      <c r="A8" s="227"/>
      <c r="B8" s="228" t="s">
        <v>936</v>
      </c>
      <c r="C8" s="229" t="s">
        <v>937</v>
      </c>
      <c r="D8" s="223">
        <v>100</v>
      </c>
      <c r="E8" s="229"/>
      <c r="F8" s="225">
        <f>SUMIF(61:61,E8,62:62)-SUMIF(61:61,C8,62:62)+100</f>
        <v>0</v>
      </c>
      <c r="G8" s="229"/>
      <c r="H8" s="223">
        <f>SUMIF(61:61,G8,62:62)-SUMIF(61:61,C8,62:62)+100</f>
        <v>0</v>
      </c>
      <c r="I8" s="229"/>
      <c r="J8" s="223">
        <f>SUMIF(61:61,I8,62:62)-SUMIF(61:61,C8,62:62)+100</f>
        <v>0</v>
      </c>
      <c r="K8" s="379"/>
      <c r="L8" s="380"/>
      <c r="M8" s="381"/>
      <c r="N8" s="381"/>
      <c r="O8" s="381"/>
      <c r="P8" s="3323" t="s">
        <v>939</v>
      </c>
      <c r="Q8" s="3355"/>
      <c r="R8" s="444" t="s">
        <v>935</v>
      </c>
      <c r="S8" s="445">
        <f t="shared" si="0"/>
        <v>0</v>
      </c>
      <c r="T8" s="444" t="s">
        <v>935</v>
      </c>
      <c r="U8" s="445">
        <f t="shared" si="1"/>
        <v>0</v>
      </c>
      <c r="V8" s="444" t="s">
        <v>935</v>
      </c>
      <c r="W8" s="445">
        <f t="shared" si="2"/>
        <v>0</v>
      </c>
      <c r="X8" s="446"/>
      <c r="Y8" s="3323" t="s">
        <v>939</v>
      </c>
      <c r="Z8" s="3355"/>
      <c r="AA8" s="463" t="e">
        <f t="shared" ref="AA8:AA46" si="3">D8/F8</f>
        <v>#DIV/0!</v>
      </c>
      <c r="AB8" s="463" t="e">
        <f t="shared" ref="AB8:AB46" si="4">D8/H8</f>
        <v>#DIV/0!</v>
      </c>
      <c r="AC8" s="463" t="e">
        <f t="shared" ref="AC8:AC46" si="5">D8/J8</f>
        <v>#DIV/0!</v>
      </c>
    </row>
    <row r="9" spans="1:29" s="190" customFormat="1" ht="15">
      <c r="A9" s="230"/>
      <c r="B9" s="231" t="s">
        <v>940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26" t="s">
        <v>942</v>
      </c>
      <c r="Q9" s="447" t="str">
        <f t="shared" ref="Q9:Q15" si="6">B9</f>
        <v>用途</v>
      </c>
      <c r="R9" s="444" t="s">
        <v>935</v>
      </c>
      <c r="S9" s="445">
        <f t="shared" si="0"/>
        <v>100</v>
      </c>
      <c r="T9" s="444" t="s">
        <v>935</v>
      </c>
      <c r="U9" s="445">
        <f t="shared" si="1"/>
        <v>100</v>
      </c>
      <c r="V9" s="444" t="s">
        <v>935</v>
      </c>
      <c r="W9" s="445">
        <f t="shared" si="2"/>
        <v>100</v>
      </c>
      <c r="X9" s="446"/>
      <c r="Y9" s="3314"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26"/>
      <c r="Q10" s="447" t="str">
        <f t="shared" si="6"/>
        <v>土地使用年限（年）</v>
      </c>
      <c r="R10" s="444" t="s">
        <v>935</v>
      </c>
      <c r="S10" s="445">
        <f t="shared" si="0"/>
        <v>100</v>
      </c>
      <c r="T10" s="444" t="s">
        <v>935</v>
      </c>
      <c r="U10" s="445">
        <f t="shared" si="1"/>
        <v>100</v>
      </c>
      <c r="V10" s="444" t="s">
        <v>935</v>
      </c>
      <c r="W10" s="445">
        <f t="shared" si="2"/>
        <v>100</v>
      </c>
      <c r="X10" s="446"/>
      <c r="Y10" s="3314"/>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26"/>
      <c r="Q11" s="447" t="str">
        <f t="shared" si="6"/>
        <v>容积率</v>
      </c>
      <c r="R11" s="444" t="s">
        <v>935</v>
      </c>
      <c r="S11" s="445" t="e">
        <f t="shared" si="0"/>
        <v>#N/A</v>
      </c>
      <c r="T11" s="444" t="s">
        <v>935</v>
      </c>
      <c r="U11" s="445" t="e">
        <f t="shared" si="1"/>
        <v>#N/A</v>
      </c>
      <c r="V11" s="444" t="s">
        <v>935</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26"/>
      <c r="Q12" s="447">
        <f t="shared" si="6"/>
        <v>111</v>
      </c>
      <c r="R12" s="444" t="s">
        <v>935</v>
      </c>
      <c r="S12" s="445">
        <f t="shared" si="0"/>
        <v>100</v>
      </c>
      <c r="T12" s="444" t="s">
        <v>935</v>
      </c>
      <c r="U12" s="445">
        <f t="shared" si="1"/>
        <v>100</v>
      </c>
      <c r="V12" s="444" t="s">
        <v>935</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26"/>
      <c r="Q13" s="447">
        <f t="shared" si="6"/>
        <v>111</v>
      </c>
      <c r="R13" s="444" t="s">
        <v>935</v>
      </c>
      <c r="S13" s="445">
        <f t="shared" si="0"/>
        <v>100</v>
      </c>
      <c r="T13" s="444" t="s">
        <v>935</v>
      </c>
      <c r="U13" s="445">
        <f t="shared" si="1"/>
        <v>100</v>
      </c>
      <c r="V13" s="444" t="s">
        <v>935</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26"/>
      <c r="Q14" s="447">
        <f t="shared" si="6"/>
        <v>111</v>
      </c>
      <c r="R14" s="444" t="s">
        <v>935</v>
      </c>
      <c r="S14" s="445">
        <f t="shared" si="0"/>
        <v>100</v>
      </c>
      <c r="T14" s="444" t="s">
        <v>935</v>
      </c>
      <c r="U14" s="445">
        <f t="shared" si="1"/>
        <v>100</v>
      </c>
      <c r="V14" s="444" t="s">
        <v>935</v>
      </c>
      <c r="W14" s="445">
        <f t="shared" si="2"/>
        <v>100</v>
      </c>
      <c r="X14" s="446"/>
      <c r="Y14" s="3314"/>
      <c r="Z14" s="464">
        <f t="shared" si="7"/>
        <v>111</v>
      </c>
      <c r="AA14" s="463">
        <f t="shared" si="3"/>
        <v>1</v>
      </c>
      <c r="AB14" s="463">
        <f t="shared" si="4"/>
        <v>1</v>
      </c>
      <c r="AC14" s="463">
        <f t="shared" si="5"/>
        <v>1</v>
      </c>
    </row>
    <row r="15" spans="1:29" ht="71.25">
      <c r="A15" s="248" t="s">
        <v>948</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27" t="s">
        <v>949</v>
      </c>
      <c r="Q15" s="383" t="str">
        <f t="shared" si="6"/>
        <v>商业繁华度</v>
      </c>
      <c r="R15" s="448" t="s">
        <v>935</v>
      </c>
      <c r="S15" s="449">
        <f t="shared" si="0"/>
        <v>100</v>
      </c>
      <c r="T15" s="448" t="s">
        <v>935</v>
      </c>
      <c r="U15" s="449">
        <f t="shared" si="1"/>
        <v>100</v>
      </c>
      <c r="V15" s="448" t="s">
        <v>935</v>
      </c>
      <c r="W15" s="449">
        <f t="shared" si="2"/>
        <v>100</v>
      </c>
      <c r="X15" s="443"/>
      <c r="Y15" s="3327" t="s">
        <v>949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28"/>
      <c r="Q16" s="383"/>
      <c r="R16" s="448"/>
      <c r="S16" s="449"/>
      <c r="T16" s="448"/>
      <c r="U16" s="449"/>
      <c r="V16" s="448"/>
      <c r="W16" s="449"/>
      <c r="X16" s="443"/>
      <c r="Y16" s="3328"/>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28"/>
      <c r="Q17" s="383" t="str">
        <f>B17</f>
        <v>交通便捷度</v>
      </c>
      <c r="R17" s="448" t="s">
        <v>935</v>
      </c>
      <c r="S17" s="449">
        <f>F17</f>
        <v>100</v>
      </c>
      <c r="T17" s="448" t="s">
        <v>935</v>
      </c>
      <c r="U17" s="449">
        <f>H17</f>
        <v>100</v>
      </c>
      <c r="V17" s="448" t="s">
        <v>935</v>
      </c>
      <c r="W17" s="449">
        <f>J17</f>
        <v>100</v>
      </c>
      <c r="X17" s="443"/>
      <c r="Y17" s="332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28"/>
      <c r="Q18" s="383"/>
      <c r="R18" s="448"/>
      <c r="S18" s="449"/>
      <c r="T18" s="448"/>
      <c r="U18" s="449"/>
      <c r="V18" s="448"/>
      <c r="W18" s="449"/>
      <c r="X18" s="443"/>
      <c r="Y18" s="3328"/>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28"/>
      <c r="Q19" s="383" t="str">
        <f>B19</f>
        <v>公共配套设施</v>
      </c>
      <c r="R19" s="448" t="s">
        <v>935</v>
      </c>
      <c r="S19" s="449">
        <f>F19</f>
        <v>100</v>
      </c>
      <c r="T19" s="448" t="s">
        <v>935</v>
      </c>
      <c r="U19" s="449">
        <f>H19</f>
        <v>100</v>
      </c>
      <c r="V19" s="448" t="s">
        <v>935</v>
      </c>
      <c r="W19" s="449">
        <f>J19</f>
        <v>100</v>
      </c>
      <c r="X19" s="443"/>
      <c r="Y19" s="332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28"/>
      <c r="Q20" s="383"/>
      <c r="R20" s="448"/>
      <c r="S20" s="449"/>
      <c r="T20" s="448"/>
      <c r="U20" s="449"/>
      <c r="V20" s="448"/>
      <c r="W20" s="449"/>
      <c r="X20" s="443"/>
      <c r="Y20" s="3328"/>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28"/>
      <c r="Q21" s="383" t="str">
        <f>B21</f>
        <v>基础设施水平</v>
      </c>
      <c r="R21" s="448" t="s">
        <v>935</v>
      </c>
      <c r="S21" s="449">
        <f>F21</f>
        <v>100</v>
      </c>
      <c r="T21" s="448" t="s">
        <v>935</v>
      </c>
      <c r="U21" s="449">
        <f>H21</f>
        <v>100</v>
      </c>
      <c r="V21" s="448" t="s">
        <v>935</v>
      </c>
      <c r="W21" s="449">
        <f>J21</f>
        <v>100</v>
      </c>
      <c r="X21" s="443"/>
      <c r="Y21" s="332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28"/>
      <c r="Q22" s="383"/>
      <c r="R22" s="448"/>
      <c r="S22" s="449"/>
      <c r="T22" s="448"/>
      <c r="U22" s="449"/>
      <c r="V22" s="448"/>
      <c r="W22" s="449"/>
      <c r="X22" s="443"/>
      <c r="Y22" s="3328"/>
      <c r="Z22" s="442"/>
      <c r="AA22" s="454">
        <v>1</v>
      </c>
      <c r="AB22" s="454">
        <v>1</v>
      </c>
      <c r="AC22" s="454">
        <v>1</v>
      </c>
    </row>
    <row r="23" spans="1:29" ht="57">
      <c r="A23" s="255"/>
      <c r="B23" s="274" t="s">
        <v>2091</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28"/>
      <c r="Q23" s="383" t="str">
        <f>B23</f>
        <v>自然及人文环境</v>
      </c>
      <c r="R23" s="448" t="s">
        <v>935</v>
      </c>
      <c r="S23" s="449">
        <f>F23</f>
        <v>100</v>
      </c>
      <c r="T23" s="448" t="s">
        <v>935</v>
      </c>
      <c r="U23" s="449">
        <f>H23</f>
        <v>100</v>
      </c>
      <c r="V23" s="448" t="s">
        <v>935</v>
      </c>
      <c r="W23" s="449">
        <f>J23</f>
        <v>100</v>
      </c>
      <c r="X23" s="443"/>
      <c r="Y23" s="332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28"/>
      <c r="Q24" s="383"/>
      <c r="R24" s="448"/>
      <c r="S24" s="449"/>
      <c r="T24" s="448"/>
      <c r="U24" s="449"/>
      <c r="V24" s="448"/>
      <c r="W24" s="449"/>
      <c r="X24" s="443"/>
      <c r="Y24" s="3328"/>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28"/>
      <c r="Q25" s="383" t="str">
        <f t="shared" ref="Q25:Q46" si="11">B25</f>
        <v>临街状况</v>
      </c>
      <c r="R25" s="448" t="s">
        <v>935</v>
      </c>
      <c r="S25" s="449">
        <f>F25</f>
        <v>100</v>
      </c>
      <c r="T25" s="448" t="s">
        <v>935</v>
      </c>
      <c r="U25" s="449">
        <f>H25</f>
        <v>100</v>
      </c>
      <c r="V25" s="448" t="s">
        <v>935</v>
      </c>
      <c r="W25" s="449">
        <f>J25</f>
        <v>100</v>
      </c>
      <c r="X25" s="443"/>
      <c r="Y25" s="3328"/>
      <c r="Z25" s="442" t="str">
        <f>Q25</f>
        <v>临街状况</v>
      </c>
      <c r="AA25" s="454">
        <f t="shared" si="3"/>
        <v>1</v>
      </c>
      <c r="AB25" s="454">
        <f t="shared" si="4"/>
        <v>1</v>
      </c>
      <c r="AC25" s="454">
        <f t="shared" si="5"/>
        <v>1</v>
      </c>
    </row>
    <row r="26" spans="1:29" ht="15">
      <c r="A26" s="255"/>
      <c r="B26" s="539" t="s">
        <v>2263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28"/>
      <c r="Q26" s="383" t="str">
        <f t="shared" si="11"/>
        <v>平面位置/可视性</v>
      </c>
      <c r="R26" s="448" t="s">
        <v>935</v>
      </c>
      <c r="S26" s="449">
        <f>F26</f>
        <v>100</v>
      </c>
      <c r="T26" s="448" t="s">
        <v>935</v>
      </c>
      <c r="U26" s="449">
        <f>H26</f>
        <v>100</v>
      </c>
      <c r="V26" s="448" t="s">
        <v>935</v>
      </c>
      <c r="W26" s="449">
        <f>J26</f>
        <v>100</v>
      </c>
      <c r="X26" s="443"/>
      <c r="Y26" s="3328"/>
      <c r="Z26" s="442" t="str">
        <f>Q26</f>
        <v>平面位置/可视性</v>
      </c>
      <c r="AA26" s="454">
        <f t="shared" si="3"/>
        <v>1</v>
      </c>
      <c r="AB26" s="454">
        <f t="shared" si="4"/>
        <v>1</v>
      </c>
      <c r="AC26" s="454">
        <f t="shared" si="5"/>
        <v>1</v>
      </c>
    </row>
    <row r="27" spans="1:29" s="190" customFormat="1" ht="15">
      <c r="A27" s="279"/>
      <c r="B27" s="274" t="s">
        <v>2264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28"/>
      <c r="Q27" s="447" t="str">
        <f t="shared" si="11"/>
        <v>人流量</v>
      </c>
      <c r="R27" s="444" t="s">
        <v>935</v>
      </c>
      <c r="S27" s="445">
        <f>F27</f>
        <v>100</v>
      </c>
      <c r="T27" s="444" t="s">
        <v>935</v>
      </c>
      <c r="U27" s="445">
        <f>H27</f>
        <v>100</v>
      </c>
      <c r="V27" s="444" t="s">
        <v>935</v>
      </c>
      <c r="W27" s="445">
        <f>J27</f>
        <v>100</v>
      </c>
      <c r="X27" s="446"/>
      <c r="Y27" s="3328"/>
      <c r="Z27" s="464" t="str">
        <f>Q27</f>
        <v>人流量</v>
      </c>
      <c r="AA27" s="454">
        <f t="shared" si="3"/>
        <v>1</v>
      </c>
      <c r="AB27" s="454">
        <f t="shared" si="4"/>
        <v>1</v>
      </c>
      <c r="AC27" s="454">
        <f t="shared" si="5"/>
        <v>1</v>
      </c>
    </row>
    <row r="28" spans="1:29" ht="15">
      <c r="A28" s="255"/>
      <c r="B28" s="289" t="s">
        <v>2265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28"/>
      <c r="Q28" s="383" t="str">
        <f t="shared" si="11"/>
        <v>楼层</v>
      </c>
      <c r="R28" s="448" t="s">
        <v>935</v>
      </c>
      <c r="S28" s="449">
        <f t="shared" ref="S28:S46" si="12">F28</f>
        <v>100</v>
      </c>
      <c r="T28" s="448" t="s">
        <v>935</v>
      </c>
      <c r="U28" s="449">
        <f t="shared" ref="U28:U46" si="13">H28</f>
        <v>100</v>
      </c>
      <c r="V28" s="448" t="s">
        <v>935</v>
      </c>
      <c r="W28" s="449">
        <f t="shared" ref="W28:W46" si="14">J28</f>
        <v>100</v>
      </c>
      <c r="X28" s="443"/>
      <c r="Y28" s="3328"/>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28"/>
      <c r="Q29" s="383">
        <f t="shared" si="11"/>
        <v>111</v>
      </c>
      <c r="R29" s="448" t="s">
        <v>935</v>
      </c>
      <c r="S29" s="449">
        <f t="shared" si="12"/>
        <v>100</v>
      </c>
      <c r="T29" s="448" t="s">
        <v>935</v>
      </c>
      <c r="U29" s="449">
        <f t="shared" si="13"/>
        <v>100</v>
      </c>
      <c r="V29" s="448" t="s">
        <v>935</v>
      </c>
      <c r="W29" s="449">
        <f t="shared" si="14"/>
        <v>100</v>
      </c>
      <c r="X29" s="443"/>
      <c r="Y29" s="3328"/>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28"/>
      <c r="Q30" s="383">
        <f t="shared" si="11"/>
        <v>111</v>
      </c>
      <c r="R30" s="448" t="s">
        <v>935</v>
      </c>
      <c r="S30" s="449">
        <f t="shared" si="12"/>
        <v>100</v>
      </c>
      <c r="T30" s="448" t="s">
        <v>935</v>
      </c>
      <c r="U30" s="449">
        <f t="shared" si="13"/>
        <v>100</v>
      </c>
      <c r="V30" s="448" t="s">
        <v>935</v>
      </c>
      <c r="W30" s="449">
        <f t="shared" si="14"/>
        <v>100</v>
      </c>
      <c r="X30" s="443"/>
      <c r="Y30" s="3328"/>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28"/>
      <c r="Q31" s="383">
        <f t="shared" si="11"/>
        <v>111</v>
      </c>
      <c r="R31" s="448" t="s">
        <v>935</v>
      </c>
      <c r="S31" s="449">
        <f t="shared" si="12"/>
        <v>100</v>
      </c>
      <c r="T31" s="448" t="s">
        <v>935</v>
      </c>
      <c r="U31" s="449">
        <f t="shared" si="13"/>
        <v>100</v>
      </c>
      <c r="V31" s="448" t="s">
        <v>935</v>
      </c>
      <c r="W31" s="449">
        <f t="shared" si="14"/>
        <v>100</v>
      </c>
      <c r="X31" s="443"/>
      <c r="Y31" s="3328"/>
      <c r="Z31" s="442">
        <f t="shared" si="15"/>
        <v>111</v>
      </c>
      <c r="AA31" s="454">
        <f t="shared" si="3"/>
        <v>1</v>
      </c>
      <c r="AB31" s="454">
        <f t="shared" si="4"/>
        <v>1</v>
      </c>
      <c r="AC31" s="454">
        <f t="shared" si="5"/>
        <v>1</v>
      </c>
    </row>
    <row r="32" spans="1:29" ht="15">
      <c r="A32" s="283" t="s">
        <v>958</v>
      </c>
      <c r="B32" s="284" t="s">
        <v>2266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29" t="s">
        <v>957</v>
      </c>
      <c r="Q32" s="383" t="str">
        <f t="shared" si="11"/>
        <v>商业类型</v>
      </c>
      <c r="R32" s="448" t="s">
        <v>935</v>
      </c>
      <c r="S32" s="449">
        <f t="shared" si="12"/>
        <v>100</v>
      </c>
      <c r="T32" s="448" t="s">
        <v>935</v>
      </c>
      <c r="U32" s="449">
        <f t="shared" si="13"/>
        <v>100</v>
      </c>
      <c r="V32" s="448" t="s">
        <v>935</v>
      </c>
      <c r="W32" s="449">
        <f t="shared" si="14"/>
        <v>100</v>
      </c>
      <c r="X32" s="443"/>
      <c r="Y32" s="3330" t="s">
        <v>957</v>
      </c>
      <c r="Z32" s="442" t="str">
        <f t="shared" si="15"/>
        <v>商业类型</v>
      </c>
      <c r="AA32" s="454">
        <f t="shared" si="3"/>
        <v>1</v>
      </c>
      <c r="AB32" s="454">
        <f t="shared" si="4"/>
        <v>1</v>
      </c>
      <c r="AC32" s="454">
        <f t="shared" si="5"/>
        <v>1</v>
      </c>
    </row>
    <row r="33" spans="1:29" s="192" customFormat="1" ht="15">
      <c r="A33" s="288"/>
      <c r="B33" s="289" t="s">
        <v>2096</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30"/>
      <c r="Q33" s="450" t="str">
        <f t="shared" si="11"/>
        <v>项目建筑规模</v>
      </c>
      <c r="R33" s="451" t="s">
        <v>935</v>
      </c>
      <c r="S33" s="452" t="e">
        <f t="shared" si="12"/>
        <v>#N/A</v>
      </c>
      <c r="T33" s="451" t="s">
        <v>935</v>
      </c>
      <c r="U33" s="452" t="e">
        <f t="shared" si="13"/>
        <v>#N/A</v>
      </c>
      <c r="V33" s="451" t="s">
        <v>935</v>
      </c>
      <c r="W33" s="452" t="e">
        <f t="shared" si="14"/>
        <v>#N/A</v>
      </c>
      <c r="X33" s="453"/>
      <c r="Y33" s="3330"/>
      <c r="Z33" s="465" t="str">
        <f t="shared" si="15"/>
        <v>项目建筑规模</v>
      </c>
      <c r="AA33" s="454" t="e">
        <f t="shared" si="3"/>
        <v>#N/A</v>
      </c>
      <c r="AB33" s="454" t="e">
        <f t="shared" si="4"/>
        <v>#N/A</v>
      </c>
      <c r="AC33" s="454" t="e">
        <f t="shared" si="5"/>
        <v>#N/A</v>
      </c>
    </row>
    <row r="34" spans="1:29" ht="15">
      <c r="A34" s="293"/>
      <c r="B34" s="289" t="s">
        <v>2097</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30"/>
      <c r="Q34" s="383" t="str">
        <f t="shared" si="11"/>
        <v>建筑结构</v>
      </c>
      <c r="R34" s="448" t="s">
        <v>935</v>
      </c>
      <c r="S34" s="449">
        <f t="shared" si="12"/>
        <v>100</v>
      </c>
      <c r="T34" s="448" t="s">
        <v>935</v>
      </c>
      <c r="U34" s="449">
        <f t="shared" si="13"/>
        <v>100</v>
      </c>
      <c r="V34" s="448" t="s">
        <v>935</v>
      </c>
      <c r="W34" s="449">
        <f t="shared" si="14"/>
        <v>100</v>
      </c>
      <c r="X34" s="443"/>
      <c r="Y34" s="3330"/>
      <c r="Z34" s="442" t="str">
        <f t="shared" si="15"/>
        <v>建筑结构</v>
      </c>
      <c r="AA34" s="454">
        <f t="shared" si="3"/>
        <v>1</v>
      </c>
      <c r="AB34" s="454">
        <f t="shared" si="4"/>
        <v>1</v>
      </c>
      <c r="AC34" s="454">
        <f t="shared" si="5"/>
        <v>1</v>
      </c>
    </row>
    <row r="35" spans="1:29" ht="15">
      <c r="A35" s="293"/>
      <c r="B35" s="289" t="s">
        <v>2099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30"/>
      <c r="Q35" s="383" t="str">
        <f t="shared" si="11"/>
        <v>公共部分装修</v>
      </c>
      <c r="R35" s="448" t="s">
        <v>935</v>
      </c>
      <c r="S35" s="449">
        <f t="shared" si="12"/>
        <v>100</v>
      </c>
      <c r="T35" s="448" t="s">
        <v>935</v>
      </c>
      <c r="U35" s="449">
        <f t="shared" si="13"/>
        <v>100</v>
      </c>
      <c r="V35" s="448" t="s">
        <v>935</v>
      </c>
      <c r="W35" s="449">
        <f t="shared" si="14"/>
        <v>100</v>
      </c>
      <c r="X35" s="443"/>
      <c r="Y35" s="3330"/>
      <c r="Z35" s="442" t="str">
        <f t="shared" si="15"/>
        <v>公共部分装修</v>
      </c>
      <c r="AA35" s="454">
        <f t="shared" si="3"/>
        <v>1</v>
      </c>
      <c r="AB35" s="454">
        <f t="shared" si="4"/>
        <v>1</v>
      </c>
      <c r="AC35" s="454">
        <f t="shared" si="5"/>
        <v>1</v>
      </c>
    </row>
    <row r="36" spans="1:29" ht="15">
      <c r="A36" s="293"/>
      <c r="B36" s="289" t="s">
        <v>2102</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30"/>
      <c r="Q36" s="383" t="str">
        <f t="shared" si="11"/>
        <v>成新度</v>
      </c>
      <c r="R36" s="448" t="s">
        <v>935</v>
      </c>
      <c r="S36" s="449" t="e">
        <f t="shared" si="12"/>
        <v>#N/A</v>
      </c>
      <c r="T36" s="448" t="s">
        <v>935</v>
      </c>
      <c r="U36" s="449" t="e">
        <f t="shared" si="13"/>
        <v>#N/A</v>
      </c>
      <c r="V36" s="448" t="s">
        <v>935</v>
      </c>
      <c r="W36" s="449" t="e">
        <f t="shared" si="14"/>
        <v>#N/A</v>
      </c>
      <c r="X36" s="443"/>
      <c r="Y36" s="3330"/>
      <c r="Z36" s="442" t="str">
        <f t="shared" si="15"/>
        <v>成新度</v>
      </c>
      <c r="AA36" s="454" t="e">
        <f t="shared" si="3"/>
        <v>#N/A</v>
      </c>
      <c r="AB36" s="454" t="e">
        <f t="shared" si="4"/>
        <v>#N/A</v>
      </c>
      <c r="AC36" s="454" t="e">
        <f t="shared" si="5"/>
        <v>#N/A</v>
      </c>
    </row>
    <row r="37" spans="1:29" s="190" customFormat="1" ht="15">
      <c r="A37" s="296"/>
      <c r="B37" s="544" t="s">
        <v>2104</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30"/>
      <c r="Q37" s="447" t="str">
        <f t="shared" si="11"/>
        <v>市政基础设施</v>
      </c>
      <c r="R37" s="444" t="s">
        <v>935</v>
      </c>
      <c r="S37" s="445">
        <f t="shared" si="12"/>
        <v>100</v>
      </c>
      <c r="T37" s="444" t="s">
        <v>935</v>
      </c>
      <c r="U37" s="445">
        <f t="shared" si="13"/>
        <v>100</v>
      </c>
      <c r="V37" s="444" t="s">
        <v>935</v>
      </c>
      <c r="W37" s="445">
        <f t="shared" si="14"/>
        <v>100</v>
      </c>
      <c r="X37" s="446"/>
      <c r="Y37" s="3330"/>
      <c r="Z37" s="464" t="str">
        <f t="shared" si="15"/>
        <v>市政基础设施</v>
      </c>
      <c r="AA37" s="463">
        <f t="shared" si="3"/>
        <v>1</v>
      </c>
      <c r="AB37" s="463">
        <f t="shared" si="4"/>
        <v>1</v>
      </c>
      <c r="AC37" s="463">
        <f t="shared" si="5"/>
        <v>1</v>
      </c>
    </row>
    <row r="38" spans="1:29" ht="15">
      <c r="A38" s="293"/>
      <c r="B38" s="289" t="s">
        <v>2267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30" t="s">
        <v>957</v>
      </c>
      <c r="Q38" s="383" t="str">
        <f t="shared" si="11"/>
        <v>业态</v>
      </c>
      <c r="R38" s="448" t="s">
        <v>935</v>
      </c>
      <c r="S38" s="449">
        <f t="shared" si="12"/>
        <v>100</v>
      </c>
      <c r="T38" s="448" t="s">
        <v>935</v>
      </c>
      <c r="U38" s="449">
        <f t="shared" si="13"/>
        <v>100</v>
      </c>
      <c r="V38" s="448" t="s">
        <v>935</v>
      </c>
      <c r="W38" s="449">
        <f t="shared" si="14"/>
        <v>100</v>
      </c>
      <c r="X38" s="443"/>
      <c r="Y38" s="3330" t="s">
        <v>957</v>
      </c>
      <c r="Z38" s="442" t="str">
        <f t="shared" si="15"/>
        <v>业态</v>
      </c>
      <c r="AA38" s="454">
        <f t="shared" si="3"/>
        <v>1</v>
      </c>
      <c r="AB38" s="454">
        <f t="shared" si="4"/>
        <v>1</v>
      </c>
      <c r="AC38" s="454">
        <f t="shared" si="5"/>
        <v>1</v>
      </c>
    </row>
    <row r="39" spans="1:29" ht="15">
      <c r="A39" s="293"/>
      <c r="B39" s="289" t="s">
        <v>2268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0"/>
      <c r="Q39" s="383" t="str">
        <f t="shared" si="11"/>
        <v>层高</v>
      </c>
      <c r="R39" s="448" t="s">
        <v>935</v>
      </c>
      <c r="S39" s="449">
        <f t="shared" si="12"/>
        <v>100</v>
      </c>
      <c r="T39" s="448" t="s">
        <v>935</v>
      </c>
      <c r="U39" s="449">
        <f t="shared" si="13"/>
        <v>100</v>
      </c>
      <c r="V39" s="448" t="s">
        <v>935</v>
      </c>
      <c r="W39" s="449">
        <f t="shared" si="14"/>
        <v>100</v>
      </c>
      <c r="X39" s="443"/>
      <c r="Y39" s="3330"/>
      <c r="Z39" s="442" t="str">
        <f t="shared" si="15"/>
        <v>层高</v>
      </c>
      <c r="AA39" s="454">
        <f t="shared" si="3"/>
        <v>1</v>
      </c>
      <c r="AB39" s="454">
        <f t="shared" si="4"/>
        <v>1</v>
      </c>
      <c r="AC39" s="454">
        <f t="shared" si="5"/>
        <v>1</v>
      </c>
    </row>
    <row r="40" spans="1:29" ht="15">
      <c r="A40" s="293"/>
      <c r="B40" s="289" t="s">
        <v>2269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30"/>
      <c r="Q40" s="383" t="str">
        <f t="shared" si="11"/>
        <v>单套建筑面积</v>
      </c>
      <c r="R40" s="448" t="s">
        <v>935</v>
      </c>
      <c r="S40" s="449">
        <f t="shared" si="12"/>
        <v>100</v>
      </c>
      <c r="T40" s="448" t="s">
        <v>935</v>
      </c>
      <c r="U40" s="449">
        <f t="shared" si="13"/>
        <v>100</v>
      </c>
      <c r="V40" s="448" t="s">
        <v>935</v>
      </c>
      <c r="W40" s="449">
        <f t="shared" si="14"/>
        <v>100</v>
      </c>
      <c r="X40" s="443"/>
      <c r="Y40" s="3330"/>
      <c r="Z40" s="442" t="str">
        <f t="shared" si="15"/>
        <v>单套建筑面积</v>
      </c>
      <c r="AA40" s="454">
        <f t="shared" si="3"/>
        <v>1</v>
      </c>
      <c r="AB40" s="454">
        <f t="shared" si="4"/>
        <v>1</v>
      </c>
      <c r="AC40" s="454">
        <f t="shared" si="5"/>
        <v>1</v>
      </c>
    </row>
    <row r="41" spans="1:29" s="192" customFormat="1" ht="15">
      <c r="A41" s="288"/>
      <c r="B41" s="401" t="s">
        <v>2270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30"/>
      <c r="Q41" s="450" t="str">
        <f t="shared" si="11"/>
        <v>进深比</v>
      </c>
      <c r="R41" s="451" t="s">
        <v>935</v>
      </c>
      <c r="S41" s="452">
        <f t="shared" si="12"/>
        <v>100</v>
      </c>
      <c r="T41" s="451" t="s">
        <v>935</v>
      </c>
      <c r="U41" s="452">
        <f t="shared" si="13"/>
        <v>100</v>
      </c>
      <c r="V41" s="451" t="s">
        <v>935</v>
      </c>
      <c r="W41" s="452">
        <f t="shared" si="14"/>
        <v>100</v>
      </c>
      <c r="X41" s="453"/>
      <c r="Y41" s="3330"/>
      <c r="Z41" s="465" t="str">
        <f t="shared" si="15"/>
        <v>进深比</v>
      </c>
      <c r="AA41" s="454">
        <f t="shared" si="3"/>
        <v>1</v>
      </c>
      <c r="AB41" s="454">
        <f t="shared" si="4"/>
        <v>1</v>
      </c>
      <c r="AC41" s="454">
        <f t="shared" si="5"/>
        <v>1</v>
      </c>
    </row>
    <row r="42" spans="1:29" ht="15">
      <c r="A42" s="293"/>
      <c r="B42" s="289" t="s">
        <v>2107</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30"/>
      <c r="Q42" s="383" t="str">
        <f t="shared" si="11"/>
        <v>内部装修</v>
      </c>
      <c r="R42" s="448" t="s">
        <v>935</v>
      </c>
      <c r="S42" s="449">
        <f t="shared" si="12"/>
        <v>100</v>
      </c>
      <c r="T42" s="448" t="s">
        <v>935</v>
      </c>
      <c r="U42" s="449">
        <f t="shared" si="13"/>
        <v>100</v>
      </c>
      <c r="V42" s="448" t="s">
        <v>935</v>
      </c>
      <c r="W42" s="449">
        <f t="shared" si="14"/>
        <v>100</v>
      </c>
      <c r="X42" s="443"/>
      <c r="Y42" s="3330"/>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30"/>
      <c r="Q43" s="383" t="str">
        <f t="shared" si="11"/>
        <v>内部装修维护情况</v>
      </c>
      <c r="R43" s="448" t="s">
        <v>935</v>
      </c>
      <c r="S43" s="449">
        <f t="shared" si="12"/>
        <v>100</v>
      </c>
      <c r="T43" s="448" t="s">
        <v>935</v>
      </c>
      <c r="U43" s="449">
        <f t="shared" si="13"/>
        <v>100</v>
      </c>
      <c r="V43" s="448" t="s">
        <v>935</v>
      </c>
      <c r="W43" s="449">
        <f t="shared" si="14"/>
        <v>100</v>
      </c>
      <c r="X43" s="443"/>
      <c r="Y43" s="3330"/>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30"/>
      <c r="Q44" s="447">
        <f t="shared" si="11"/>
        <v>111</v>
      </c>
      <c r="R44" s="444" t="s">
        <v>935</v>
      </c>
      <c r="S44" s="445">
        <f t="shared" si="12"/>
        <v>100</v>
      </c>
      <c r="T44" s="444" t="s">
        <v>935</v>
      </c>
      <c r="U44" s="445">
        <f t="shared" si="13"/>
        <v>100</v>
      </c>
      <c r="V44" s="444" t="s">
        <v>935</v>
      </c>
      <c r="W44" s="445">
        <f t="shared" si="14"/>
        <v>100</v>
      </c>
      <c r="X44" s="446"/>
      <c r="Y44" s="3330"/>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30"/>
      <c r="Q45" s="383">
        <f t="shared" si="11"/>
        <v>111</v>
      </c>
      <c r="R45" s="448" t="s">
        <v>935</v>
      </c>
      <c r="S45" s="449">
        <f t="shared" si="12"/>
        <v>100</v>
      </c>
      <c r="T45" s="448" t="s">
        <v>935</v>
      </c>
      <c r="U45" s="449">
        <f t="shared" si="13"/>
        <v>100</v>
      </c>
      <c r="V45" s="448" t="s">
        <v>935</v>
      </c>
      <c r="W45" s="449">
        <f t="shared" si="14"/>
        <v>100</v>
      </c>
      <c r="X45" s="443"/>
      <c r="Y45" s="3330"/>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1"/>
      <c r="Q46" s="383">
        <f t="shared" si="11"/>
        <v>111</v>
      </c>
      <c r="R46" s="448" t="s">
        <v>935</v>
      </c>
      <c r="S46" s="449">
        <f t="shared" si="12"/>
        <v>100</v>
      </c>
      <c r="T46" s="448" t="s">
        <v>935</v>
      </c>
      <c r="U46" s="449">
        <f t="shared" si="13"/>
        <v>100</v>
      </c>
      <c r="V46" s="448" t="s">
        <v>935</v>
      </c>
      <c r="W46" s="449">
        <f t="shared" si="14"/>
        <v>100</v>
      </c>
      <c r="X46" s="443"/>
      <c r="Y46" s="3411"/>
      <c r="Z46" s="442">
        <f t="shared" si="15"/>
        <v>111</v>
      </c>
      <c r="AA46" s="454">
        <f t="shared" si="3"/>
        <v>1</v>
      </c>
      <c r="AB46" s="454">
        <f t="shared" si="4"/>
        <v>1</v>
      </c>
      <c r="AC46" s="454">
        <f t="shared" si="5"/>
        <v>1</v>
      </c>
    </row>
    <row r="47" spans="1:29" ht="15">
      <c r="A47" s="303" t="s">
        <v>2109</v>
      </c>
      <c r="B47" s="304"/>
      <c r="C47" s="305" t="s">
        <v>138</v>
      </c>
      <c r="D47" s="306"/>
      <c r="E47" s="307"/>
      <c r="F47" s="308"/>
      <c r="G47" s="309"/>
      <c r="H47" s="310"/>
      <c r="I47" s="307"/>
      <c r="J47" s="310"/>
      <c r="K47" s="397"/>
      <c r="L47" s="398"/>
      <c r="M47" s="319"/>
      <c r="N47" s="378"/>
      <c r="O47" s="319"/>
      <c r="P47" s="3326" t="str">
        <f>A47</f>
        <v>成交单价（元/平方米）</v>
      </c>
      <c r="Q47" s="3326"/>
      <c r="R47" s="3410">
        <f>E47</f>
        <v>0</v>
      </c>
      <c r="S47" s="3410"/>
      <c r="T47" s="3410">
        <f>G47</f>
        <v>0</v>
      </c>
      <c r="U47" s="3410"/>
      <c r="V47" s="3410">
        <f>I47</f>
        <v>0</v>
      </c>
      <c r="W47" s="3410"/>
      <c r="X47" s="330"/>
      <c r="Y47" s="466"/>
      <c r="Z47" s="330"/>
      <c r="AA47" s="330"/>
      <c r="AB47" s="330"/>
      <c r="AC47" s="330"/>
    </row>
    <row r="48" spans="1:29" ht="15">
      <c r="A48" s="311" t="s">
        <v>967</v>
      </c>
      <c r="B48" s="312"/>
      <c r="C48" s="313" t="e">
        <f>R49</f>
        <v>#DIV/0!</v>
      </c>
      <c r="D48" s="314"/>
      <c r="E48" s="315" t="e">
        <f>R48</f>
        <v>#DIV/0!</v>
      </c>
      <c r="F48" s="315"/>
      <c r="G48" s="313" t="e">
        <f>T48</f>
        <v>#DIV/0!</v>
      </c>
      <c r="H48" s="314"/>
      <c r="I48" s="315" t="e">
        <f>V48</f>
        <v>#DIV/0!</v>
      </c>
      <c r="J48" s="314"/>
      <c r="K48" s="399"/>
      <c r="L48" s="398"/>
      <c r="M48" s="319"/>
      <c r="N48" s="378"/>
      <c r="O48" s="319"/>
      <c r="P48" s="3326" t="str">
        <f>A48</f>
        <v>比较价格（元/平方米）</v>
      </c>
      <c r="Q48" s="3326"/>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30"/>
      <c r="Y48" s="330"/>
      <c r="Z48" s="330"/>
      <c r="AA48" s="330"/>
      <c r="AB48" s="330"/>
      <c r="AC48" s="330"/>
    </row>
    <row r="49" spans="1:29" ht="15">
      <c r="A49" s="316" t="s">
        <v>968</v>
      </c>
      <c r="B49" s="317"/>
      <c r="C49" s="318" t="e">
        <f>R49</f>
        <v>#DIV/0!</v>
      </c>
      <c r="D49" s="318"/>
      <c r="E49" s="318"/>
      <c r="F49" s="318"/>
      <c r="G49" s="318"/>
      <c r="H49" s="318"/>
      <c r="I49" s="318"/>
      <c r="J49" s="318"/>
      <c r="K49" s="400"/>
      <c r="L49" s="398"/>
      <c r="M49" s="319"/>
      <c r="N49" s="378"/>
      <c r="O49" s="319"/>
      <c r="P49" s="3332" t="str">
        <f>A49</f>
        <v>估价对象XX用房的比较价格（楼面单价，元/平方米）</v>
      </c>
      <c r="Q49" s="3333"/>
      <c r="R49" s="3412" t="e">
        <f>IF(F1="售价",ROUND(AVERAGE(R48:V48),0),ROUND(AVERAGE(R48:V48),1))</f>
        <v>#DIV/0!</v>
      </c>
      <c r="S49" s="3412"/>
      <c r="T49" s="3412"/>
      <c r="U49" s="3412"/>
      <c r="V49" s="3412"/>
      <c r="W49" s="3412"/>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5" t="str">
        <f>YEAR(C7)&amp;"-"&amp;MONTH(C7)</f>
        <v>2019-5</v>
      </c>
      <c r="D58" s="336">
        <f>EDATE(C58,-1)</f>
        <v>43556</v>
      </c>
      <c r="E58" s="336">
        <f t="shared" ref="E58:O58" si="16">EDATE(D58,-1)</f>
        <v>43525</v>
      </c>
      <c r="F58" s="336">
        <f t="shared" si="16"/>
        <v>43497</v>
      </c>
      <c r="G58" s="336">
        <f t="shared" si="16"/>
        <v>43466</v>
      </c>
      <c r="H58" s="336">
        <f t="shared" si="16"/>
        <v>43435</v>
      </c>
      <c r="I58" s="336">
        <f t="shared" si="16"/>
        <v>43405</v>
      </c>
      <c r="J58" s="336">
        <f t="shared" si="16"/>
        <v>43374</v>
      </c>
      <c r="K58" s="336">
        <f t="shared" si="16"/>
        <v>43344</v>
      </c>
      <c r="L58" s="336">
        <f t="shared" si="16"/>
        <v>43313</v>
      </c>
      <c r="M58" s="336">
        <f t="shared" si="16"/>
        <v>43282</v>
      </c>
      <c r="N58" s="336">
        <f t="shared" si="16"/>
        <v>43252</v>
      </c>
      <c r="O58" s="336">
        <f t="shared" si="16"/>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1107</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997</v>
      </c>
      <c r="B63" s="349" t="s">
        <v>998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999</v>
      </c>
      <c r="C65" s="356" t="s">
        <v>2110</v>
      </c>
      <c r="D65" s="356" t="s">
        <v>2111</v>
      </c>
      <c r="E65" s="356" t="s">
        <v>2112</v>
      </c>
      <c r="F65" s="356" t="s">
        <v>2113</v>
      </c>
      <c r="G65" s="356" t="s">
        <v>2114</v>
      </c>
      <c r="H65" s="356" t="s">
        <v>2115</v>
      </c>
      <c r="I65" s="356" t="s">
        <v>2116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992</v>
      </c>
      <c r="D66" s="358" t="s">
        <v>992</v>
      </c>
      <c r="E66" s="358" t="s">
        <v>992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2266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2096</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2097</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2099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2102</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2104</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2107</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2272</v>
      </c>
      <c r="C1" s="200" t="s">
        <v>2081</v>
      </c>
      <c r="D1" s="201"/>
      <c r="E1" s="202"/>
      <c r="F1" s="203"/>
      <c r="G1" s="204" t="s">
        <v>2083</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2084</v>
      </c>
      <c r="B3" s="211" t="e">
        <f>C50</f>
        <v>#DIV/0!</v>
      </c>
      <c r="C3" s="212" t="s">
        <v>2085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921</v>
      </c>
      <c r="B4" s="215"/>
      <c r="C4" s="3315" t="s">
        <v>922</v>
      </c>
      <c r="D4" s="3316"/>
      <c r="E4" s="3356" t="s">
        <v>923</v>
      </c>
      <c r="F4" s="3357"/>
      <c r="G4" s="3315" t="s">
        <v>924</v>
      </c>
      <c r="H4" s="3316"/>
      <c r="I4" s="3315" t="s">
        <v>925</v>
      </c>
      <c r="J4" s="3316"/>
      <c r="K4" s="376" t="s">
        <v>926</v>
      </c>
      <c r="L4" s="377"/>
      <c r="M4" s="378"/>
      <c r="N4" s="378"/>
      <c r="O4" s="378"/>
      <c r="P4" s="3437" t="s">
        <v>927</v>
      </c>
      <c r="Q4" s="3344"/>
      <c r="R4" s="3349" t="s">
        <v>923</v>
      </c>
      <c r="S4" s="3350"/>
      <c r="T4" s="3349" t="s">
        <v>924</v>
      </c>
      <c r="U4" s="3350"/>
      <c r="V4" s="3335" t="s">
        <v>925</v>
      </c>
      <c r="W4" s="3335"/>
      <c r="X4" s="443"/>
      <c r="Y4" s="3349" t="s">
        <v>927</v>
      </c>
      <c r="Z4" s="3350"/>
      <c r="AA4" s="3336" t="s">
        <v>923</v>
      </c>
      <c r="AB4" s="3336" t="s">
        <v>924</v>
      </c>
      <c r="AC4" s="3336" t="s">
        <v>925</v>
      </c>
    </row>
    <row r="5" spans="1:29" ht="15">
      <c r="A5" s="216"/>
      <c r="B5" s="217"/>
      <c r="C5" s="3358" t="s">
        <v>1099</v>
      </c>
      <c r="D5" s="3318"/>
      <c r="E5" s="3359" t="s">
        <v>1100</v>
      </c>
      <c r="F5" s="3360"/>
      <c r="G5" s="3358" t="s">
        <v>1101</v>
      </c>
      <c r="H5" s="3318"/>
      <c r="I5" s="3358" t="s">
        <v>1102</v>
      </c>
      <c r="J5" s="3318"/>
      <c r="K5" s="376"/>
      <c r="L5" s="377"/>
      <c r="M5" s="378"/>
      <c r="N5" s="378"/>
      <c r="O5" s="378"/>
      <c r="P5" s="3438"/>
      <c r="Q5" s="3346"/>
      <c r="R5" s="3351"/>
      <c r="S5" s="3352"/>
      <c r="T5" s="3351"/>
      <c r="U5" s="3352"/>
      <c r="V5" s="3335"/>
      <c r="W5" s="3335"/>
      <c r="X5" s="443"/>
      <c r="Y5" s="3351"/>
      <c r="Z5" s="3352"/>
      <c r="AA5" s="3337"/>
      <c r="AB5" s="3337"/>
      <c r="AC5" s="3337"/>
    </row>
    <row r="6" spans="1:29" ht="15">
      <c r="A6" s="218"/>
      <c r="B6" s="219"/>
      <c r="C6" s="3321" t="s">
        <v>1103</v>
      </c>
      <c r="D6" s="3322"/>
      <c r="E6" s="3361" t="s">
        <v>1103</v>
      </c>
      <c r="F6" s="3362"/>
      <c r="G6" s="3321" t="s">
        <v>1103</v>
      </c>
      <c r="H6" s="3322"/>
      <c r="I6" s="3321" t="s">
        <v>1103</v>
      </c>
      <c r="J6" s="3322"/>
      <c r="K6" s="376" t="s">
        <v>932</v>
      </c>
      <c r="L6" s="377"/>
      <c r="M6" s="378"/>
      <c r="N6" s="378"/>
      <c r="O6" s="378"/>
      <c r="P6" s="3439"/>
      <c r="Q6" s="3348"/>
      <c r="R6" s="3351"/>
      <c r="S6" s="3352"/>
      <c r="T6" s="3353"/>
      <c r="U6" s="3354"/>
      <c r="V6" s="3335"/>
      <c r="W6" s="3335"/>
      <c r="X6" s="443"/>
      <c r="Y6" s="3353"/>
      <c r="Z6" s="3354"/>
      <c r="AA6" s="3338"/>
      <c r="AB6" s="3338"/>
      <c r="AC6" s="3338"/>
    </row>
    <row r="7" spans="1:29" s="190" customFormat="1" ht="15">
      <c r="A7" s="220"/>
      <c r="B7" s="221" t="s">
        <v>933</v>
      </c>
      <c r="C7" s="222">
        <f>'数据-取费表'!B2</f>
        <v>43600</v>
      </c>
      <c r="D7" s="223">
        <v>100</v>
      </c>
      <c r="E7" s="224"/>
      <c r="F7" s="225">
        <f>SUMIF(59:59,YEAR(E7)&amp;"-"&amp;MONTH(E7),60:60)</f>
        <v>0</v>
      </c>
      <c r="G7" s="224"/>
      <c r="H7" s="223">
        <f>SUMIF(59:59,YEAR(G7)&amp;"-"&amp;MONTH(G7),60:60)</f>
        <v>0</v>
      </c>
      <c r="I7" s="224"/>
      <c r="J7" s="223">
        <f>SUMIF(59:59,YEAR(I7)&amp;"-"&amp;MONTH(I7),60:60)</f>
        <v>0</v>
      </c>
      <c r="K7" s="379"/>
      <c r="L7" s="380"/>
      <c r="M7" s="381"/>
      <c r="N7" s="381"/>
      <c r="O7" s="381"/>
      <c r="P7" s="3324" t="s">
        <v>934</v>
      </c>
      <c r="Q7" s="3324"/>
      <c r="R7" s="444" t="s">
        <v>935</v>
      </c>
      <c r="S7" s="445">
        <f t="shared" ref="S7:S15" si="0">F7</f>
        <v>0</v>
      </c>
      <c r="T7" s="444" t="s">
        <v>935</v>
      </c>
      <c r="U7" s="445">
        <f t="shared" ref="U7:U15" si="1">H7</f>
        <v>0</v>
      </c>
      <c r="V7" s="444" t="s">
        <v>935</v>
      </c>
      <c r="W7" s="445">
        <f t="shared" ref="W7:W15" si="2">J7</f>
        <v>0</v>
      </c>
      <c r="X7" s="446"/>
      <c r="Y7" s="3323" t="s">
        <v>934</v>
      </c>
      <c r="Z7" s="3355"/>
      <c r="AA7" s="463" t="e">
        <f>D7/F7</f>
        <v>#DIV/0!</v>
      </c>
      <c r="AB7" s="463" t="e">
        <f>D7/H7</f>
        <v>#DIV/0!</v>
      </c>
      <c r="AC7" s="463" t="e">
        <f>D7/J7</f>
        <v>#DIV/0!</v>
      </c>
    </row>
    <row r="8" spans="1:29" s="190" customFormat="1" ht="15">
      <c r="A8" s="227"/>
      <c r="B8" s="228" t="s">
        <v>936</v>
      </c>
      <c r="C8" s="229" t="s">
        <v>937</v>
      </c>
      <c r="D8" s="223">
        <v>100</v>
      </c>
      <c r="E8" s="229"/>
      <c r="F8" s="225">
        <f>SUMIF(62:62,E8,63:63)-SUMIF(62:62,C8,63:63)+100</f>
        <v>0</v>
      </c>
      <c r="G8" s="229"/>
      <c r="H8" s="223">
        <f>SUMIF(62:62,G8,63:63)-SUMIF(62:62,C8,63:63)+100</f>
        <v>0</v>
      </c>
      <c r="I8" s="229"/>
      <c r="J8" s="223">
        <f>SUMIF(62:62,I8,63:63)-SUMIF(62:62,C8,63:63)+100</f>
        <v>0</v>
      </c>
      <c r="K8" s="379"/>
      <c r="L8" s="380"/>
      <c r="M8" s="381"/>
      <c r="N8" s="381"/>
      <c r="O8" s="381"/>
      <c r="P8" s="3324" t="s">
        <v>939</v>
      </c>
      <c r="Q8" s="3355"/>
      <c r="R8" s="444" t="s">
        <v>935</v>
      </c>
      <c r="S8" s="445">
        <f t="shared" si="0"/>
        <v>0</v>
      </c>
      <c r="T8" s="444" t="s">
        <v>935</v>
      </c>
      <c r="U8" s="445">
        <f t="shared" si="1"/>
        <v>0</v>
      </c>
      <c r="V8" s="444" t="s">
        <v>935</v>
      </c>
      <c r="W8" s="445">
        <f t="shared" si="2"/>
        <v>0</v>
      </c>
      <c r="X8" s="446"/>
      <c r="Y8" s="3323" t="s">
        <v>939</v>
      </c>
      <c r="Z8" s="3355"/>
      <c r="AA8" s="463" t="e">
        <f t="shared" ref="AA8:AA47" si="3">D8/F8</f>
        <v>#DIV/0!</v>
      </c>
      <c r="AB8" s="463" t="e">
        <f t="shared" ref="AB8:AB47" si="4">D8/H8</f>
        <v>#DIV/0!</v>
      </c>
      <c r="AC8" s="463" t="e">
        <f t="shared" ref="AC8:AC47" si="5">D8/J8</f>
        <v>#DIV/0!</v>
      </c>
    </row>
    <row r="9" spans="1:29" s="190" customFormat="1" ht="15">
      <c r="A9" s="230"/>
      <c r="B9" s="231" t="s">
        <v>940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26" t="s">
        <v>942</v>
      </c>
      <c r="Q9" s="447" t="str">
        <f t="shared" ref="Q9:Q15" si="6">B9</f>
        <v>用途</v>
      </c>
      <c r="R9" s="444" t="s">
        <v>935</v>
      </c>
      <c r="S9" s="445">
        <f t="shared" si="0"/>
        <v>100</v>
      </c>
      <c r="T9" s="444" t="s">
        <v>935</v>
      </c>
      <c r="U9" s="445">
        <f t="shared" si="1"/>
        <v>100</v>
      </c>
      <c r="V9" s="444" t="s">
        <v>935</v>
      </c>
      <c r="W9" s="445">
        <f t="shared" si="2"/>
        <v>100</v>
      </c>
      <c r="X9" s="446"/>
      <c r="Y9" s="3314"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26"/>
      <c r="Q10" s="447" t="str">
        <f t="shared" si="6"/>
        <v>土地使用年限（年）</v>
      </c>
      <c r="R10" s="444" t="s">
        <v>935</v>
      </c>
      <c r="S10" s="445">
        <f t="shared" si="0"/>
        <v>100</v>
      </c>
      <c r="T10" s="444" t="s">
        <v>935</v>
      </c>
      <c r="U10" s="445">
        <f t="shared" si="1"/>
        <v>100</v>
      </c>
      <c r="V10" s="444" t="s">
        <v>935</v>
      </c>
      <c r="W10" s="445">
        <f t="shared" si="2"/>
        <v>100</v>
      </c>
      <c r="X10" s="446"/>
      <c r="Y10" s="3314"/>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26"/>
      <c r="Q11" s="447" t="str">
        <f t="shared" si="6"/>
        <v>容积率</v>
      </c>
      <c r="R11" s="444" t="s">
        <v>935</v>
      </c>
      <c r="S11" s="445" t="e">
        <f t="shared" si="0"/>
        <v>#N/A</v>
      </c>
      <c r="T11" s="444" t="s">
        <v>935</v>
      </c>
      <c r="U11" s="445" t="e">
        <f t="shared" si="1"/>
        <v>#N/A</v>
      </c>
      <c r="V11" s="444" t="s">
        <v>935</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26"/>
      <c r="Q12" s="447">
        <f t="shared" si="6"/>
        <v>111</v>
      </c>
      <c r="R12" s="444" t="s">
        <v>935</v>
      </c>
      <c r="S12" s="445">
        <f t="shared" si="0"/>
        <v>100</v>
      </c>
      <c r="T12" s="444" t="s">
        <v>935</v>
      </c>
      <c r="U12" s="445">
        <f t="shared" si="1"/>
        <v>100</v>
      </c>
      <c r="V12" s="444" t="s">
        <v>935</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26"/>
      <c r="Q13" s="447">
        <f t="shared" si="6"/>
        <v>111</v>
      </c>
      <c r="R13" s="444" t="s">
        <v>935</v>
      </c>
      <c r="S13" s="445">
        <f t="shared" si="0"/>
        <v>100</v>
      </c>
      <c r="T13" s="444" t="s">
        <v>935</v>
      </c>
      <c r="U13" s="445">
        <f t="shared" si="1"/>
        <v>100</v>
      </c>
      <c r="V13" s="444" t="s">
        <v>935</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26"/>
      <c r="Q14" s="447">
        <f t="shared" si="6"/>
        <v>111</v>
      </c>
      <c r="R14" s="444" t="s">
        <v>935</v>
      </c>
      <c r="S14" s="445">
        <f t="shared" si="0"/>
        <v>100</v>
      </c>
      <c r="T14" s="444" t="s">
        <v>935</v>
      </c>
      <c r="U14" s="445">
        <f t="shared" si="1"/>
        <v>100</v>
      </c>
      <c r="V14" s="444" t="s">
        <v>935</v>
      </c>
      <c r="W14" s="445">
        <f t="shared" si="2"/>
        <v>100</v>
      </c>
      <c r="X14" s="446"/>
      <c r="Y14" s="3314"/>
      <c r="Z14" s="464">
        <f t="shared" si="7"/>
        <v>111</v>
      </c>
      <c r="AA14" s="463">
        <f t="shared" si="3"/>
        <v>1</v>
      </c>
      <c r="AB14" s="463">
        <f t="shared" si="4"/>
        <v>1</v>
      </c>
      <c r="AC14" s="463">
        <f t="shared" si="5"/>
        <v>1</v>
      </c>
    </row>
    <row r="15" spans="1:29" ht="71.25">
      <c r="A15" s="248" t="s">
        <v>948</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27" t="s">
        <v>949</v>
      </c>
      <c r="Q15" s="383" t="str">
        <f t="shared" si="6"/>
        <v>办公集聚程度</v>
      </c>
      <c r="R15" s="448" t="s">
        <v>935</v>
      </c>
      <c r="S15" s="449">
        <f t="shared" si="0"/>
        <v>100</v>
      </c>
      <c r="T15" s="448" t="s">
        <v>935</v>
      </c>
      <c r="U15" s="449">
        <f t="shared" si="1"/>
        <v>100</v>
      </c>
      <c r="V15" s="448" t="s">
        <v>935</v>
      </c>
      <c r="W15" s="449">
        <f t="shared" si="2"/>
        <v>100</v>
      </c>
      <c r="X15" s="443"/>
      <c r="Y15" s="3327" t="s">
        <v>949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28"/>
      <c r="Q16" s="383"/>
      <c r="R16" s="448"/>
      <c r="S16" s="449"/>
      <c r="T16" s="448"/>
      <c r="U16" s="449"/>
      <c r="V16" s="448"/>
      <c r="W16" s="449"/>
      <c r="X16" s="443"/>
      <c r="Y16" s="3328"/>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28"/>
      <c r="Q17" s="383" t="str">
        <f>B17</f>
        <v>交通便捷度</v>
      </c>
      <c r="R17" s="448" t="s">
        <v>935</v>
      </c>
      <c r="S17" s="449">
        <f>F17</f>
        <v>100</v>
      </c>
      <c r="T17" s="448" t="s">
        <v>935</v>
      </c>
      <c r="U17" s="449">
        <f>H17</f>
        <v>100</v>
      </c>
      <c r="V17" s="448" t="s">
        <v>935</v>
      </c>
      <c r="W17" s="449">
        <f>J17</f>
        <v>100</v>
      </c>
      <c r="X17" s="443"/>
      <c r="Y17" s="3328"/>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28"/>
      <c r="Q18" s="383"/>
      <c r="R18" s="448"/>
      <c r="S18" s="449"/>
      <c r="T18" s="448"/>
      <c r="U18" s="449"/>
      <c r="V18" s="448"/>
      <c r="W18" s="449"/>
      <c r="X18" s="443"/>
      <c r="Y18" s="3328"/>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28"/>
      <c r="Q19" s="383" t="str">
        <f>B19</f>
        <v>公共配套设施</v>
      </c>
      <c r="R19" s="448" t="s">
        <v>935</v>
      </c>
      <c r="S19" s="449">
        <f>F19</f>
        <v>100</v>
      </c>
      <c r="T19" s="448" t="s">
        <v>935</v>
      </c>
      <c r="U19" s="449">
        <f>H19</f>
        <v>100</v>
      </c>
      <c r="V19" s="448" t="s">
        <v>935</v>
      </c>
      <c r="W19" s="449">
        <f>J19</f>
        <v>100</v>
      </c>
      <c r="X19" s="443"/>
      <c r="Y19" s="3328"/>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28"/>
      <c r="Q20" s="383"/>
      <c r="R20" s="448"/>
      <c r="S20" s="449"/>
      <c r="T20" s="448"/>
      <c r="U20" s="449"/>
      <c r="V20" s="448"/>
      <c r="W20" s="449"/>
      <c r="X20" s="443"/>
      <c r="Y20" s="3328"/>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28"/>
      <c r="Q21" s="383" t="str">
        <f>B21</f>
        <v>基础设施水平</v>
      </c>
      <c r="R21" s="448" t="s">
        <v>935</v>
      </c>
      <c r="S21" s="449">
        <f>F21</f>
        <v>100</v>
      </c>
      <c r="T21" s="448" t="s">
        <v>935</v>
      </c>
      <c r="U21" s="449">
        <f>H21</f>
        <v>100</v>
      </c>
      <c r="V21" s="448" t="s">
        <v>935</v>
      </c>
      <c r="W21" s="449">
        <f>J21</f>
        <v>100</v>
      </c>
      <c r="X21" s="443"/>
      <c r="Y21" s="3328"/>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28"/>
      <c r="Q22" s="383"/>
      <c r="R22" s="448"/>
      <c r="S22" s="449"/>
      <c r="T22" s="448"/>
      <c r="U22" s="449"/>
      <c r="V22" s="448"/>
      <c r="W22" s="449"/>
      <c r="X22" s="443"/>
      <c r="Y22" s="3328"/>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28"/>
      <c r="Q23" s="383" t="str">
        <f>B23</f>
        <v>环境质量</v>
      </c>
      <c r="R23" s="448" t="s">
        <v>935</v>
      </c>
      <c r="S23" s="449">
        <f>F23</f>
        <v>100</v>
      </c>
      <c r="T23" s="448" t="s">
        <v>935</v>
      </c>
      <c r="U23" s="449">
        <f>H23</f>
        <v>100</v>
      </c>
      <c r="V23" s="448" t="s">
        <v>935</v>
      </c>
      <c r="W23" s="449">
        <f>J23</f>
        <v>100</v>
      </c>
      <c r="X23" s="443"/>
      <c r="Y23" s="3328"/>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28"/>
      <c r="Q24" s="383"/>
      <c r="R24" s="448"/>
      <c r="S24" s="449"/>
      <c r="T24" s="448"/>
      <c r="U24" s="449"/>
      <c r="V24" s="448"/>
      <c r="W24" s="449"/>
      <c r="X24" s="443"/>
      <c r="Y24" s="3328"/>
      <c r="Z24" s="442"/>
      <c r="AA24" s="454">
        <v>1</v>
      </c>
      <c r="AB24" s="454">
        <v>1</v>
      </c>
      <c r="AC24" s="454">
        <v>1</v>
      </c>
    </row>
    <row r="25" spans="1:29" ht="27">
      <c r="A25" s="216"/>
      <c r="B25" s="500" t="s">
        <v>955</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28"/>
      <c r="Q25" s="383" t="str">
        <f>B25</f>
        <v>毗邻道路的类型与等级</v>
      </c>
      <c r="R25" s="448" t="s">
        <v>935</v>
      </c>
      <c r="S25" s="449">
        <f>F25</f>
        <v>100</v>
      </c>
      <c r="T25" s="448" t="s">
        <v>935</v>
      </c>
      <c r="U25" s="449">
        <f>H25</f>
        <v>100</v>
      </c>
      <c r="V25" s="448" t="s">
        <v>935</v>
      </c>
      <c r="W25" s="449">
        <f>J25</f>
        <v>100</v>
      </c>
      <c r="X25" s="443"/>
      <c r="Y25" s="3328"/>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28"/>
      <c r="Q26" s="383"/>
      <c r="R26" s="448"/>
      <c r="S26" s="449"/>
      <c r="T26" s="448"/>
      <c r="U26" s="449"/>
      <c r="V26" s="448"/>
      <c r="W26" s="449"/>
      <c r="X26" s="443"/>
      <c r="Y26" s="3328"/>
      <c r="Z26" s="442"/>
      <c r="AA26" s="454">
        <v>1</v>
      </c>
      <c r="AB26" s="454">
        <v>1</v>
      </c>
      <c r="AC26" s="454">
        <v>1</v>
      </c>
    </row>
    <row r="27" spans="1:29" ht="15">
      <c r="A27" s="255"/>
      <c r="B27" s="267" t="s">
        <v>2265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28"/>
      <c r="Q27" s="383" t="str">
        <f t="shared" ref="Q27:Q47" si="11">B27</f>
        <v>楼层</v>
      </c>
      <c r="R27" s="448" t="s">
        <v>935</v>
      </c>
      <c r="S27" s="449">
        <f>F27</f>
        <v>100</v>
      </c>
      <c r="T27" s="448" t="s">
        <v>935</v>
      </c>
      <c r="U27" s="449">
        <f>H27</f>
        <v>100</v>
      </c>
      <c r="V27" s="448" t="s">
        <v>935</v>
      </c>
      <c r="W27" s="449">
        <f>J27</f>
        <v>100</v>
      </c>
      <c r="X27" s="443"/>
      <c r="Y27" s="3328"/>
      <c r="Z27" s="442" t="str">
        <f>Q27</f>
        <v>楼层</v>
      </c>
      <c r="AA27" s="454">
        <f t="shared" si="3"/>
        <v>1</v>
      </c>
      <c r="AB27" s="454">
        <f t="shared" si="4"/>
        <v>1</v>
      </c>
      <c r="AC27" s="454">
        <f t="shared" si="5"/>
        <v>1</v>
      </c>
    </row>
    <row r="28" spans="1:29" s="190" customFormat="1" ht="15">
      <c r="A28" s="279"/>
      <c r="B28" s="500" t="s">
        <v>2093</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28"/>
      <c r="Q28" s="447" t="str">
        <f t="shared" si="11"/>
        <v>朝向</v>
      </c>
      <c r="R28" s="444" t="s">
        <v>935</v>
      </c>
      <c r="S28" s="445">
        <f>F28</f>
        <v>100</v>
      </c>
      <c r="T28" s="444" t="s">
        <v>935</v>
      </c>
      <c r="U28" s="445">
        <f>H28</f>
        <v>100</v>
      </c>
      <c r="V28" s="444" t="s">
        <v>935</v>
      </c>
      <c r="W28" s="445">
        <f>J28</f>
        <v>100</v>
      </c>
      <c r="X28" s="446"/>
      <c r="Y28" s="3328"/>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28"/>
      <c r="Q29" s="383">
        <f t="shared" si="11"/>
        <v>111</v>
      </c>
      <c r="R29" s="448" t="s">
        <v>935</v>
      </c>
      <c r="S29" s="449">
        <f t="shared" ref="S29:S47" si="12">F29</f>
        <v>100</v>
      </c>
      <c r="T29" s="448" t="s">
        <v>935</v>
      </c>
      <c r="U29" s="449">
        <f t="shared" ref="U29:U47" si="13">H29</f>
        <v>100</v>
      </c>
      <c r="V29" s="448" t="s">
        <v>935</v>
      </c>
      <c r="W29" s="449">
        <f t="shared" ref="W29:W47" si="14">J29</f>
        <v>100</v>
      </c>
      <c r="X29" s="443"/>
      <c r="Y29" s="3328"/>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28"/>
      <c r="Q30" s="383">
        <f t="shared" si="11"/>
        <v>111</v>
      </c>
      <c r="R30" s="448" t="s">
        <v>935</v>
      </c>
      <c r="S30" s="449">
        <f t="shared" si="12"/>
        <v>100</v>
      </c>
      <c r="T30" s="448" t="s">
        <v>935</v>
      </c>
      <c r="U30" s="449">
        <f t="shared" si="13"/>
        <v>100</v>
      </c>
      <c r="V30" s="448" t="s">
        <v>935</v>
      </c>
      <c r="W30" s="449">
        <f t="shared" si="14"/>
        <v>100</v>
      </c>
      <c r="X30" s="443"/>
      <c r="Y30" s="3328"/>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28"/>
      <c r="Q31" s="383">
        <f t="shared" si="11"/>
        <v>111</v>
      </c>
      <c r="R31" s="448" t="s">
        <v>935</v>
      </c>
      <c r="S31" s="449">
        <f t="shared" si="12"/>
        <v>100</v>
      </c>
      <c r="T31" s="448" t="s">
        <v>935</v>
      </c>
      <c r="U31" s="449">
        <f t="shared" si="13"/>
        <v>100</v>
      </c>
      <c r="V31" s="448" t="s">
        <v>935</v>
      </c>
      <c r="W31" s="449">
        <f t="shared" si="14"/>
        <v>100</v>
      </c>
      <c r="X31" s="443"/>
      <c r="Y31" s="3328"/>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28"/>
      <c r="Q32" s="383">
        <f t="shared" si="11"/>
        <v>111</v>
      </c>
      <c r="R32" s="448" t="s">
        <v>935</v>
      </c>
      <c r="S32" s="449">
        <f t="shared" si="12"/>
        <v>100</v>
      </c>
      <c r="T32" s="448" t="s">
        <v>935</v>
      </c>
      <c r="U32" s="449">
        <f t="shared" si="13"/>
        <v>100</v>
      </c>
      <c r="V32" s="448" t="s">
        <v>935</v>
      </c>
      <c r="W32" s="449">
        <f t="shared" si="14"/>
        <v>100</v>
      </c>
      <c r="X32" s="443"/>
      <c r="Y32" s="3328"/>
      <c r="Z32" s="442">
        <f t="shared" si="15"/>
        <v>111</v>
      </c>
      <c r="AA32" s="454">
        <f t="shared" si="3"/>
        <v>1</v>
      </c>
      <c r="AB32" s="454">
        <f t="shared" si="4"/>
        <v>1</v>
      </c>
      <c r="AC32" s="454">
        <f t="shared" si="5"/>
        <v>1</v>
      </c>
    </row>
    <row r="33" spans="1:29" ht="15">
      <c r="A33" s="283" t="s">
        <v>958</v>
      </c>
      <c r="B33" s="284" t="s">
        <v>2095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29" t="s">
        <v>957</v>
      </c>
      <c r="Q33" s="383" t="str">
        <f t="shared" si="11"/>
        <v>建筑类型</v>
      </c>
      <c r="R33" s="448" t="s">
        <v>935</v>
      </c>
      <c r="S33" s="449">
        <f t="shared" si="12"/>
        <v>100</v>
      </c>
      <c r="T33" s="448" t="s">
        <v>935</v>
      </c>
      <c r="U33" s="449">
        <f t="shared" si="13"/>
        <v>100</v>
      </c>
      <c r="V33" s="448" t="s">
        <v>935</v>
      </c>
      <c r="W33" s="449">
        <f t="shared" si="14"/>
        <v>100</v>
      </c>
      <c r="X33" s="443"/>
      <c r="Y33" s="3330" t="s">
        <v>957</v>
      </c>
      <c r="Z33" s="442" t="str">
        <f t="shared" si="15"/>
        <v>建筑类型</v>
      </c>
      <c r="AA33" s="454">
        <f t="shared" si="3"/>
        <v>1</v>
      </c>
      <c r="AB33" s="454">
        <f t="shared" si="4"/>
        <v>1</v>
      </c>
      <c r="AC33" s="454">
        <f t="shared" si="5"/>
        <v>1</v>
      </c>
    </row>
    <row r="34" spans="1:29" s="192" customFormat="1" ht="15">
      <c r="A34" s="288"/>
      <c r="B34" s="289" t="s">
        <v>2096</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30"/>
      <c r="Q34" s="450" t="str">
        <f t="shared" si="11"/>
        <v>项目建筑规模</v>
      </c>
      <c r="R34" s="451" t="s">
        <v>935</v>
      </c>
      <c r="S34" s="452" t="e">
        <f t="shared" si="12"/>
        <v>#N/A</v>
      </c>
      <c r="T34" s="451" t="s">
        <v>935</v>
      </c>
      <c r="U34" s="452" t="e">
        <f t="shared" si="13"/>
        <v>#N/A</v>
      </c>
      <c r="V34" s="451" t="s">
        <v>935</v>
      </c>
      <c r="W34" s="452" t="e">
        <f t="shared" si="14"/>
        <v>#N/A</v>
      </c>
      <c r="X34" s="453"/>
      <c r="Y34" s="3330"/>
      <c r="Z34" s="465" t="str">
        <f t="shared" si="15"/>
        <v>项目建筑规模</v>
      </c>
      <c r="AA34" s="454" t="e">
        <f t="shared" si="3"/>
        <v>#N/A</v>
      </c>
      <c r="AB34" s="454" t="e">
        <f t="shared" si="4"/>
        <v>#N/A</v>
      </c>
      <c r="AC34" s="454" t="e">
        <f t="shared" si="5"/>
        <v>#N/A</v>
      </c>
    </row>
    <row r="35" spans="1:29" ht="15">
      <c r="A35" s="293"/>
      <c r="B35" s="289" t="s">
        <v>2097</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30"/>
      <c r="Q35" s="383" t="str">
        <f t="shared" si="11"/>
        <v>建筑结构</v>
      </c>
      <c r="R35" s="448" t="s">
        <v>935</v>
      </c>
      <c r="S35" s="449">
        <f t="shared" si="12"/>
        <v>100</v>
      </c>
      <c r="T35" s="448" t="s">
        <v>935</v>
      </c>
      <c r="U35" s="449">
        <f t="shared" si="13"/>
        <v>100</v>
      </c>
      <c r="V35" s="448" t="s">
        <v>935</v>
      </c>
      <c r="W35" s="449">
        <f t="shared" si="14"/>
        <v>100</v>
      </c>
      <c r="X35" s="443"/>
      <c r="Y35" s="3330"/>
      <c r="Z35" s="442" t="str">
        <f t="shared" si="15"/>
        <v>建筑结构</v>
      </c>
      <c r="AA35" s="454">
        <f t="shared" si="3"/>
        <v>1</v>
      </c>
      <c r="AB35" s="454">
        <f t="shared" si="4"/>
        <v>1</v>
      </c>
      <c r="AC35" s="454">
        <f t="shared" si="5"/>
        <v>1</v>
      </c>
    </row>
    <row r="36" spans="1:29" ht="15">
      <c r="A36" s="293"/>
      <c r="B36" s="289" t="s">
        <v>2099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30"/>
      <c r="Q36" s="383" t="str">
        <f t="shared" si="11"/>
        <v>公共部分装修</v>
      </c>
      <c r="R36" s="448" t="s">
        <v>935</v>
      </c>
      <c r="S36" s="449">
        <f t="shared" si="12"/>
        <v>100</v>
      </c>
      <c r="T36" s="448" t="s">
        <v>935</v>
      </c>
      <c r="U36" s="449">
        <f t="shared" si="13"/>
        <v>100</v>
      </c>
      <c r="V36" s="448" t="s">
        <v>935</v>
      </c>
      <c r="W36" s="449">
        <f t="shared" si="14"/>
        <v>100</v>
      </c>
      <c r="X36" s="443"/>
      <c r="Y36" s="3330"/>
      <c r="Z36" s="442" t="str">
        <f t="shared" si="15"/>
        <v>公共部分装修</v>
      </c>
      <c r="AA36" s="454">
        <f t="shared" si="3"/>
        <v>1</v>
      </c>
      <c r="AB36" s="454">
        <f t="shared" si="4"/>
        <v>1</v>
      </c>
      <c r="AC36" s="454">
        <f t="shared" si="5"/>
        <v>1</v>
      </c>
    </row>
    <row r="37" spans="1:29" ht="15">
      <c r="A37" s="293"/>
      <c r="B37" s="289" t="s">
        <v>2102</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30"/>
      <c r="Q37" s="383" t="str">
        <f t="shared" si="11"/>
        <v>成新度</v>
      </c>
      <c r="R37" s="448" t="s">
        <v>935</v>
      </c>
      <c r="S37" s="449" t="e">
        <f t="shared" si="12"/>
        <v>#N/A</v>
      </c>
      <c r="T37" s="448" t="s">
        <v>935</v>
      </c>
      <c r="U37" s="449" t="e">
        <f t="shared" si="13"/>
        <v>#N/A</v>
      </c>
      <c r="V37" s="448" t="s">
        <v>935</v>
      </c>
      <c r="W37" s="449" t="e">
        <f t="shared" si="14"/>
        <v>#N/A</v>
      </c>
      <c r="X37" s="443"/>
      <c r="Y37" s="3330"/>
      <c r="Z37" s="442" t="str">
        <f t="shared" si="15"/>
        <v>成新度</v>
      </c>
      <c r="AA37" s="454" t="e">
        <f t="shared" si="3"/>
        <v>#N/A</v>
      </c>
      <c r="AB37" s="454" t="e">
        <f t="shared" si="4"/>
        <v>#N/A</v>
      </c>
      <c r="AC37" s="454" t="e">
        <f t="shared" si="5"/>
        <v>#N/A</v>
      </c>
    </row>
    <row r="38" spans="1:29" s="190" customFormat="1" ht="15">
      <c r="A38" s="296"/>
      <c r="B38" s="289" t="s">
        <v>2273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30"/>
      <c r="Q38" s="447" t="str">
        <f t="shared" si="11"/>
        <v>写字楼等级</v>
      </c>
      <c r="R38" s="444" t="s">
        <v>935</v>
      </c>
      <c r="S38" s="445">
        <f t="shared" si="12"/>
        <v>100</v>
      </c>
      <c r="T38" s="444" t="s">
        <v>935</v>
      </c>
      <c r="U38" s="445">
        <f t="shared" si="13"/>
        <v>100</v>
      </c>
      <c r="V38" s="444" t="s">
        <v>935</v>
      </c>
      <c r="W38" s="445">
        <f t="shared" si="14"/>
        <v>100</v>
      </c>
      <c r="X38" s="446"/>
      <c r="Y38" s="3330"/>
      <c r="Z38" s="464" t="str">
        <f t="shared" si="15"/>
        <v>写字楼等级</v>
      </c>
      <c r="AA38" s="463">
        <f t="shared" si="3"/>
        <v>1</v>
      </c>
      <c r="AB38" s="463">
        <f t="shared" si="4"/>
        <v>1</v>
      </c>
      <c r="AC38" s="463">
        <f t="shared" si="5"/>
        <v>1</v>
      </c>
    </row>
    <row r="39" spans="1:29" ht="15">
      <c r="A39" s="293"/>
      <c r="B39" s="289" t="s">
        <v>2103</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30" t="s">
        <v>957</v>
      </c>
      <c r="Q39" s="383" t="str">
        <f t="shared" si="11"/>
        <v>物业管理</v>
      </c>
      <c r="R39" s="448" t="s">
        <v>935</v>
      </c>
      <c r="S39" s="449">
        <f t="shared" si="12"/>
        <v>100</v>
      </c>
      <c r="T39" s="448" t="s">
        <v>935</v>
      </c>
      <c r="U39" s="449">
        <f t="shared" si="13"/>
        <v>100</v>
      </c>
      <c r="V39" s="448" t="s">
        <v>935</v>
      </c>
      <c r="W39" s="449">
        <f t="shared" si="14"/>
        <v>100</v>
      </c>
      <c r="X39" s="443"/>
      <c r="Y39" s="3330" t="s">
        <v>957</v>
      </c>
      <c r="Z39" s="442" t="str">
        <f t="shared" si="15"/>
        <v>物业管理</v>
      </c>
      <c r="AA39" s="454">
        <f t="shared" si="3"/>
        <v>1</v>
      </c>
      <c r="AB39" s="454">
        <f t="shared" si="4"/>
        <v>1</v>
      </c>
      <c r="AC39" s="454">
        <f t="shared" si="5"/>
        <v>1</v>
      </c>
    </row>
    <row r="40" spans="1:29" ht="15">
      <c r="A40" s="293"/>
      <c r="B40" s="544" t="s">
        <v>2104</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30"/>
      <c r="Q40" s="383" t="str">
        <f t="shared" si="11"/>
        <v>市政基础设施</v>
      </c>
      <c r="R40" s="448" t="s">
        <v>935</v>
      </c>
      <c r="S40" s="449">
        <f t="shared" si="12"/>
        <v>100</v>
      </c>
      <c r="T40" s="448" t="s">
        <v>935</v>
      </c>
      <c r="U40" s="449">
        <f t="shared" si="13"/>
        <v>100</v>
      </c>
      <c r="V40" s="448" t="s">
        <v>935</v>
      </c>
      <c r="W40" s="449">
        <f t="shared" si="14"/>
        <v>100</v>
      </c>
      <c r="X40" s="443"/>
      <c r="Y40" s="3330"/>
      <c r="Z40" s="442" t="str">
        <f t="shared" si="15"/>
        <v>市政基础设施</v>
      </c>
      <c r="AA40" s="454">
        <f t="shared" si="3"/>
        <v>1</v>
      </c>
      <c r="AB40" s="454">
        <f t="shared" si="4"/>
        <v>1</v>
      </c>
      <c r="AC40" s="454">
        <f t="shared" si="5"/>
        <v>1</v>
      </c>
    </row>
    <row r="41" spans="1:29" ht="15">
      <c r="A41" s="293"/>
      <c r="B41" s="289" t="s">
        <v>2268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30"/>
      <c r="Q41" s="383" t="str">
        <f t="shared" si="11"/>
        <v>层高</v>
      </c>
      <c r="R41" s="448" t="s">
        <v>935</v>
      </c>
      <c r="S41" s="449">
        <f t="shared" si="12"/>
        <v>100</v>
      </c>
      <c r="T41" s="448" t="s">
        <v>935</v>
      </c>
      <c r="U41" s="449">
        <f t="shared" si="13"/>
        <v>100</v>
      </c>
      <c r="V41" s="448" t="s">
        <v>935</v>
      </c>
      <c r="W41" s="449">
        <f t="shared" si="14"/>
        <v>100</v>
      </c>
      <c r="X41" s="443"/>
      <c r="Y41" s="3330"/>
      <c r="Z41" s="442" t="str">
        <f t="shared" si="15"/>
        <v>层高</v>
      </c>
      <c r="AA41" s="454">
        <f t="shared" si="3"/>
        <v>1</v>
      </c>
      <c r="AB41" s="454">
        <f t="shared" si="4"/>
        <v>1</v>
      </c>
      <c r="AC41" s="454">
        <f t="shared" si="5"/>
        <v>1</v>
      </c>
    </row>
    <row r="42" spans="1:29" s="192" customFormat="1" ht="15">
      <c r="A42" s="288"/>
      <c r="B42" s="401" t="s">
        <v>2274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30"/>
      <c r="Q42" s="450" t="str">
        <f t="shared" si="11"/>
        <v>单套建筑面积</v>
      </c>
      <c r="R42" s="451" t="s">
        <v>935</v>
      </c>
      <c r="S42" s="452">
        <f t="shared" si="12"/>
        <v>100</v>
      </c>
      <c r="T42" s="451" t="s">
        <v>935</v>
      </c>
      <c r="U42" s="452">
        <f t="shared" si="13"/>
        <v>100</v>
      </c>
      <c r="V42" s="451" t="s">
        <v>935</v>
      </c>
      <c r="W42" s="452">
        <f t="shared" si="14"/>
        <v>100</v>
      </c>
      <c r="X42" s="453"/>
      <c r="Y42" s="3330"/>
      <c r="Z42" s="465" t="str">
        <f t="shared" si="15"/>
        <v>单套建筑面积</v>
      </c>
      <c r="AA42" s="454">
        <f t="shared" si="3"/>
        <v>1</v>
      </c>
      <c r="AB42" s="454">
        <f t="shared" si="4"/>
        <v>1</v>
      </c>
      <c r="AC42" s="454">
        <f t="shared" si="5"/>
        <v>1</v>
      </c>
    </row>
    <row r="43" spans="1:29" ht="15">
      <c r="A43" s="293"/>
      <c r="B43" s="289" t="s">
        <v>2107</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30"/>
      <c r="Q43" s="383" t="str">
        <f t="shared" si="11"/>
        <v>内部装修</v>
      </c>
      <c r="R43" s="448" t="s">
        <v>935</v>
      </c>
      <c r="S43" s="449">
        <f t="shared" si="12"/>
        <v>100</v>
      </c>
      <c r="T43" s="448" t="s">
        <v>935</v>
      </c>
      <c r="U43" s="449">
        <f t="shared" si="13"/>
        <v>100</v>
      </c>
      <c r="V43" s="448" t="s">
        <v>935</v>
      </c>
      <c r="W43" s="449">
        <f t="shared" si="14"/>
        <v>100</v>
      </c>
      <c r="X43" s="443"/>
      <c r="Y43" s="3330"/>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30"/>
      <c r="Q44" s="383" t="str">
        <f t="shared" si="11"/>
        <v>内部装修维护情况</v>
      </c>
      <c r="R44" s="448" t="s">
        <v>935</v>
      </c>
      <c r="S44" s="449">
        <f t="shared" si="12"/>
        <v>100</v>
      </c>
      <c r="T44" s="448" t="s">
        <v>935</v>
      </c>
      <c r="U44" s="449">
        <f t="shared" si="13"/>
        <v>100</v>
      </c>
      <c r="V44" s="448" t="s">
        <v>935</v>
      </c>
      <c r="W44" s="449">
        <f t="shared" si="14"/>
        <v>100</v>
      </c>
      <c r="X44" s="443"/>
      <c r="Y44" s="3330"/>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30"/>
      <c r="Q45" s="447">
        <f t="shared" si="11"/>
        <v>111</v>
      </c>
      <c r="R45" s="444" t="s">
        <v>935</v>
      </c>
      <c r="S45" s="445">
        <f t="shared" si="12"/>
        <v>100</v>
      </c>
      <c r="T45" s="444" t="s">
        <v>935</v>
      </c>
      <c r="U45" s="445">
        <f t="shared" si="13"/>
        <v>100</v>
      </c>
      <c r="V45" s="444" t="s">
        <v>935</v>
      </c>
      <c r="W45" s="445">
        <f t="shared" si="14"/>
        <v>100</v>
      </c>
      <c r="X45" s="446"/>
      <c r="Y45" s="3330"/>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30"/>
      <c r="Q46" s="383">
        <f t="shared" si="11"/>
        <v>111</v>
      </c>
      <c r="R46" s="448" t="s">
        <v>935</v>
      </c>
      <c r="S46" s="449">
        <f t="shared" si="12"/>
        <v>100</v>
      </c>
      <c r="T46" s="448" t="s">
        <v>935</v>
      </c>
      <c r="U46" s="449">
        <f t="shared" si="13"/>
        <v>100</v>
      </c>
      <c r="V46" s="448" t="s">
        <v>935</v>
      </c>
      <c r="W46" s="449">
        <f t="shared" si="14"/>
        <v>100</v>
      </c>
      <c r="X46" s="443"/>
      <c r="Y46" s="3330"/>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1"/>
      <c r="Q47" s="383">
        <f t="shared" si="11"/>
        <v>111</v>
      </c>
      <c r="R47" s="448" t="s">
        <v>935</v>
      </c>
      <c r="S47" s="449">
        <f t="shared" si="12"/>
        <v>100</v>
      </c>
      <c r="T47" s="448" t="s">
        <v>935</v>
      </c>
      <c r="U47" s="449">
        <f t="shared" si="13"/>
        <v>100</v>
      </c>
      <c r="V47" s="448" t="s">
        <v>935</v>
      </c>
      <c r="W47" s="449">
        <f t="shared" si="14"/>
        <v>100</v>
      </c>
      <c r="X47" s="443"/>
      <c r="Y47" s="3411"/>
      <c r="Z47" s="442">
        <f t="shared" si="15"/>
        <v>111</v>
      </c>
      <c r="AA47" s="454">
        <f t="shared" si="3"/>
        <v>1</v>
      </c>
      <c r="AB47" s="454">
        <f t="shared" si="4"/>
        <v>1</v>
      </c>
      <c r="AC47" s="454">
        <f t="shared" si="5"/>
        <v>1</v>
      </c>
    </row>
    <row r="48" spans="1:29" ht="15">
      <c r="A48" s="303" t="s">
        <v>2109</v>
      </c>
      <c r="B48" s="304"/>
      <c r="C48" s="305" t="s">
        <v>138</v>
      </c>
      <c r="D48" s="306"/>
      <c r="E48" s="307"/>
      <c r="F48" s="308"/>
      <c r="G48" s="309"/>
      <c r="H48" s="310"/>
      <c r="I48" s="307"/>
      <c r="J48" s="310"/>
      <c r="K48" s="397"/>
      <c r="L48" s="398"/>
      <c r="M48" s="378"/>
      <c r="N48" s="378"/>
      <c r="O48" s="378"/>
      <c r="P48" s="3333" t="str">
        <f>A48</f>
        <v>成交单价（元/平方米）</v>
      </c>
      <c r="Q48" s="3326"/>
      <c r="R48" s="3410">
        <f>E48</f>
        <v>0</v>
      </c>
      <c r="S48" s="3410"/>
      <c r="T48" s="3410">
        <f>G48</f>
        <v>0</v>
      </c>
      <c r="U48" s="3410"/>
      <c r="V48" s="3410">
        <f>I48</f>
        <v>0</v>
      </c>
      <c r="W48" s="3410"/>
      <c r="X48" s="330"/>
      <c r="Y48" s="466"/>
      <c r="Z48" s="330"/>
      <c r="AA48" s="330"/>
      <c r="AB48" s="330"/>
      <c r="AC48" s="330"/>
    </row>
    <row r="49" spans="1:29" ht="15">
      <c r="A49" s="311" t="s">
        <v>967</v>
      </c>
      <c r="B49" s="312"/>
      <c r="C49" s="313" t="e">
        <f>R50</f>
        <v>#DIV/0!</v>
      </c>
      <c r="D49" s="314"/>
      <c r="E49" s="315" t="e">
        <f>R49</f>
        <v>#DIV/0!</v>
      </c>
      <c r="F49" s="315"/>
      <c r="G49" s="313" t="e">
        <f>T49</f>
        <v>#DIV/0!</v>
      </c>
      <c r="H49" s="314"/>
      <c r="I49" s="315" t="e">
        <f>V49</f>
        <v>#DIV/0!</v>
      </c>
      <c r="J49" s="314"/>
      <c r="K49" s="399"/>
      <c r="L49" s="398"/>
      <c r="M49" s="378"/>
      <c r="N49" s="378"/>
      <c r="O49" s="378"/>
      <c r="P49" s="3333" t="str">
        <f>A49</f>
        <v>比较价格（元/平方米）</v>
      </c>
      <c r="Q49" s="3326"/>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30"/>
      <c r="Y49" s="330"/>
      <c r="Z49" s="330"/>
      <c r="AA49" s="330"/>
      <c r="AB49" s="330"/>
      <c r="AC49" s="330"/>
    </row>
    <row r="50" spans="1:29" ht="15">
      <c r="A50" s="316" t="s">
        <v>968</v>
      </c>
      <c r="B50" s="317"/>
      <c r="C50" s="318" t="e">
        <f>R50</f>
        <v>#DIV/0!</v>
      </c>
      <c r="D50" s="318"/>
      <c r="E50" s="318"/>
      <c r="F50" s="318"/>
      <c r="G50" s="318"/>
      <c r="H50" s="318"/>
      <c r="I50" s="318"/>
      <c r="J50" s="318"/>
      <c r="K50" s="400"/>
      <c r="L50" s="398"/>
      <c r="M50" s="378"/>
      <c r="N50" s="378"/>
      <c r="O50" s="378"/>
      <c r="P50" s="3436" t="str">
        <f>A50</f>
        <v>估价对象XX用房的比较价格（楼面单价，元/平方米）</v>
      </c>
      <c r="Q50" s="3333"/>
      <c r="R50" s="3412" t="e">
        <f>IF(F1="售价",ROUND(AVERAGE(R49:V49),0),ROUND(AVERAGE(R49:V49),1))</f>
        <v>#DIV/0!</v>
      </c>
      <c r="S50" s="3412"/>
      <c r="T50" s="3412"/>
      <c r="U50" s="3412"/>
      <c r="V50" s="3412"/>
      <c r="W50" s="3412"/>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933</v>
      </c>
      <c r="B59" s="334"/>
      <c r="C59" s="335" t="str">
        <f>YEAR(C7)&amp;"-"&amp;MONTH(C7)</f>
        <v>2019-5</v>
      </c>
      <c r="D59" s="336">
        <f>EDATE(C59,-1)</f>
        <v>43556</v>
      </c>
      <c r="E59" s="336">
        <f t="shared" ref="E59:O59" si="16">EDATE(D59,-1)</f>
        <v>43525</v>
      </c>
      <c r="F59" s="336">
        <f t="shared" si="16"/>
        <v>43497</v>
      </c>
      <c r="G59" s="336">
        <f t="shared" si="16"/>
        <v>43466</v>
      </c>
      <c r="H59" s="336">
        <f t="shared" si="16"/>
        <v>43435</v>
      </c>
      <c r="I59" s="336">
        <f t="shared" si="16"/>
        <v>43405</v>
      </c>
      <c r="J59" s="336">
        <f t="shared" si="16"/>
        <v>43374</v>
      </c>
      <c r="K59" s="336">
        <f t="shared" si="16"/>
        <v>43344</v>
      </c>
      <c r="L59" s="336">
        <f t="shared" si="16"/>
        <v>43313</v>
      </c>
      <c r="M59" s="336">
        <f t="shared" si="16"/>
        <v>43282</v>
      </c>
      <c r="N59" s="336">
        <f t="shared" si="16"/>
        <v>43252</v>
      </c>
      <c r="O59" s="336">
        <f t="shared" si="16"/>
        <v>43221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1107</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936</v>
      </c>
      <c r="B62" s="338"/>
      <c r="C62" s="346" t="s">
        <v>937</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997</v>
      </c>
      <c r="B64" s="349" t="s">
        <v>998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999</v>
      </c>
      <c r="C66" s="356" t="s">
        <v>2110</v>
      </c>
      <c r="D66" s="356" t="s">
        <v>2111</v>
      </c>
      <c r="E66" s="356" t="s">
        <v>2112</v>
      </c>
      <c r="F66" s="356" t="s">
        <v>2113</v>
      </c>
      <c r="G66" s="356" t="s">
        <v>2114</v>
      </c>
      <c r="H66" s="356" t="s">
        <v>2115</v>
      </c>
      <c r="I66" s="356" t="s">
        <v>2116</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992</v>
      </c>
      <c r="D67" s="358" t="s">
        <v>992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1001</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955</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1006</v>
      </c>
      <c r="B101" s="349" t="s">
        <v>2095</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2096</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2097</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2099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2102</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2103</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2104</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2107</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1098</v>
      </c>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2084</v>
      </c>
      <c r="B3" s="211" t="e">
        <f>C43</f>
        <v>#DIV/0!</v>
      </c>
      <c r="C3" s="212" t="s">
        <v>2085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15" t="s">
        <v>922</v>
      </c>
      <c r="D4" s="3316"/>
      <c r="E4" s="3356" t="s">
        <v>923</v>
      </c>
      <c r="F4" s="3357"/>
      <c r="G4" s="3315" t="s">
        <v>924</v>
      </c>
      <c r="H4" s="3316"/>
      <c r="I4" s="3315" t="s">
        <v>925</v>
      </c>
      <c r="J4" s="3316"/>
      <c r="K4" s="376" t="s">
        <v>926</v>
      </c>
      <c r="L4" s="377"/>
      <c r="M4" s="378"/>
      <c r="N4" s="378"/>
      <c r="O4" s="378"/>
      <c r="P4" s="3343" t="s">
        <v>927</v>
      </c>
      <c r="Q4" s="3344"/>
      <c r="R4" s="3349" t="s">
        <v>923</v>
      </c>
      <c r="S4" s="3350"/>
      <c r="T4" s="3349" t="s">
        <v>924</v>
      </c>
      <c r="U4" s="3350"/>
      <c r="V4" s="3335" t="s">
        <v>925</v>
      </c>
      <c r="W4" s="3335"/>
      <c r="X4" s="443"/>
      <c r="Y4" s="3349" t="s">
        <v>927</v>
      </c>
      <c r="Z4" s="3350"/>
      <c r="AA4" s="3336" t="s">
        <v>923</v>
      </c>
      <c r="AB4" s="3337" t="s">
        <v>924</v>
      </c>
      <c r="AC4" s="3336" t="s">
        <v>925</v>
      </c>
    </row>
    <row r="5" spans="1:29" ht="15">
      <c r="A5" s="216"/>
      <c r="B5" s="217"/>
      <c r="C5" s="3358" t="s">
        <v>1099</v>
      </c>
      <c r="D5" s="3318"/>
      <c r="E5" s="3359" t="s">
        <v>1100</v>
      </c>
      <c r="F5" s="3360"/>
      <c r="G5" s="3358" t="s">
        <v>1101</v>
      </c>
      <c r="H5" s="3318"/>
      <c r="I5" s="3358" t="s">
        <v>1102</v>
      </c>
      <c r="J5" s="3318"/>
      <c r="K5" s="376"/>
      <c r="L5" s="377"/>
      <c r="M5" s="378"/>
      <c r="N5" s="378"/>
      <c r="O5" s="378"/>
      <c r="P5" s="3345"/>
      <c r="Q5" s="3346"/>
      <c r="R5" s="3351"/>
      <c r="S5" s="3352"/>
      <c r="T5" s="3351"/>
      <c r="U5" s="3352"/>
      <c r="V5" s="3335"/>
      <c r="W5" s="3335"/>
      <c r="X5" s="443"/>
      <c r="Y5" s="3351"/>
      <c r="Z5" s="3352"/>
      <c r="AA5" s="3337"/>
      <c r="AB5" s="3337"/>
      <c r="AC5" s="3337"/>
    </row>
    <row r="6" spans="1:29" ht="15">
      <c r="A6" s="218"/>
      <c r="B6" s="219"/>
      <c r="C6" s="3321" t="s">
        <v>1103</v>
      </c>
      <c r="D6" s="3322"/>
      <c r="E6" s="3361" t="s">
        <v>1103</v>
      </c>
      <c r="F6" s="3362"/>
      <c r="G6" s="3321" t="s">
        <v>1103</v>
      </c>
      <c r="H6" s="3322"/>
      <c r="I6" s="3321" t="s">
        <v>1103</v>
      </c>
      <c r="J6" s="3322"/>
      <c r="K6" s="376" t="s">
        <v>932</v>
      </c>
      <c r="L6" s="377"/>
      <c r="M6" s="378"/>
      <c r="N6" s="378"/>
      <c r="O6" s="378"/>
      <c r="P6" s="3347"/>
      <c r="Q6" s="3348"/>
      <c r="R6" s="3351"/>
      <c r="S6" s="3352"/>
      <c r="T6" s="3353"/>
      <c r="U6" s="3354"/>
      <c r="V6" s="3335"/>
      <c r="W6" s="3335"/>
      <c r="X6" s="443"/>
      <c r="Y6" s="3353"/>
      <c r="Z6" s="3354"/>
      <c r="AA6" s="3338"/>
      <c r="AB6" s="3338"/>
      <c r="AC6" s="3338"/>
    </row>
    <row r="7" spans="1:29" s="190" customFormat="1" ht="15">
      <c r="A7" s="220"/>
      <c r="B7" s="221" t="s">
        <v>933</v>
      </c>
      <c r="C7" s="222">
        <f>'数据-取费表'!B2</f>
        <v>43600</v>
      </c>
      <c r="D7" s="223">
        <v>100</v>
      </c>
      <c r="E7" s="224"/>
      <c r="F7" s="225">
        <f>SUMIF(52:52,YEAR(E7)&amp;"-"&amp;MONTH(E7),53:53)</f>
        <v>0</v>
      </c>
      <c r="G7" s="224"/>
      <c r="H7" s="223">
        <f>SUMIF(52:52,YEAR(G7)&amp;"-"&amp;MONTH(G7),53:53)</f>
        <v>0</v>
      </c>
      <c r="I7" s="224"/>
      <c r="J7" s="223">
        <f>SUMIF(52:52,YEAR(I7)&amp;"-"&amp;MONTH(I7),53:53)</f>
        <v>0</v>
      </c>
      <c r="K7" s="379"/>
      <c r="L7" s="380"/>
      <c r="M7" s="381"/>
      <c r="N7" s="381"/>
      <c r="O7" s="381"/>
      <c r="P7" s="3323" t="s">
        <v>934</v>
      </c>
      <c r="Q7" s="3324"/>
      <c r="R7" s="444" t="s">
        <v>935</v>
      </c>
      <c r="S7" s="445">
        <f t="shared" ref="S7:S15" si="0">F7</f>
        <v>0</v>
      </c>
      <c r="T7" s="444" t="s">
        <v>935</v>
      </c>
      <c r="U7" s="445">
        <f t="shared" ref="U7:U15" si="1">H7</f>
        <v>0</v>
      </c>
      <c r="V7" s="444" t="s">
        <v>935</v>
      </c>
      <c r="W7" s="445">
        <f t="shared" ref="W7:W15" si="2">J7</f>
        <v>0</v>
      </c>
      <c r="X7" s="446"/>
      <c r="Y7" s="3323" t="s">
        <v>934</v>
      </c>
      <c r="Z7" s="3355"/>
      <c r="AA7" s="463" t="e">
        <f>D7/F7</f>
        <v>#DIV/0!</v>
      </c>
      <c r="AB7" s="463" t="e">
        <f>D7/H7</f>
        <v>#DIV/0!</v>
      </c>
      <c r="AC7" s="463" t="e">
        <f>D7/J7</f>
        <v>#DIV/0!</v>
      </c>
    </row>
    <row r="8" spans="1:29" s="190" customFormat="1" ht="15">
      <c r="A8" s="227"/>
      <c r="B8" s="228" t="s">
        <v>936</v>
      </c>
      <c r="C8" s="229" t="s">
        <v>937</v>
      </c>
      <c r="D8" s="223">
        <v>100</v>
      </c>
      <c r="E8" s="229"/>
      <c r="F8" s="225">
        <f>SUMIF(55:55,E8,56:56)-SUMIF(55:55,C8,56:56)+100</f>
        <v>0</v>
      </c>
      <c r="G8" s="229"/>
      <c r="H8" s="223">
        <f>SUMIF(55:55,G8,56:56)-SUMIF(55:55,C8,56:56)+100</f>
        <v>0</v>
      </c>
      <c r="I8" s="229"/>
      <c r="J8" s="223">
        <f>SUMIF(55:55,I8,56:56)-SUMIF(55:55,C8,56:56)+100</f>
        <v>0</v>
      </c>
      <c r="K8" s="379"/>
      <c r="L8" s="380"/>
      <c r="M8" s="381"/>
      <c r="N8" s="381"/>
      <c r="O8" s="381"/>
      <c r="P8" s="3323" t="s">
        <v>939</v>
      </c>
      <c r="Q8" s="3355"/>
      <c r="R8" s="444" t="s">
        <v>935</v>
      </c>
      <c r="S8" s="445">
        <f t="shared" si="0"/>
        <v>0</v>
      </c>
      <c r="T8" s="444" t="s">
        <v>935</v>
      </c>
      <c r="U8" s="445">
        <f t="shared" si="1"/>
        <v>0</v>
      </c>
      <c r="V8" s="444" t="s">
        <v>935</v>
      </c>
      <c r="W8" s="445">
        <f t="shared" si="2"/>
        <v>0</v>
      </c>
      <c r="X8" s="446"/>
      <c r="Y8" s="3323" t="s">
        <v>939</v>
      </c>
      <c r="Z8" s="3355"/>
      <c r="AA8" s="463" t="e">
        <f t="shared" ref="AA8:AA40" si="3">D8/F8</f>
        <v>#DIV/0!</v>
      </c>
      <c r="AB8" s="463" t="e">
        <f t="shared" ref="AB8:AB40" si="4">D8/H8</f>
        <v>#DIV/0!</v>
      </c>
      <c r="AC8" s="463" t="e">
        <f t="shared" ref="AC8:AC40" si="5">D8/J8</f>
        <v>#DIV/0!</v>
      </c>
    </row>
    <row r="9" spans="1:29" s="190" customFormat="1" ht="15">
      <c r="A9" s="230"/>
      <c r="B9" s="231" t="s">
        <v>940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26" t="s">
        <v>942</v>
      </c>
      <c r="Q9" s="447" t="str">
        <f t="shared" ref="Q9:Q15" si="6">B9</f>
        <v>用途</v>
      </c>
      <c r="R9" s="444" t="s">
        <v>935</v>
      </c>
      <c r="S9" s="445">
        <f t="shared" si="0"/>
        <v>100</v>
      </c>
      <c r="T9" s="444" t="s">
        <v>935</v>
      </c>
      <c r="U9" s="445">
        <f t="shared" si="1"/>
        <v>100</v>
      </c>
      <c r="V9" s="444" t="s">
        <v>935</v>
      </c>
      <c r="W9" s="445">
        <f t="shared" si="2"/>
        <v>100</v>
      </c>
      <c r="X9" s="446"/>
      <c r="Y9" s="3314"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26"/>
      <c r="Q10" s="447" t="str">
        <f t="shared" si="6"/>
        <v>土地使用年限（年）</v>
      </c>
      <c r="R10" s="444" t="s">
        <v>935</v>
      </c>
      <c r="S10" s="445">
        <f t="shared" si="0"/>
        <v>100</v>
      </c>
      <c r="T10" s="444" t="s">
        <v>935</v>
      </c>
      <c r="U10" s="445">
        <f t="shared" si="1"/>
        <v>100</v>
      </c>
      <c r="V10" s="444" t="s">
        <v>935</v>
      </c>
      <c r="W10" s="445">
        <f t="shared" si="2"/>
        <v>100</v>
      </c>
      <c r="X10" s="446"/>
      <c r="Y10" s="3314"/>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26"/>
      <c r="Q11" s="447" t="str">
        <f t="shared" si="6"/>
        <v>容积率</v>
      </c>
      <c r="R11" s="444" t="s">
        <v>935</v>
      </c>
      <c r="S11" s="445" t="e">
        <f t="shared" si="0"/>
        <v>#N/A</v>
      </c>
      <c r="T11" s="444" t="s">
        <v>935</v>
      </c>
      <c r="U11" s="445" t="e">
        <f t="shared" si="1"/>
        <v>#N/A</v>
      </c>
      <c r="V11" s="444" t="s">
        <v>935</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26"/>
      <c r="Q12" s="447">
        <f t="shared" si="6"/>
        <v>111</v>
      </c>
      <c r="R12" s="444" t="s">
        <v>935</v>
      </c>
      <c r="S12" s="445">
        <f t="shared" si="0"/>
        <v>100</v>
      </c>
      <c r="T12" s="444" t="s">
        <v>935</v>
      </c>
      <c r="U12" s="445">
        <f t="shared" si="1"/>
        <v>100</v>
      </c>
      <c r="V12" s="444" t="s">
        <v>935</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26"/>
      <c r="Q13" s="447">
        <f t="shared" si="6"/>
        <v>111</v>
      </c>
      <c r="R13" s="444" t="s">
        <v>935</v>
      </c>
      <c r="S13" s="445">
        <f t="shared" si="0"/>
        <v>100</v>
      </c>
      <c r="T13" s="444" t="s">
        <v>935</v>
      </c>
      <c r="U13" s="445">
        <f t="shared" si="1"/>
        <v>100</v>
      </c>
      <c r="V13" s="444" t="s">
        <v>935</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26"/>
      <c r="Q14" s="447">
        <f t="shared" si="6"/>
        <v>111</v>
      </c>
      <c r="R14" s="444" t="s">
        <v>935</v>
      </c>
      <c r="S14" s="445">
        <f t="shared" si="0"/>
        <v>100</v>
      </c>
      <c r="T14" s="444" t="s">
        <v>935</v>
      </c>
      <c r="U14" s="445">
        <f t="shared" si="1"/>
        <v>100</v>
      </c>
      <c r="V14" s="444" t="s">
        <v>935</v>
      </c>
      <c r="W14" s="445">
        <f t="shared" si="2"/>
        <v>100</v>
      </c>
      <c r="X14" s="446"/>
      <c r="Y14" s="3314"/>
      <c r="Z14" s="464">
        <f t="shared" si="7"/>
        <v>111</v>
      </c>
      <c r="AA14" s="463">
        <f t="shared" si="3"/>
        <v>1</v>
      </c>
      <c r="AB14" s="463">
        <f t="shared" si="4"/>
        <v>1</v>
      </c>
      <c r="AC14" s="463">
        <f t="shared" si="5"/>
        <v>1</v>
      </c>
    </row>
    <row r="15" spans="1:29" ht="57">
      <c r="A15" s="248" t="s">
        <v>948</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27" t="s">
        <v>949</v>
      </c>
      <c r="Q15" s="383" t="str">
        <f t="shared" si="6"/>
        <v>产业集聚程度</v>
      </c>
      <c r="R15" s="448" t="s">
        <v>935</v>
      </c>
      <c r="S15" s="449">
        <f t="shared" si="0"/>
        <v>100</v>
      </c>
      <c r="T15" s="448" t="s">
        <v>935</v>
      </c>
      <c r="U15" s="449">
        <f t="shared" si="1"/>
        <v>100</v>
      </c>
      <c r="V15" s="448" t="s">
        <v>935</v>
      </c>
      <c r="W15" s="449">
        <f t="shared" si="2"/>
        <v>100</v>
      </c>
      <c r="X15" s="443"/>
      <c r="Y15" s="3327" t="s">
        <v>949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28"/>
      <c r="Q16" s="383"/>
      <c r="R16" s="448"/>
      <c r="S16" s="449"/>
      <c r="T16" s="448"/>
      <c r="U16" s="449"/>
      <c r="V16" s="448"/>
      <c r="W16" s="449"/>
      <c r="X16" s="443"/>
      <c r="Y16" s="3328"/>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28"/>
      <c r="Q17" s="383" t="str">
        <f>B17</f>
        <v>交通便捷度</v>
      </c>
      <c r="R17" s="448" t="s">
        <v>935</v>
      </c>
      <c r="S17" s="449">
        <f>F17</f>
        <v>100</v>
      </c>
      <c r="T17" s="448" t="s">
        <v>935</v>
      </c>
      <c r="U17" s="449">
        <f>H17</f>
        <v>100</v>
      </c>
      <c r="V17" s="448" t="s">
        <v>935</v>
      </c>
      <c r="W17" s="449">
        <f>J17</f>
        <v>100</v>
      </c>
      <c r="X17" s="443"/>
      <c r="Y17" s="332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28"/>
      <c r="Q18" s="383"/>
      <c r="R18" s="448"/>
      <c r="S18" s="449"/>
      <c r="T18" s="448"/>
      <c r="U18" s="449"/>
      <c r="V18" s="448"/>
      <c r="W18" s="449"/>
      <c r="X18" s="443"/>
      <c r="Y18" s="3328"/>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28"/>
      <c r="Q19" s="383" t="str">
        <f>B19</f>
        <v>公共配套设施</v>
      </c>
      <c r="R19" s="448" t="s">
        <v>935</v>
      </c>
      <c r="S19" s="449">
        <f>F19</f>
        <v>100</v>
      </c>
      <c r="T19" s="448" t="s">
        <v>935</v>
      </c>
      <c r="U19" s="449">
        <f>H19</f>
        <v>100</v>
      </c>
      <c r="V19" s="448" t="s">
        <v>935</v>
      </c>
      <c r="W19" s="449">
        <f>J19</f>
        <v>100</v>
      </c>
      <c r="X19" s="443"/>
      <c r="Y19" s="3328"/>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28"/>
      <c r="Q20" s="383"/>
      <c r="R20" s="448"/>
      <c r="S20" s="449"/>
      <c r="T20" s="448"/>
      <c r="U20" s="449"/>
      <c r="V20" s="448"/>
      <c r="W20" s="449"/>
      <c r="X20" s="443"/>
      <c r="Y20" s="3328"/>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28"/>
      <c r="Q21" s="383" t="str">
        <f>B21</f>
        <v>基础设施水平</v>
      </c>
      <c r="R21" s="448" t="s">
        <v>935</v>
      </c>
      <c r="S21" s="449">
        <f>F21</f>
        <v>100</v>
      </c>
      <c r="T21" s="448" t="s">
        <v>935</v>
      </c>
      <c r="U21" s="449">
        <f>H21</f>
        <v>100</v>
      </c>
      <c r="V21" s="448" t="s">
        <v>935</v>
      </c>
      <c r="W21" s="449">
        <f>J21</f>
        <v>100</v>
      </c>
      <c r="X21" s="443"/>
      <c r="Y21" s="3328"/>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28"/>
      <c r="Q22" s="383"/>
      <c r="R22" s="448"/>
      <c r="S22" s="449"/>
      <c r="T22" s="448"/>
      <c r="U22" s="449"/>
      <c r="V22" s="448"/>
      <c r="W22" s="449"/>
      <c r="X22" s="443"/>
      <c r="Y22" s="3328"/>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28"/>
      <c r="Q23" s="383" t="str">
        <f>B23</f>
        <v>环境质量</v>
      </c>
      <c r="R23" s="448" t="s">
        <v>935</v>
      </c>
      <c r="S23" s="449">
        <f>F23</f>
        <v>100</v>
      </c>
      <c r="T23" s="448" t="s">
        <v>935</v>
      </c>
      <c r="U23" s="449">
        <f>H23</f>
        <v>100</v>
      </c>
      <c r="V23" s="448" t="s">
        <v>935</v>
      </c>
      <c r="W23" s="449">
        <f>J23</f>
        <v>100</v>
      </c>
      <c r="X23" s="443"/>
      <c r="Y23" s="3328"/>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28"/>
      <c r="Q24" s="383"/>
      <c r="R24" s="448"/>
      <c r="S24" s="449"/>
      <c r="T24" s="448"/>
      <c r="U24" s="449"/>
      <c r="V24" s="448"/>
      <c r="W24" s="449"/>
      <c r="X24" s="443"/>
      <c r="Y24" s="3328"/>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28"/>
      <c r="Q25" s="383">
        <f>B25</f>
        <v>111</v>
      </c>
      <c r="R25" s="448" t="s">
        <v>935</v>
      </c>
      <c r="S25" s="449">
        <f>F25</f>
        <v>100</v>
      </c>
      <c r="T25" s="448" t="s">
        <v>935</v>
      </c>
      <c r="U25" s="449">
        <f>H25</f>
        <v>100</v>
      </c>
      <c r="V25" s="448" t="s">
        <v>935</v>
      </c>
      <c r="W25" s="449">
        <f>J25</f>
        <v>100</v>
      </c>
      <c r="X25" s="443"/>
      <c r="Y25" s="3328"/>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28"/>
      <c r="Q26" s="383">
        <f t="shared" ref="Q26:Q40" si="11">B26</f>
        <v>111</v>
      </c>
      <c r="R26" s="448" t="s">
        <v>935</v>
      </c>
      <c r="S26" s="449">
        <f>F26</f>
        <v>100</v>
      </c>
      <c r="T26" s="448" t="s">
        <v>935</v>
      </c>
      <c r="U26" s="449">
        <f>H26</f>
        <v>100</v>
      </c>
      <c r="V26" s="448" t="s">
        <v>935</v>
      </c>
      <c r="W26" s="449">
        <f>J26</f>
        <v>100</v>
      </c>
      <c r="X26" s="443"/>
      <c r="Y26" s="3328"/>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28"/>
      <c r="Q27" s="447">
        <f t="shared" si="11"/>
        <v>111</v>
      </c>
      <c r="R27" s="444" t="s">
        <v>935</v>
      </c>
      <c r="S27" s="445">
        <f>F27</f>
        <v>100</v>
      </c>
      <c r="T27" s="444" t="s">
        <v>935</v>
      </c>
      <c r="U27" s="445">
        <f>H27</f>
        <v>100</v>
      </c>
      <c r="V27" s="444" t="s">
        <v>935</v>
      </c>
      <c r="W27" s="445">
        <f>J27</f>
        <v>100</v>
      </c>
      <c r="X27" s="446"/>
      <c r="Y27" s="3328"/>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28"/>
      <c r="Q28" s="383">
        <f t="shared" si="11"/>
        <v>111</v>
      </c>
      <c r="R28" s="448" t="s">
        <v>935</v>
      </c>
      <c r="S28" s="449">
        <f t="shared" ref="S28:S40" si="12">F28</f>
        <v>100</v>
      </c>
      <c r="T28" s="448" t="s">
        <v>935</v>
      </c>
      <c r="U28" s="449">
        <f t="shared" ref="U28:U40" si="13">H28</f>
        <v>100</v>
      </c>
      <c r="V28" s="448" t="s">
        <v>935</v>
      </c>
      <c r="W28" s="449">
        <f t="shared" ref="W28:W40" si="14">J28</f>
        <v>100</v>
      </c>
      <c r="X28" s="443"/>
      <c r="Y28" s="3328"/>
      <c r="Z28" s="442">
        <f t="shared" ref="Z28:Z40" si="15">Q28</f>
        <v>111</v>
      </c>
      <c r="AA28" s="454">
        <f t="shared" si="3"/>
        <v>1</v>
      </c>
      <c r="AB28" s="454">
        <f t="shared" si="4"/>
        <v>1</v>
      </c>
      <c r="AC28" s="454">
        <f t="shared" si="5"/>
        <v>1</v>
      </c>
    </row>
    <row r="29" spans="1:29" ht="15">
      <c r="A29" s="283" t="s">
        <v>958</v>
      </c>
      <c r="B29" s="284" t="s">
        <v>2095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29" t="s">
        <v>957</v>
      </c>
      <c r="Q29" s="383" t="str">
        <f t="shared" si="11"/>
        <v>建筑类型</v>
      </c>
      <c r="R29" s="448" t="s">
        <v>935</v>
      </c>
      <c r="S29" s="449">
        <f t="shared" si="12"/>
        <v>100</v>
      </c>
      <c r="T29" s="448" t="s">
        <v>935</v>
      </c>
      <c r="U29" s="449">
        <f t="shared" si="13"/>
        <v>100</v>
      </c>
      <c r="V29" s="448" t="s">
        <v>935</v>
      </c>
      <c r="W29" s="449">
        <f t="shared" si="14"/>
        <v>100</v>
      </c>
      <c r="X29" s="443"/>
      <c r="Y29" s="3330" t="s">
        <v>957</v>
      </c>
      <c r="Z29" s="442" t="str">
        <f t="shared" si="15"/>
        <v>建筑类型</v>
      </c>
      <c r="AA29" s="454">
        <f t="shared" si="3"/>
        <v>1</v>
      </c>
      <c r="AB29" s="454">
        <f t="shared" si="4"/>
        <v>1</v>
      </c>
      <c r="AC29" s="454">
        <f t="shared" si="5"/>
        <v>1</v>
      </c>
    </row>
    <row r="30" spans="1:29" s="192" customFormat="1" ht="15">
      <c r="A30" s="288"/>
      <c r="B30" s="289" t="s">
        <v>2096</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30"/>
      <c r="Q30" s="450" t="str">
        <f t="shared" si="11"/>
        <v>项目建筑规模</v>
      </c>
      <c r="R30" s="451" t="s">
        <v>935</v>
      </c>
      <c r="S30" s="452" t="e">
        <f t="shared" si="12"/>
        <v>#N/A</v>
      </c>
      <c r="T30" s="451" t="s">
        <v>935</v>
      </c>
      <c r="U30" s="452" t="e">
        <f t="shared" si="13"/>
        <v>#N/A</v>
      </c>
      <c r="V30" s="451" t="s">
        <v>935</v>
      </c>
      <c r="W30" s="452" t="e">
        <f t="shared" si="14"/>
        <v>#N/A</v>
      </c>
      <c r="X30" s="453"/>
      <c r="Y30" s="3330"/>
      <c r="Z30" s="465" t="str">
        <f t="shared" si="15"/>
        <v>项目建筑规模</v>
      </c>
      <c r="AA30" s="454" t="e">
        <f t="shared" si="3"/>
        <v>#N/A</v>
      </c>
      <c r="AB30" s="454" t="e">
        <f t="shared" si="4"/>
        <v>#N/A</v>
      </c>
      <c r="AC30" s="454" t="e">
        <f t="shared" si="5"/>
        <v>#N/A</v>
      </c>
    </row>
    <row r="31" spans="1:29" ht="15">
      <c r="A31" s="293"/>
      <c r="B31" s="289" t="s">
        <v>2097</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30"/>
      <c r="Q31" s="383" t="str">
        <f t="shared" si="11"/>
        <v>建筑结构</v>
      </c>
      <c r="R31" s="448" t="s">
        <v>935</v>
      </c>
      <c r="S31" s="449">
        <f t="shared" si="12"/>
        <v>100</v>
      </c>
      <c r="T31" s="448" t="s">
        <v>935</v>
      </c>
      <c r="U31" s="449">
        <f t="shared" si="13"/>
        <v>100</v>
      </c>
      <c r="V31" s="448" t="s">
        <v>935</v>
      </c>
      <c r="W31" s="449">
        <f t="shared" si="14"/>
        <v>100</v>
      </c>
      <c r="X31" s="443"/>
      <c r="Y31" s="3330"/>
      <c r="Z31" s="442" t="str">
        <f t="shared" si="15"/>
        <v>建筑结构</v>
      </c>
      <c r="AA31" s="454">
        <f t="shared" si="3"/>
        <v>1</v>
      </c>
      <c r="AB31" s="454">
        <f t="shared" si="4"/>
        <v>1</v>
      </c>
      <c r="AC31" s="454">
        <f t="shared" si="5"/>
        <v>1</v>
      </c>
    </row>
    <row r="32" spans="1:29" ht="15">
      <c r="A32" s="293"/>
      <c r="B32" s="289" t="s">
        <v>2099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30"/>
      <c r="Q32" s="383" t="str">
        <f t="shared" si="11"/>
        <v>公共部分装修</v>
      </c>
      <c r="R32" s="448" t="s">
        <v>935</v>
      </c>
      <c r="S32" s="449">
        <f t="shared" si="12"/>
        <v>100</v>
      </c>
      <c r="T32" s="448" t="s">
        <v>935</v>
      </c>
      <c r="U32" s="449">
        <f t="shared" si="13"/>
        <v>100</v>
      </c>
      <c r="V32" s="448" t="s">
        <v>935</v>
      </c>
      <c r="W32" s="449">
        <f t="shared" si="14"/>
        <v>100</v>
      </c>
      <c r="X32" s="443"/>
      <c r="Y32" s="3330"/>
      <c r="Z32" s="442" t="str">
        <f t="shared" si="15"/>
        <v>公共部分装修</v>
      </c>
      <c r="AA32" s="454">
        <f t="shared" si="3"/>
        <v>1</v>
      </c>
      <c r="AB32" s="454">
        <f t="shared" si="4"/>
        <v>1</v>
      </c>
      <c r="AC32" s="454">
        <f t="shared" si="5"/>
        <v>1</v>
      </c>
    </row>
    <row r="33" spans="1:29" ht="15">
      <c r="A33" s="293"/>
      <c r="B33" s="289" t="s">
        <v>2102</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30"/>
      <c r="Q33" s="383" t="str">
        <f t="shared" si="11"/>
        <v>成新度</v>
      </c>
      <c r="R33" s="448" t="s">
        <v>935</v>
      </c>
      <c r="S33" s="449" t="e">
        <f t="shared" si="12"/>
        <v>#N/A</v>
      </c>
      <c r="T33" s="448" t="s">
        <v>935</v>
      </c>
      <c r="U33" s="449" t="e">
        <f t="shared" si="13"/>
        <v>#N/A</v>
      </c>
      <c r="V33" s="448" t="s">
        <v>935</v>
      </c>
      <c r="W33" s="449" t="e">
        <f t="shared" si="14"/>
        <v>#N/A</v>
      </c>
      <c r="X33" s="443"/>
      <c r="Y33" s="3330"/>
      <c r="Z33" s="442" t="str">
        <f t="shared" si="15"/>
        <v>成新度</v>
      </c>
      <c r="AA33" s="454" t="e">
        <f t="shared" si="3"/>
        <v>#N/A</v>
      </c>
      <c r="AB33" s="454" t="e">
        <f t="shared" si="4"/>
        <v>#N/A</v>
      </c>
      <c r="AC33" s="454" t="e">
        <f t="shared" si="5"/>
        <v>#N/A</v>
      </c>
    </row>
    <row r="34" spans="1:29" s="190" customFormat="1" ht="15">
      <c r="A34" s="296"/>
      <c r="B34" s="289" t="s">
        <v>2103</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30"/>
      <c r="Q34" s="447" t="str">
        <f t="shared" si="11"/>
        <v>物业管理</v>
      </c>
      <c r="R34" s="444" t="s">
        <v>935</v>
      </c>
      <c r="S34" s="445">
        <f t="shared" si="12"/>
        <v>100</v>
      </c>
      <c r="T34" s="444" t="s">
        <v>935</v>
      </c>
      <c r="U34" s="445">
        <f t="shared" si="13"/>
        <v>100</v>
      </c>
      <c r="V34" s="444" t="s">
        <v>935</v>
      </c>
      <c r="W34" s="445">
        <f t="shared" si="14"/>
        <v>100</v>
      </c>
      <c r="X34" s="446"/>
      <c r="Y34" s="3330"/>
      <c r="Z34" s="464" t="str">
        <f t="shared" si="15"/>
        <v>物业管理</v>
      </c>
      <c r="AA34" s="463">
        <f t="shared" si="3"/>
        <v>1</v>
      </c>
      <c r="AB34" s="463">
        <f t="shared" si="4"/>
        <v>1</v>
      </c>
      <c r="AC34" s="463">
        <f t="shared" si="5"/>
        <v>1</v>
      </c>
    </row>
    <row r="35" spans="1:29" ht="15">
      <c r="A35" s="293"/>
      <c r="B35" s="544" t="s">
        <v>2104</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30" t="s">
        <v>957</v>
      </c>
      <c r="Q35" s="383" t="str">
        <f t="shared" si="11"/>
        <v>市政基础设施</v>
      </c>
      <c r="R35" s="448" t="s">
        <v>935</v>
      </c>
      <c r="S35" s="449">
        <f t="shared" si="12"/>
        <v>100</v>
      </c>
      <c r="T35" s="448" t="s">
        <v>935</v>
      </c>
      <c r="U35" s="449">
        <f t="shared" si="13"/>
        <v>100</v>
      </c>
      <c r="V35" s="448" t="s">
        <v>935</v>
      </c>
      <c r="W35" s="449">
        <f t="shared" si="14"/>
        <v>100</v>
      </c>
      <c r="X35" s="443"/>
      <c r="Y35" s="3330" t="s">
        <v>957</v>
      </c>
      <c r="Z35" s="442" t="str">
        <f t="shared" si="15"/>
        <v>市政基础设施</v>
      </c>
      <c r="AA35" s="454">
        <f t="shared" si="3"/>
        <v>1</v>
      </c>
      <c r="AB35" s="454">
        <f t="shared" si="4"/>
        <v>1</v>
      </c>
      <c r="AC35" s="454">
        <f t="shared" si="5"/>
        <v>1</v>
      </c>
    </row>
    <row r="36" spans="1:29" ht="15">
      <c r="A36" s="293"/>
      <c r="B36" s="289" t="s">
        <v>2107</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30"/>
      <c r="Q36" s="383" t="str">
        <f t="shared" si="11"/>
        <v>内部装修</v>
      </c>
      <c r="R36" s="448" t="s">
        <v>935</v>
      </c>
      <c r="S36" s="449">
        <f t="shared" si="12"/>
        <v>100</v>
      </c>
      <c r="T36" s="448" t="s">
        <v>935</v>
      </c>
      <c r="U36" s="449">
        <f t="shared" si="13"/>
        <v>100</v>
      </c>
      <c r="V36" s="448" t="s">
        <v>935</v>
      </c>
      <c r="W36" s="449">
        <f t="shared" si="14"/>
        <v>100</v>
      </c>
      <c r="X36" s="443"/>
      <c r="Y36" s="3330"/>
      <c r="Z36" s="442" t="str">
        <f t="shared" si="15"/>
        <v>内部装修</v>
      </c>
      <c r="AA36" s="454">
        <f t="shared" si="3"/>
        <v>1</v>
      </c>
      <c r="AB36" s="454">
        <f t="shared" si="4"/>
        <v>1</v>
      </c>
      <c r="AC36" s="454">
        <f t="shared" si="5"/>
        <v>1</v>
      </c>
    </row>
    <row r="37" spans="1:29" ht="15">
      <c r="A37" s="293"/>
      <c r="B37" s="289" t="s">
        <v>2276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30"/>
      <c r="Q37" s="383" t="str">
        <f t="shared" si="11"/>
        <v>内部装修状况</v>
      </c>
      <c r="R37" s="448" t="s">
        <v>935</v>
      </c>
      <c r="S37" s="449">
        <f t="shared" si="12"/>
        <v>100</v>
      </c>
      <c r="T37" s="448" t="s">
        <v>935</v>
      </c>
      <c r="U37" s="449">
        <f t="shared" si="13"/>
        <v>100</v>
      </c>
      <c r="V37" s="448" t="s">
        <v>935</v>
      </c>
      <c r="W37" s="449">
        <f t="shared" si="14"/>
        <v>100</v>
      </c>
      <c r="X37" s="443"/>
      <c r="Y37" s="3330"/>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30"/>
      <c r="Q38" s="450">
        <f t="shared" si="11"/>
        <v>111</v>
      </c>
      <c r="R38" s="451" t="s">
        <v>935</v>
      </c>
      <c r="S38" s="452">
        <f t="shared" si="12"/>
        <v>100</v>
      </c>
      <c r="T38" s="451" t="s">
        <v>935</v>
      </c>
      <c r="U38" s="452">
        <f t="shared" si="13"/>
        <v>100</v>
      </c>
      <c r="V38" s="451" t="s">
        <v>935</v>
      </c>
      <c r="W38" s="452">
        <f t="shared" si="14"/>
        <v>100</v>
      </c>
      <c r="X38" s="453"/>
      <c r="Y38" s="3330"/>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30"/>
      <c r="Q39" s="383">
        <f t="shared" si="11"/>
        <v>111</v>
      </c>
      <c r="R39" s="448" t="s">
        <v>935</v>
      </c>
      <c r="S39" s="449">
        <f t="shared" si="12"/>
        <v>100</v>
      </c>
      <c r="T39" s="448" t="s">
        <v>935</v>
      </c>
      <c r="U39" s="449">
        <f t="shared" si="13"/>
        <v>100</v>
      </c>
      <c r="V39" s="448" t="s">
        <v>935</v>
      </c>
      <c r="W39" s="449">
        <f t="shared" si="14"/>
        <v>100</v>
      </c>
      <c r="X39" s="443"/>
      <c r="Y39" s="3330"/>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1"/>
      <c r="Q40" s="383">
        <f t="shared" si="11"/>
        <v>111</v>
      </c>
      <c r="R40" s="448" t="s">
        <v>935</v>
      </c>
      <c r="S40" s="449">
        <f t="shared" si="12"/>
        <v>100</v>
      </c>
      <c r="T40" s="448" t="s">
        <v>935</v>
      </c>
      <c r="U40" s="449">
        <f t="shared" si="13"/>
        <v>100</v>
      </c>
      <c r="V40" s="448" t="s">
        <v>935</v>
      </c>
      <c r="W40" s="449">
        <f t="shared" si="14"/>
        <v>100</v>
      </c>
      <c r="X40" s="443"/>
      <c r="Y40" s="3411"/>
      <c r="Z40" s="442">
        <f t="shared" si="15"/>
        <v>111</v>
      </c>
      <c r="AA40" s="454">
        <f t="shared" si="3"/>
        <v>1</v>
      </c>
      <c r="AB40" s="454">
        <f t="shared" si="4"/>
        <v>1</v>
      </c>
      <c r="AC40" s="454">
        <f t="shared" si="5"/>
        <v>1</v>
      </c>
    </row>
    <row r="41" spans="1:29" ht="15">
      <c r="A41" s="303" t="s">
        <v>2109</v>
      </c>
      <c r="B41" s="304"/>
      <c r="C41" s="305" t="s">
        <v>138</v>
      </c>
      <c r="D41" s="306"/>
      <c r="E41" s="307"/>
      <c r="F41" s="308"/>
      <c r="G41" s="309"/>
      <c r="H41" s="310"/>
      <c r="I41" s="307"/>
      <c r="J41" s="310"/>
      <c r="K41" s="397"/>
      <c r="L41" s="398"/>
      <c r="M41" s="319"/>
      <c r="N41" s="378"/>
      <c r="O41" s="319"/>
      <c r="P41" s="3326" t="str">
        <f>A41</f>
        <v>成交单价（元/平方米）</v>
      </c>
      <c r="Q41" s="3326"/>
      <c r="R41" s="3410">
        <f>E41</f>
        <v>0</v>
      </c>
      <c r="S41" s="3410"/>
      <c r="T41" s="3410">
        <f>G41</f>
        <v>0</v>
      </c>
      <c r="U41" s="3410"/>
      <c r="V41" s="3410">
        <f>I41</f>
        <v>0</v>
      </c>
      <c r="W41" s="3410"/>
      <c r="X41" s="330"/>
      <c r="Y41" s="466"/>
      <c r="Z41" s="330"/>
      <c r="AA41" s="330"/>
      <c r="AB41" s="330"/>
      <c r="AC41" s="330"/>
    </row>
    <row r="42" spans="1:29" ht="15">
      <c r="A42" s="311" t="s">
        <v>967</v>
      </c>
      <c r="B42" s="312"/>
      <c r="C42" s="313" t="e">
        <f>R43</f>
        <v>#DIV/0!</v>
      </c>
      <c r="D42" s="314"/>
      <c r="E42" s="315" t="e">
        <f>R42</f>
        <v>#DIV/0!</v>
      </c>
      <c r="F42" s="315"/>
      <c r="G42" s="313" t="e">
        <f>T42</f>
        <v>#DIV/0!</v>
      </c>
      <c r="H42" s="314"/>
      <c r="I42" s="315" t="e">
        <f>V42</f>
        <v>#DIV/0!</v>
      </c>
      <c r="J42" s="314"/>
      <c r="K42" s="399"/>
      <c r="L42" s="398"/>
      <c r="M42" s="319"/>
      <c r="N42" s="378"/>
      <c r="O42" s="319"/>
      <c r="P42" s="3326" t="str">
        <f>A42</f>
        <v>比较价格（元/平方米）</v>
      </c>
      <c r="Q42" s="3326"/>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30"/>
      <c r="Y42" s="330"/>
      <c r="Z42" s="330"/>
      <c r="AA42" s="330"/>
      <c r="AB42" s="330"/>
      <c r="AC42" s="330"/>
    </row>
    <row r="43" spans="1:29" ht="15">
      <c r="A43" s="316" t="s">
        <v>968</v>
      </c>
      <c r="B43" s="317"/>
      <c r="C43" s="318" t="e">
        <f>R43</f>
        <v>#DIV/0!</v>
      </c>
      <c r="D43" s="318"/>
      <c r="E43" s="318"/>
      <c r="F43" s="318"/>
      <c r="G43" s="318"/>
      <c r="H43" s="318"/>
      <c r="I43" s="318"/>
      <c r="J43" s="318"/>
      <c r="K43" s="400"/>
      <c r="L43" s="398"/>
      <c r="M43" s="319"/>
      <c r="N43" s="319"/>
      <c r="O43" s="319"/>
      <c r="P43" s="3332" t="str">
        <f>A43</f>
        <v>估价对象XX用房的比较价格（楼面单价，元/平方米）</v>
      </c>
      <c r="Q43" s="3333"/>
      <c r="R43" s="3412" t="e">
        <f>IF(F1="售价",ROUND(AVERAGE(R42:V42),0),ROUND(AVERAGE(R42:V42),1))</f>
        <v>#DIV/0!</v>
      </c>
      <c r="S43" s="3412"/>
      <c r="T43" s="3412"/>
      <c r="U43" s="3412"/>
      <c r="V43" s="3412"/>
      <c r="W43" s="3412"/>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933</v>
      </c>
      <c r="B52" s="334"/>
      <c r="C52" s="335" t="str">
        <f>YEAR(C7)&amp;"-"&amp;MONTH(C7)</f>
        <v>2019-5</v>
      </c>
      <c r="D52" s="336">
        <f>EDATE(C52,-1)</f>
        <v>43556</v>
      </c>
      <c r="E52" s="336">
        <f t="shared" ref="E52:O52" si="16">EDATE(D52,-1)</f>
        <v>43525</v>
      </c>
      <c r="F52" s="336">
        <f t="shared" si="16"/>
        <v>43497</v>
      </c>
      <c r="G52" s="336">
        <f t="shared" si="16"/>
        <v>43466</v>
      </c>
      <c r="H52" s="336">
        <f t="shared" si="16"/>
        <v>43435</v>
      </c>
      <c r="I52" s="336">
        <f t="shared" si="16"/>
        <v>43405</v>
      </c>
      <c r="J52" s="336">
        <f t="shared" si="16"/>
        <v>43374</v>
      </c>
      <c r="K52" s="336">
        <f t="shared" si="16"/>
        <v>43344</v>
      </c>
      <c r="L52" s="336">
        <f t="shared" si="16"/>
        <v>43313</v>
      </c>
      <c r="M52" s="336">
        <f t="shared" si="16"/>
        <v>43282</v>
      </c>
      <c r="N52" s="336">
        <f t="shared" si="16"/>
        <v>43252</v>
      </c>
      <c r="O52" s="336">
        <f t="shared" si="16"/>
        <v>43221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1107</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936</v>
      </c>
      <c r="B55" s="338"/>
      <c r="C55" s="346" t="s">
        <v>937</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997</v>
      </c>
      <c r="B57" s="349" t="s">
        <v>998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999</v>
      </c>
      <c r="C59" s="356" t="s">
        <v>2110</v>
      </c>
      <c r="D59" s="356" t="s">
        <v>2111</v>
      </c>
      <c r="E59" s="356" t="s">
        <v>2112</v>
      </c>
      <c r="F59" s="356" t="s">
        <v>2113</v>
      </c>
      <c r="G59" s="356" t="s">
        <v>2114</v>
      </c>
      <c r="H59" s="356" t="s">
        <v>2115</v>
      </c>
      <c r="I59" s="356" t="s">
        <v>2116</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992</v>
      </c>
      <c r="D60" s="358" t="s">
        <v>992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1006</v>
      </c>
      <c r="B88" s="349" t="s">
        <v>2095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2096</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2097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2099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2102</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2103</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2104</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2107</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2277</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199"/>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IF(B37="元/平方米",C39,ROUND(B2*10000/D3,0))</f>
        <v>#DIV/0!</v>
      </c>
      <c r="C3" s="212" t="s">
        <v>2085</v>
      </c>
      <c r="D3" s="213">
        <f>SUMIF('数据-汇总表'!$C19:$C33,D1,'数据-汇总表'!$E19:$E33)</f>
        <v>0</v>
      </c>
      <c r="E3" s="496" t="s">
        <v>2278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15" t="s">
        <v>922</v>
      </c>
      <c r="D4" s="3316"/>
      <c r="E4" s="3315" t="s">
        <v>923</v>
      </c>
      <c r="F4" s="3316"/>
      <c r="G4" s="3315" t="s">
        <v>924</v>
      </c>
      <c r="H4" s="3316"/>
      <c r="I4" s="3315" t="s">
        <v>925</v>
      </c>
      <c r="J4" s="3316"/>
      <c r="K4" s="376" t="s">
        <v>926</v>
      </c>
      <c r="L4" s="377"/>
      <c r="M4" s="378"/>
      <c r="N4" s="378"/>
      <c r="O4" s="378"/>
      <c r="P4" s="3343" t="s">
        <v>927</v>
      </c>
      <c r="Q4" s="3344"/>
      <c r="R4" s="3349" t="s">
        <v>923</v>
      </c>
      <c r="S4" s="3350"/>
      <c r="T4" s="3349" t="s">
        <v>924</v>
      </c>
      <c r="U4" s="3350"/>
      <c r="V4" s="3335" t="s">
        <v>925</v>
      </c>
      <c r="W4" s="3335"/>
      <c r="X4" s="443"/>
      <c r="Y4" s="3349" t="s">
        <v>927</v>
      </c>
      <c r="Z4" s="3350"/>
      <c r="AA4" s="3336" t="s">
        <v>923</v>
      </c>
      <c r="AB4" s="3337" t="s">
        <v>924</v>
      </c>
      <c r="AC4" s="3336" t="s">
        <v>925</v>
      </c>
    </row>
    <row r="5" spans="1:29" ht="15">
      <c r="A5" s="216"/>
      <c r="B5" s="217"/>
      <c r="C5" s="3358" t="s">
        <v>1099</v>
      </c>
      <c r="D5" s="3318"/>
      <c r="E5" s="3358" t="s">
        <v>1100</v>
      </c>
      <c r="F5" s="3318"/>
      <c r="G5" s="3358" t="s">
        <v>1101</v>
      </c>
      <c r="H5" s="3318"/>
      <c r="I5" s="3358" t="s">
        <v>1102</v>
      </c>
      <c r="J5" s="3318"/>
      <c r="K5" s="376"/>
      <c r="L5" s="377"/>
      <c r="M5" s="378"/>
      <c r="N5" s="378"/>
      <c r="O5" s="378"/>
      <c r="P5" s="3345"/>
      <c r="Q5" s="3346"/>
      <c r="R5" s="3351"/>
      <c r="S5" s="3352"/>
      <c r="T5" s="3351"/>
      <c r="U5" s="3352"/>
      <c r="V5" s="3335"/>
      <c r="W5" s="3335"/>
      <c r="X5" s="443"/>
      <c r="Y5" s="3351"/>
      <c r="Z5" s="3352"/>
      <c r="AA5" s="3337"/>
      <c r="AB5" s="3337"/>
      <c r="AC5" s="3337"/>
    </row>
    <row r="6" spans="1:29" ht="15">
      <c r="A6" s="218"/>
      <c r="B6" s="219"/>
      <c r="C6" s="3321" t="s">
        <v>1103</v>
      </c>
      <c r="D6" s="3322"/>
      <c r="E6" s="3319" t="s">
        <v>1103</v>
      </c>
      <c r="F6" s="3320"/>
      <c r="G6" s="3321" t="s">
        <v>1103</v>
      </c>
      <c r="H6" s="3322"/>
      <c r="I6" s="3321" t="s">
        <v>1103</v>
      </c>
      <c r="J6" s="3322"/>
      <c r="K6" s="376" t="s">
        <v>932</v>
      </c>
      <c r="L6" s="377"/>
      <c r="M6" s="378"/>
      <c r="N6" s="378"/>
      <c r="O6" s="378"/>
      <c r="P6" s="3347"/>
      <c r="Q6" s="3348"/>
      <c r="R6" s="3351"/>
      <c r="S6" s="3352"/>
      <c r="T6" s="3353"/>
      <c r="U6" s="3354"/>
      <c r="V6" s="3335"/>
      <c r="W6" s="3335"/>
      <c r="X6" s="443"/>
      <c r="Y6" s="3353"/>
      <c r="Z6" s="3354"/>
      <c r="AA6" s="3338"/>
      <c r="AB6" s="3338"/>
      <c r="AC6" s="3338"/>
    </row>
    <row r="7" spans="1:29" s="190" customFormat="1" ht="15">
      <c r="A7" s="220"/>
      <c r="B7" s="221" t="s">
        <v>933</v>
      </c>
      <c r="C7" s="222">
        <f>'数据-取费表'!B2</f>
        <v>43600</v>
      </c>
      <c r="D7" s="223">
        <v>100</v>
      </c>
      <c r="E7" s="224"/>
      <c r="F7" s="225">
        <f>SUMIF(48:48,YEAR(E7)&amp;"-"&amp;MONTH(E7),49:49)</f>
        <v>0</v>
      </c>
      <c r="G7" s="226"/>
      <c r="H7" s="223">
        <f>SUMIF(48:48,YEAR(G7)&amp;"-"&amp;MONTH(G7),49:49)</f>
        <v>0</v>
      </c>
      <c r="I7" s="226"/>
      <c r="J7" s="223">
        <f>SUMIF(48:48,YEAR(I7)&amp;"-"&amp;MONTH(I7),49:49)</f>
        <v>0</v>
      </c>
      <c r="K7" s="379"/>
      <c r="L7" s="380"/>
      <c r="M7" s="381"/>
      <c r="N7" s="381"/>
      <c r="O7" s="381"/>
      <c r="P7" s="3323" t="s">
        <v>934</v>
      </c>
      <c r="Q7" s="3324"/>
      <c r="R7" s="444" t="s">
        <v>935</v>
      </c>
      <c r="S7" s="445">
        <f t="shared" ref="S7:S14" si="0">F7</f>
        <v>0</v>
      </c>
      <c r="T7" s="444" t="s">
        <v>935</v>
      </c>
      <c r="U7" s="445">
        <f t="shared" ref="U7:U14" si="1">H7</f>
        <v>0</v>
      </c>
      <c r="V7" s="444" t="s">
        <v>935</v>
      </c>
      <c r="W7" s="445">
        <f t="shared" ref="W7:W14" si="2">J7</f>
        <v>0</v>
      </c>
      <c r="X7" s="446"/>
      <c r="Y7" s="3323" t="s">
        <v>934</v>
      </c>
      <c r="Z7" s="3355"/>
      <c r="AA7" s="463" t="e">
        <f>D7/F7</f>
        <v>#DIV/0!</v>
      </c>
      <c r="AB7" s="463" t="e">
        <f>D7/H7</f>
        <v>#DIV/0!</v>
      </c>
      <c r="AC7" s="463" t="e">
        <f>D7/J7</f>
        <v>#DIV/0!</v>
      </c>
    </row>
    <row r="8" spans="1:29" s="190" customFormat="1" ht="15">
      <c r="A8" s="227"/>
      <c r="B8" s="228" t="s">
        <v>936</v>
      </c>
      <c r="C8" s="229" t="s">
        <v>937</v>
      </c>
      <c r="D8" s="223">
        <v>100</v>
      </c>
      <c r="E8" s="229"/>
      <c r="F8" s="225">
        <f>SUMIF(51:51,E8,52:52)-SUMIF(51:51,C8,52:52)+100</f>
        <v>0</v>
      </c>
      <c r="G8" s="229"/>
      <c r="H8" s="223">
        <f>SUMIF(51:51,G8,52:52)-SUMIF(51:51,C8,52:52)+100</f>
        <v>0</v>
      </c>
      <c r="I8" s="229"/>
      <c r="J8" s="223">
        <f>SUMIF(51:51,I8,52:52)-SUMIF(51:51,C8,52:52)+100</f>
        <v>0</v>
      </c>
      <c r="K8" s="379"/>
      <c r="L8" s="380"/>
      <c r="M8" s="381"/>
      <c r="N8" s="381"/>
      <c r="O8" s="381"/>
      <c r="P8" s="3323" t="s">
        <v>939</v>
      </c>
      <c r="Q8" s="3355"/>
      <c r="R8" s="444" t="s">
        <v>935</v>
      </c>
      <c r="S8" s="445">
        <f t="shared" si="0"/>
        <v>0</v>
      </c>
      <c r="T8" s="444" t="s">
        <v>935</v>
      </c>
      <c r="U8" s="445">
        <f t="shared" si="1"/>
        <v>0</v>
      </c>
      <c r="V8" s="444" t="s">
        <v>935</v>
      </c>
      <c r="W8" s="445">
        <f t="shared" si="2"/>
        <v>0</v>
      </c>
      <c r="X8" s="446"/>
      <c r="Y8" s="3323" t="s">
        <v>939</v>
      </c>
      <c r="Z8" s="3355"/>
      <c r="AA8" s="463" t="e">
        <f t="shared" ref="AA8:AA36" si="3">D8/F8</f>
        <v>#DIV/0!</v>
      </c>
      <c r="AB8" s="463" t="e">
        <f t="shared" ref="AB8:AB36" si="4">D8/H8</f>
        <v>#DIV/0!</v>
      </c>
      <c r="AC8" s="463" t="e">
        <f t="shared" ref="AC8:AC36" si="5">D8/J8</f>
        <v>#DIV/0!</v>
      </c>
    </row>
    <row r="9" spans="1:29" s="190" customFormat="1" ht="15">
      <c r="A9" s="230"/>
      <c r="B9" s="231" t="s">
        <v>940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26" t="s">
        <v>942</v>
      </c>
      <c r="Q9" s="447" t="str">
        <f t="shared" ref="Q9:Q14" si="6">B9</f>
        <v>用途</v>
      </c>
      <c r="R9" s="444" t="s">
        <v>935</v>
      </c>
      <c r="S9" s="445">
        <f t="shared" si="0"/>
        <v>100</v>
      </c>
      <c r="T9" s="444" t="s">
        <v>935</v>
      </c>
      <c r="U9" s="445">
        <f t="shared" si="1"/>
        <v>100</v>
      </c>
      <c r="V9" s="444" t="s">
        <v>935</v>
      </c>
      <c r="W9" s="445">
        <f t="shared" si="2"/>
        <v>100</v>
      </c>
      <c r="X9" s="446"/>
      <c r="Y9" s="3314"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26"/>
      <c r="Q10" s="447" t="str">
        <f t="shared" si="6"/>
        <v>土地使用年限（年）</v>
      </c>
      <c r="R10" s="444" t="s">
        <v>935</v>
      </c>
      <c r="S10" s="445">
        <f t="shared" si="0"/>
        <v>100</v>
      </c>
      <c r="T10" s="444" t="s">
        <v>935</v>
      </c>
      <c r="U10" s="445">
        <f t="shared" si="1"/>
        <v>100</v>
      </c>
      <c r="V10" s="444" t="s">
        <v>935</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26"/>
      <c r="Q11" s="447">
        <f t="shared" si="6"/>
        <v>111</v>
      </c>
      <c r="R11" s="444" t="s">
        <v>935</v>
      </c>
      <c r="S11" s="445">
        <f t="shared" si="0"/>
        <v>100</v>
      </c>
      <c r="T11" s="444" t="s">
        <v>935</v>
      </c>
      <c r="U11" s="445">
        <f t="shared" si="1"/>
        <v>100</v>
      </c>
      <c r="V11" s="444" t="s">
        <v>935</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26"/>
      <c r="Q12" s="447">
        <f t="shared" si="6"/>
        <v>111</v>
      </c>
      <c r="R12" s="444" t="s">
        <v>935</v>
      </c>
      <c r="S12" s="445">
        <f t="shared" si="0"/>
        <v>100</v>
      </c>
      <c r="T12" s="444" t="s">
        <v>935</v>
      </c>
      <c r="U12" s="445">
        <f t="shared" si="1"/>
        <v>100</v>
      </c>
      <c r="V12" s="444" t="s">
        <v>935</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26"/>
      <c r="Q13" s="447">
        <f t="shared" si="6"/>
        <v>111</v>
      </c>
      <c r="R13" s="444" t="s">
        <v>935</v>
      </c>
      <c r="S13" s="445">
        <f t="shared" si="0"/>
        <v>100</v>
      </c>
      <c r="T13" s="444" t="s">
        <v>935</v>
      </c>
      <c r="U13" s="445">
        <f t="shared" si="1"/>
        <v>100</v>
      </c>
      <c r="V13" s="444" t="s">
        <v>935</v>
      </c>
      <c r="W13" s="445">
        <f t="shared" si="2"/>
        <v>100</v>
      </c>
      <c r="X13" s="446"/>
      <c r="Y13" s="3314"/>
      <c r="Z13" s="464">
        <f t="shared" si="7"/>
        <v>111</v>
      </c>
      <c r="AA13" s="463">
        <f t="shared" si="3"/>
        <v>1</v>
      </c>
      <c r="AB13" s="463">
        <f t="shared" si="4"/>
        <v>1</v>
      </c>
      <c r="AC13" s="463">
        <f t="shared" si="5"/>
        <v>1</v>
      </c>
    </row>
    <row r="14" spans="1:29" ht="85.5">
      <c r="A14" s="248" t="s">
        <v>948</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27" t="s">
        <v>949</v>
      </c>
      <c r="Q14" s="383" t="str">
        <f t="shared" si="6"/>
        <v>交通便捷度</v>
      </c>
      <c r="R14" s="448" t="s">
        <v>935</v>
      </c>
      <c r="S14" s="449">
        <f t="shared" si="0"/>
        <v>100</v>
      </c>
      <c r="T14" s="448" t="s">
        <v>935</v>
      </c>
      <c r="U14" s="449">
        <f t="shared" si="1"/>
        <v>100</v>
      </c>
      <c r="V14" s="448" t="s">
        <v>935</v>
      </c>
      <c r="W14" s="449">
        <f t="shared" si="2"/>
        <v>100</v>
      </c>
      <c r="X14" s="443"/>
      <c r="Y14" s="3327" t="s">
        <v>949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28"/>
      <c r="Q15" s="383"/>
      <c r="R15" s="448"/>
      <c r="S15" s="449"/>
      <c r="T15" s="448"/>
      <c r="U15" s="449"/>
      <c r="V15" s="448"/>
      <c r="W15" s="449"/>
      <c r="X15" s="443"/>
      <c r="Y15" s="3328"/>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28"/>
      <c r="Q16" s="383" t="str">
        <f>B16</f>
        <v>公共配套设施</v>
      </c>
      <c r="R16" s="448" t="s">
        <v>935</v>
      </c>
      <c r="S16" s="449">
        <f>F16</f>
        <v>100</v>
      </c>
      <c r="T16" s="448" t="s">
        <v>935</v>
      </c>
      <c r="U16" s="449">
        <f>H16</f>
        <v>100</v>
      </c>
      <c r="V16" s="448" t="s">
        <v>935</v>
      </c>
      <c r="W16" s="449">
        <f>J16</f>
        <v>100</v>
      </c>
      <c r="X16" s="443"/>
      <c r="Y16" s="3328"/>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28"/>
      <c r="Q17" s="383"/>
      <c r="R17" s="448"/>
      <c r="S17" s="449"/>
      <c r="T17" s="448"/>
      <c r="U17" s="449"/>
      <c r="V17" s="448"/>
      <c r="W17" s="449"/>
      <c r="X17" s="443"/>
      <c r="Y17" s="3328"/>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28"/>
      <c r="Q18" s="383" t="str">
        <f>B18</f>
        <v>基础设施水平</v>
      </c>
      <c r="R18" s="448" t="s">
        <v>935</v>
      </c>
      <c r="S18" s="449">
        <f>F18</f>
        <v>100</v>
      </c>
      <c r="T18" s="448" t="s">
        <v>935</v>
      </c>
      <c r="U18" s="449">
        <f>H18</f>
        <v>100</v>
      </c>
      <c r="V18" s="448" t="s">
        <v>935</v>
      </c>
      <c r="W18" s="449">
        <f>J18</f>
        <v>100</v>
      </c>
      <c r="X18" s="443"/>
      <c r="Y18" s="3328"/>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28"/>
      <c r="Q19" s="383"/>
      <c r="R19" s="448"/>
      <c r="S19" s="449"/>
      <c r="T19" s="448"/>
      <c r="U19" s="449"/>
      <c r="V19" s="448"/>
      <c r="W19" s="449"/>
      <c r="X19" s="443"/>
      <c r="Y19" s="3328"/>
      <c r="Z19" s="442"/>
      <c r="AA19" s="454">
        <v>1</v>
      </c>
      <c r="AB19" s="454">
        <v>1</v>
      </c>
      <c r="AC19" s="454">
        <v>1</v>
      </c>
    </row>
    <row r="20" spans="1:29" ht="57">
      <c r="A20" s="216"/>
      <c r="B20" s="500" t="s">
        <v>2091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28"/>
      <c r="Q20" s="383" t="str">
        <f>B20</f>
        <v>自然及人文环境</v>
      </c>
      <c r="R20" s="448" t="s">
        <v>935</v>
      </c>
      <c r="S20" s="449">
        <f>F20</f>
        <v>100</v>
      </c>
      <c r="T20" s="448" t="s">
        <v>935</v>
      </c>
      <c r="U20" s="449">
        <f>H20</f>
        <v>100</v>
      </c>
      <c r="V20" s="448" t="s">
        <v>935</v>
      </c>
      <c r="W20" s="449">
        <f>J20</f>
        <v>100</v>
      </c>
      <c r="X20" s="443"/>
      <c r="Y20" s="3328"/>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28"/>
      <c r="Q21" s="383"/>
      <c r="R21" s="448"/>
      <c r="S21" s="449"/>
      <c r="T21" s="448"/>
      <c r="U21" s="449"/>
      <c r="V21" s="448"/>
      <c r="W21" s="449"/>
      <c r="X21" s="443"/>
      <c r="Y21" s="3328"/>
      <c r="Z21" s="442"/>
      <c r="AA21" s="454">
        <v>1</v>
      </c>
      <c r="AB21" s="454">
        <v>1</v>
      </c>
      <c r="AC21" s="454">
        <v>1</v>
      </c>
    </row>
    <row r="22" spans="1:29" ht="15">
      <c r="A22" s="216"/>
      <c r="B22" s="500" t="s">
        <v>2265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28"/>
      <c r="Q22" s="383" t="str">
        <f>B22</f>
        <v>楼层</v>
      </c>
      <c r="R22" s="448" t="s">
        <v>935</v>
      </c>
      <c r="S22" s="449">
        <f>F22</f>
        <v>100</v>
      </c>
      <c r="T22" s="448" t="s">
        <v>935</v>
      </c>
      <c r="U22" s="449">
        <f>H22</f>
        <v>100</v>
      </c>
      <c r="V22" s="448" t="s">
        <v>935</v>
      </c>
      <c r="W22" s="449">
        <f>J22</f>
        <v>100</v>
      </c>
      <c r="X22" s="443"/>
      <c r="Y22" s="3328"/>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28"/>
      <c r="Q23" s="383">
        <f>B23</f>
        <v>111</v>
      </c>
      <c r="R23" s="448" t="s">
        <v>935</v>
      </c>
      <c r="S23" s="449">
        <f>F23</f>
        <v>100</v>
      </c>
      <c r="T23" s="448" t="s">
        <v>935</v>
      </c>
      <c r="U23" s="449">
        <f>H23</f>
        <v>100</v>
      </c>
      <c r="V23" s="448" t="s">
        <v>935</v>
      </c>
      <c r="W23" s="449">
        <f>J23</f>
        <v>100</v>
      </c>
      <c r="X23" s="443"/>
      <c r="Y23" s="3328"/>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28"/>
      <c r="Q24" s="383">
        <f t="shared" ref="Q24:Q36" si="11">B24</f>
        <v>111</v>
      </c>
      <c r="R24" s="448" t="s">
        <v>935</v>
      </c>
      <c r="S24" s="449">
        <f>F24</f>
        <v>100</v>
      </c>
      <c r="T24" s="448" t="s">
        <v>935</v>
      </c>
      <c r="U24" s="449">
        <f>H24</f>
        <v>100</v>
      </c>
      <c r="V24" s="448" t="s">
        <v>935</v>
      </c>
      <c r="W24" s="449">
        <f>J24</f>
        <v>100</v>
      </c>
      <c r="X24" s="443"/>
      <c r="Y24" s="3328"/>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28"/>
      <c r="Q25" s="447">
        <f t="shared" si="11"/>
        <v>111</v>
      </c>
      <c r="R25" s="444" t="s">
        <v>935</v>
      </c>
      <c r="S25" s="445">
        <f>F25</f>
        <v>100</v>
      </c>
      <c r="T25" s="444" t="s">
        <v>935</v>
      </c>
      <c r="U25" s="445">
        <f>H25</f>
        <v>100</v>
      </c>
      <c r="V25" s="444" t="s">
        <v>935</v>
      </c>
      <c r="W25" s="445">
        <f>J25</f>
        <v>100</v>
      </c>
      <c r="X25" s="446"/>
      <c r="Y25" s="3328"/>
      <c r="Z25" s="464">
        <f>Q25</f>
        <v>111</v>
      </c>
      <c r="AA25" s="454">
        <f t="shared" si="3"/>
        <v>1</v>
      </c>
      <c r="AB25" s="454">
        <f t="shared" si="4"/>
        <v>1</v>
      </c>
      <c r="AC25" s="454">
        <f t="shared" si="5"/>
        <v>1</v>
      </c>
    </row>
    <row r="26" spans="1:29" ht="15">
      <c r="A26" s="283" t="s">
        <v>958</v>
      </c>
      <c r="B26" s="507" t="s">
        <v>2279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29" t="s">
        <v>957</v>
      </c>
      <c r="Q26" s="383" t="str">
        <f t="shared" si="11"/>
        <v>配套类型</v>
      </c>
      <c r="R26" s="448" t="s">
        <v>935</v>
      </c>
      <c r="S26" s="449">
        <f t="shared" ref="S26:S36" si="12">F26</f>
        <v>100</v>
      </c>
      <c r="T26" s="448" t="s">
        <v>935</v>
      </c>
      <c r="U26" s="449">
        <f t="shared" ref="U26:U36" si="13">H26</f>
        <v>100</v>
      </c>
      <c r="V26" s="448" t="s">
        <v>935</v>
      </c>
      <c r="W26" s="449">
        <f t="shared" ref="W26:W36" si="14">J26</f>
        <v>100</v>
      </c>
      <c r="X26" s="443"/>
      <c r="Y26" s="3330" t="s">
        <v>957</v>
      </c>
      <c r="Z26" s="442" t="str">
        <f t="shared" ref="Z26:Z36" si="15">Q26</f>
        <v>配套类型</v>
      </c>
      <c r="AA26" s="454">
        <f t="shared" si="3"/>
        <v>1</v>
      </c>
      <c r="AB26" s="454">
        <f t="shared" si="4"/>
        <v>1</v>
      </c>
      <c r="AC26" s="454">
        <f t="shared" si="5"/>
        <v>1</v>
      </c>
    </row>
    <row r="27" spans="1:29" s="192" customFormat="1" ht="15">
      <c r="A27" s="509"/>
      <c r="B27" s="510" t="s">
        <v>2280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30"/>
      <c r="Q27" s="450" t="str">
        <f t="shared" si="11"/>
        <v>项目停车位配比</v>
      </c>
      <c r="R27" s="451" t="s">
        <v>935</v>
      </c>
      <c r="S27" s="452">
        <f t="shared" si="12"/>
        <v>100</v>
      </c>
      <c r="T27" s="451" t="s">
        <v>935</v>
      </c>
      <c r="U27" s="452">
        <f t="shared" si="13"/>
        <v>100</v>
      </c>
      <c r="V27" s="451" t="s">
        <v>935</v>
      </c>
      <c r="W27" s="452">
        <f t="shared" si="14"/>
        <v>100</v>
      </c>
      <c r="X27" s="453"/>
      <c r="Y27" s="3330"/>
      <c r="Z27" s="465" t="str">
        <f t="shared" si="15"/>
        <v>项目停车位配比</v>
      </c>
      <c r="AA27" s="454">
        <f t="shared" si="3"/>
        <v>1</v>
      </c>
      <c r="AB27" s="454">
        <f t="shared" si="4"/>
        <v>1</v>
      </c>
      <c r="AC27" s="454">
        <f t="shared" si="5"/>
        <v>1</v>
      </c>
    </row>
    <row r="28" spans="1:29" ht="15">
      <c r="A28" s="512"/>
      <c r="B28" s="510" t="s">
        <v>2099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30"/>
      <c r="Q28" s="383" t="str">
        <f t="shared" si="11"/>
        <v>公共部分装修</v>
      </c>
      <c r="R28" s="448" t="s">
        <v>935</v>
      </c>
      <c r="S28" s="449">
        <f t="shared" si="12"/>
        <v>100</v>
      </c>
      <c r="T28" s="448" t="s">
        <v>935</v>
      </c>
      <c r="U28" s="449">
        <f t="shared" si="13"/>
        <v>100</v>
      </c>
      <c r="V28" s="448" t="s">
        <v>935</v>
      </c>
      <c r="W28" s="449">
        <f t="shared" si="14"/>
        <v>100</v>
      </c>
      <c r="X28" s="443"/>
      <c r="Y28" s="3330"/>
      <c r="Z28" s="442" t="str">
        <f t="shared" si="15"/>
        <v>公共部分装修</v>
      </c>
      <c r="AA28" s="454">
        <f t="shared" si="3"/>
        <v>1</v>
      </c>
      <c r="AB28" s="454">
        <f t="shared" si="4"/>
        <v>1</v>
      </c>
      <c r="AC28" s="454">
        <f t="shared" si="5"/>
        <v>1</v>
      </c>
    </row>
    <row r="29" spans="1:29" ht="15">
      <c r="A29" s="512"/>
      <c r="B29" s="510" t="s">
        <v>2281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30"/>
      <c r="Q29" s="383" t="str">
        <f t="shared" si="11"/>
        <v>成新率</v>
      </c>
      <c r="R29" s="448" t="s">
        <v>935</v>
      </c>
      <c r="S29" s="449" t="e">
        <f t="shared" si="12"/>
        <v>#N/A</v>
      </c>
      <c r="T29" s="448" t="s">
        <v>935</v>
      </c>
      <c r="U29" s="449" t="e">
        <f t="shared" si="13"/>
        <v>#N/A</v>
      </c>
      <c r="V29" s="448" t="s">
        <v>935</v>
      </c>
      <c r="W29" s="449" t="e">
        <f t="shared" si="14"/>
        <v>#N/A</v>
      </c>
      <c r="X29" s="443"/>
      <c r="Y29" s="3330"/>
      <c r="Z29" s="442" t="str">
        <f t="shared" si="15"/>
        <v>成新率</v>
      </c>
      <c r="AA29" s="454" t="e">
        <f t="shared" si="3"/>
        <v>#N/A</v>
      </c>
      <c r="AB29" s="454" t="e">
        <f t="shared" si="4"/>
        <v>#N/A</v>
      </c>
      <c r="AC29" s="454" t="e">
        <f t="shared" si="5"/>
        <v>#N/A</v>
      </c>
    </row>
    <row r="30" spans="1:29" ht="15">
      <c r="A30" s="512"/>
      <c r="B30" s="510" t="s">
        <v>2282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30"/>
      <c r="Q30" s="383" t="str">
        <f t="shared" si="11"/>
        <v>物业等级</v>
      </c>
      <c r="R30" s="448" t="s">
        <v>935</v>
      </c>
      <c r="S30" s="449">
        <f t="shared" si="12"/>
        <v>100</v>
      </c>
      <c r="T30" s="448" t="s">
        <v>935</v>
      </c>
      <c r="U30" s="449">
        <f t="shared" si="13"/>
        <v>100</v>
      </c>
      <c r="V30" s="448" t="s">
        <v>935</v>
      </c>
      <c r="W30" s="449">
        <f t="shared" si="14"/>
        <v>100</v>
      </c>
      <c r="X30" s="443"/>
      <c r="Y30" s="3330"/>
      <c r="Z30" s="442" t="str">
        <f t="shared" si="15"/>
        <v>物业等级</v>
      </c>
      <c r="AA30" s="454">
        <f t="shared" si="3"/>
        <v>1</v>
      </c>
      <c r="AB30" s="454">
        <f t="shared" si="4"/>
        <v>1</v>
      </c>
      <c r="AC30" s="454">
        <f t="shared" si="5"/>
        <v>1</v>
      </c>
    </row>
    <row r="31" spans="1:29" s="190" customFormat="1" ht="15">
      <c r="A31" s="513"/>
      <c r="B31" s="510" t="s">
        <v>2283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30"/>
      <c r="Q31" s="447" t="str">
        <f t="shared" si="11"/>
        <v>停车位面积</v>
      </c>
      <c r="R31" s="444" t="s">
        <v>935</v>
      </c>
      <c r="S31" s="445" t="e">
        <f t="shared" si="12"/>
        <v>#N/A</v>
      </c>
      <c r="T31" s="444" t="s">
        <v>935</v>
      </c>
      <c r="U31" s="445" t="e">
        <f t="shared" si="13"/>
        <v>#N/A</v>
      </c>
      <c r="V31" s="444" t="s">
        <v>935</v>
      </c>
      <c r="W31" s="445" t="e">
        <f t="shared" si="14"/>
        <v>#N/A</v>
      </c>
      <c r="X31" s="446"/>
      <c r="Y31" s="3330"/>
      <c r="Z31" s="464" t="str">
        <f t="shared" si="15"/>
        <v>停车位面积</v>
      </c>
      <c r="AA31" s="463" t="e">
        <f t="shared" si="3"/>
        <v>#N/A</v>
      </c>
      <c r="AB31" s="463" t="e">
        <f t="shared" si="4"/>
        <v>#N/A</v>
      </c>
      <c r="AC31" s="463" t="e">
        <f t="shared" si="5"/>
        <v>#N/A</v>
      </c>
    </row>
    <row r="32" spans="1:29" ht="15">
      <c r="A32" s="512"/>
      <c r="B32" s="510" t="s">
        <v>2284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30" t="s">
        <v>957</v>
      </c>
      <c r="Q32" s="383" t="str">
        <f t="shared" si="11"/>
        <v>车位类型</v>
      </c>
      <c r="R32" s="448" t="s">
        <v>935</v>
      </c>
      <c r="S32" s="449">
        <f t="shared" si="12"/>
        <v>100</v>
      </c>
      <c r="T32" s="448" t="s">
        <v>935</v>
      </c>
      <c r="U32" s="449">
        <f t="shared" si="13"/>
        <v>100</v>
      </c>
      <c r="V32" s="448" t="s">
        <v>935</v>
      </c>
      <c r="W32" s="449">
        <f t="shared" si="14"/>
        <v>100</v>
      </c>
      <c r="X32" s="443"/>
      <c r="Y32" s="3330" t="s">
        <v>957</v>
      </c>
      <c r="Z32" s="442" t="str">
        <f t="shared" si="15"/>
        <v>车位类型</v>
      </c>
      <c r="AA32" s="454">
        <f t="shared" si="3"/>
        <v>1</v>
      </c>
      <c r="AB32" s="454">
        <f t="shared" si="4"/>
        <v>1</v>
      </c>
      <c r="AC32" s="454">
        <f t="shared" si="5"/>
        <v>1</v>
      </c>
    </row>
    <row r="33" spans="1:29" ht="15">
      <c r="A33" s="512"/>
      <c r="B33" s="510" t="s">
        <v>2285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30"/>
      <c r="Q33" s="383" t="str">
        <f t="shared" si="11"/>
        <v>是否直接入户</v>
      </c>
      <c r="R33" s="448" t="s">
        <v>935</v>
      </c>
      <c r="S33" s="449">
        <f t="shared" si="12"/>
        <v>100</v>
      </c>
      <c r="T33" s="448" t="s">
        <v>935</v>
      </c>
      <c r="U33" s="449">
        <f t="shared" si="13"/>
        <v>100</v>
      </c>
      <c r="V33" s="448" t="s">
        <v>935</v>
      </c>
      <c r="W33" s="449">
        <f t="shared" si="14"/>
        <v>100</v>
      </c>
      <c r="X33" s="443"/>
      <c r="Y33" s="3330"/>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30"/>
      <c r="Q34" s="383">
        <f t="shared" si="11"/>
        <v>111</v>
      </c>
      <c r="R34" s="448" t="s">
        <v>935</v>
      </c>
      <c r="S34" s="449">
        <f t="shared" si="12"/>
        <v>100</v>
      </c>
      <c r="T34" s="448" t="s">
        <v>935</v>
      </c>
      <c r="U34" s="449">
        <f t="shared" si="13"/>
        <v>100</v>
      </c>
      <c r="V34" s="448" t="s">
        <v>935</v>
      </c>
      <c r="W34" s="449">
        <f t="shared" si="14"/>
        <v>100</v>
      </c>
      <c r="X34" s="443"/>
      <c r="Y34" s="3330"/>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30"/>
      <c r="Q35" s="450">
        <f t="shared" si="11"/>
        <v>111</v>
      </c>
      <c r="R35" s="451" t="s">
        <v>935</v>
      </c>
      <c r="S35" s="452">
        <f t="shared" si="12"/>
        <v>100</v>
      </c>
      <c r="T35" s="451" t="s">
        <v>935</v>
      </c>
      <c r="U35" s="452">
        <f t="shared" si="13"/>
        <v>100</v>
      </c>
      <c r="V35" s="451" t="s">
        <v>935</v>
      </c>
      <c r="W35" s="452">
        <f t="shared" si="14"/>
        <v>100</v>
      </c>
      <c r="X35" s="453"/>
      <c r="Y35" s="3330"/>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30"/>
      <c r="Q36" s="383">
        <f t="shared" si="11"/>
        <v>111</v>
      </c>
      <c r="R36" s="448" t="s">
        <v>935</v>
      </c>
      <c r="S36" s="449">
        <f t="shared" si="12"/>
        <v>100</v>
      </c>
      <c r="T36" s="448" t="s">
        <v>935</v>
      </c>
      <c r="U36" s="449">
        <f t="shared" si="13"/>
        <v>100</v>
      </c>
      <c r="V36" s="448" t="s">
        <v>935</v>
      </c>
      <c r="W36" s="449">
        <f t="shared" si="14"/>
        <v>100</v>
      </c>
      <c r="X36" s="443"/>
      <c r="Y36" s="3330"/>
      <c r="Z36" s="442">
        <f t="shared" si="15"/>
        <v>111</v>
      </c>
      <c r="AA36" s="454">
        <f t="shared" si="3"/>
        <v>1</v>
      </c>
      <c r="AB36" s="454">
        <f t="shared" si="4"/>
        <v>1</v>
      </c>
      <c r="AC36" s="454">
        <f t="shared" si="5"/>
        <v>1</v>
      </c>
    </row>
    <row r="37" spans="1:29" ht="15">
      <c r="A37" s="515" t="s">
        <v>2286</v>
      </c>
      <c r="B37" s="516" t="s">
        <v>1116</v>
      </c>
      <c r="C37" s="305" t="s">
        <v>138</v>
      </c>
      <c r="D37" s="306"/>
      <c r="E37" s="307"/>
      <c r="F37" s="308"/>
      <c r="G37" s="309"/>
      <c r="H37" s="310"/>
      <c r="I37" s="307"/>
      <c r="J37" s="310"/>
      <c r="K37" s="397"/>
      <c r="L37" s="398"/>
      <c r="M37" s="319"/>
      <c r="N37" s="378"/>
      <c r="O37" s="319"/>
      <c r="P37" s="3326" t="str">
        <f>A37</f>
        <v>成交单价</v>
      </c>
      <c r="Q37" s="3326"/>
      <c r="R37" s="3410">
        <f>E37</f>
        <v>0</v>
      </c>
      <c r="S37" s="3410"/>
      <c r="T37" s="3410">
        <f>G37</f>
        <v>0</v>
      </c>
      <c r="U37" s="3410"/>
      <c r="V37" s="3410">
        <f>I37</f>
        <v>0</v>
      </c>
      <c r="W37" s="3410"/>
      <c r="X37" s="330"/>
      <c r="Y37" s="466"/>
      <c r="Z37" s="330"/>
      <c r="AA37" s="330"/>
      <c r="AB37" s="330"/>
      <c r="AC37" s="330"/>
    </row>
    <row r="38" spans="1:29" ht="15">
      <c r="A38" s="311" t="s">
        <v>967</v>
      </c>
      <c r="B38" s="312"/>
      <c r="C38" s="313" t="e">
        <f>R39</f>
        <v>#DIV/0!</v>
      </c>
      <c r="D38" s="314"/>
      <c r="E38" s="315" t="e">
        <f>R38</f>
        <v>#DIV/0!</v>
      </c>
      <c r="F38" s="315"/>
      <c r="G38" s="313" t="e">
        <f>T38</f>
        <v>#DIV/0!</v>
      </c>
      <c r="H38" s="314"/>
      <c r="I38" s="315" t="e">
        <f>V38</f>
        <v>#DIV/0!</v>
      </c>
      <c r="J38" s="314"/>
      <c r="K38" s="399"/>
      <c r="L38" s="398"/>
      <c r="M38" s="319"/>
      <c r="N38" s="319"/>
      <c r="O38" s="319"/>
      <c r="P38" s="3326" t="str">
        <f>A38</f>
        <v>比较价格（元/平方米）</v>
      </c>
      <c r="Q38" s="3326"/>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30"/>
      <c r="Y38" s="330"/>
      <c r="Z38" s="330"/>
      <c r="AA38" s="330"/>
      <c r="AB38" s="330"/>
      <c r="AC38" s="330"/>
    </row>
    <row r="39" spans="1:29" ht="15">
      <c r="A39" s="316" t="s">
        <v>968</v>
      </c>
      <c r="B39" s="317"/>
      <c r="C39" s="318" t="e">
        <f>R39</f>
        <v>#DIV/0!</v>
      </c>
      <c r="D39" s="318"/>
      <c r="E39" s="318"/>
      <c r="F39" s="318"/>
      <c r="G39" s="318"/>
      <c r="H39" s="318"/>
      <c r="I39" s="318"/>
      <c r="J39" s="318"/>
      <c r="K39" s="400"/>
      <c r="L39" s="398"/>
      <c r="M39" s="319"/>
      <c r="N39" s="319"/>
      <c r="O39" s="319"/>
      <c r="P39" s="3332" t="str">
        <f>A39</f>
        <v>估价对象XX用房的比较价格（楼面单价，元/平方米）</v>
      </c>
      <c r="Q39" s="3333"/>
      <c r="R39" s="3412" t="e">
        <f>IF(F1="售价",ROUND(AVERAGE(R38:V38),0),ROUND(AVERAGE(R38:V38),1))</f>
        <v>#DIV/0!</v>
      </c>
      <c r="S39" s="3412"/>
      <c r="T39" s="3412"/>
      <c r="U39" s="3412"/>
      <c r="V39" s="3412"/>
      <c r="W39" s="3412"/>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933</v>
      </c>
      <c r="B48" s="334"/>
      <c r="C48" s="335" t="str">
        <f>YEAR(C7)&amp;"-"&amp;MONTH(C7)</f>
        <v>2019-5</v>
      </c>
      <c r="D48" s="336">
        <f>EDATE(C48,-1)</f>
        <v>43556</v>
      </c>
      <c r="E48" s="336">
        <f t="shared" ref="E48:O48" si="16">EDATE(D48,-1)</f>
        <v>43525</v>
      </c>
      <c r="F48" s="336">
        <f t="shared" si="16"/>
        <v>43497</v>
      </c>
      <c r="G48" s="336">
        <f t="shared" si="16"/>
        <v>43466</v>
      </c>
      <c r="H48" s="336">
        <f t="shared" si="16"/>
        <v>43435</v>
      </c>
      <c r="I48" s="336">
        <f t="shared" si="16"/>
        <v>43405</v>
      </c>
      <c r="J48" s="336">
        <f t="shared" si="16"/>
        <v>43374</v>
      </c>
      <c r="K48" s="336">
        <f t="shared" si="16"/>
        <v>43344</v>
      </c>
      <c r="L48" s="336">
        <f t="shared" si="16"/>
        <v>43313</v>
      </c>
      <c r="M48" s="336">
        <f t="shared" si="16"/>
        <v>43282</v>
      </c>
      <c r="N48" s="336">
        <f t="shared" si="16"/>
        <v>43252</v>
      </c>
      <c r="O48" s="336">
        <f t="shared" si="16"/>
        <v>43221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1107</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936</v>
      </c>
      <c r="B51" s="338"/>
      <c r="C51" s="346" t="s">
        <v>937</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997</v>
      </c>
      <c r="B53" s="349" t="s">
        <v>998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999</v>
      </c>
      <c r="C55" s="356" t="s">
        <v>2110</v>
      </c>
      <c r="D55" s="356" t="s">
        <v>2111</v>
      </c>
      <c r="E55" s="356" t="s">
        <v>2112</v>
      </c>
      <c r="F55" s="356" t="s">
        <v>2113</v>
      </c>
      <c r="G55" s="356" t="s">
        <v>2114</v>
      </c>
      <c r="H55" s="356" t="s">
        <v>2115</v>
      </c>
      <c r="I55" s="356" t="s">
        <v>2116</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992</v>
      </c>
      <c r="D56" s="358" t="s">
        <v>992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2091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1006</v>
      </c>
      <c r="B79" s="349" t="s">
        <v>2287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2099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93.75">
      <c r="A7" s="3105" t="s">
        <v>95</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96</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93.75">
      <c r="A21" s="3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3" t="s">
        <v>91</v>
      </c>
    </row>
    <row r="23" spans="1:1" ht="18.75">
      <c r="A23" s="3112" t="s">
        <v>97</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199"/>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C37</f>
        <v>#DIV/0!</v>
      </c>
      <c r="C3" s="212" t="s">
        <v>2085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15" t="s">
        <v>922</v>
      </c>
      <c r="D4" s="3316"/>
      <c r="E4" s="3356" t="s">
        <v>923</v>
      </c>
      <c r="F4" s="3357"/>
      <c r="G4" s="3315" t="s">
        <v>924</v>
      </c>
      <c r="H4" s="3316"/>
      <c r="I4" s="3315" t="s">
        <v>925</v>
      </c>
      <c r="J4" s="3316"/>
      <c r="K4" s="376" t="s">
        <v>926</v>
      </c>
      <c r="L4" s="377"/>
      <c r="M4" s="378"/>
      <c r="N4" s="378"/>
      <c r="O4" s="378"/>
      <c r="P4" s="3343" t="s">
        <v>927</v>
      </c>
      <c r="Q4" s="3344"/>
      <c r="R4" s="3349" t="s">
        <v>923</v>
      </c>
      <c r="S4" s="3350"/>
      <c r="T4" s="3349" t="s">
        <v>924</v>
      </c>
      <c r="U4" s="3350"/>
      <c r="V4" s="3335" t="s">
        <v>925</v>
      </c>
      <c r="W4" s="3335"/>
      <c r="X4" s="443"/>
      <c r="Y4" s="3349" t="s">
        <v>927</v>
      </c>
      <c r="Z4" s="3350"/>
      <c r="AA4" s="3336" t="s">
        <v>923</v>
      </c>
      <c r="AB4" s="3337" t="s">
        <v>924</v>
      </c>
      <c r="AC4" s="3336" t="s">
        <v>925</v>
      </c>
    </row>
    <row r="5" spans="1:29" ht="15">
      <c r="A5" s="216"/>
      <c r="B5" s="217"/>
      <c r="C5" s="3358" t="s">
        <v>1099</v>
      </c>
      <c r="D5" s="3318"/>
      <c r="E5" s="3359" t="s">
        <v>1100</v>
      </c>
      <c r="F5" s="3360"/>
      <c r="G5" s="3358" t="s">
        <v>1101</v>
      </c>
      <c r="H5" s="3318"/>
      <c r="I5" s="3358" t="s">
        <v>1102</v>
      </c>
      <c r="J5" s="3318"/>
      <c r="K5" s="376"/>
      <c r="L5" s="377"/>
      <c r="M5" s="378"/>
      <c r="N5" s="378"/>
      <c r="O5" s="378"/>
      <c r="P5" s="3345"/>
      <c r="Q5" s="3346"/>
      <c r="R5" s="3351"/>
      <c r="S5" s="3352"/>
      <c r="T5" s="3351"/>
      <c r="U5" s="3352"/>
      <c r="V5" s="3335"/>
      <c r="W5" s="3335"/>
      <c r="X5" s="443"/>
      <c r="Y5" s="3351"/>
      <c r="Z5" s="3352"/>
      <c r="AA5" s="3337"/>
      <c r="AB5" s="3337"/>
      <c r="AC5" s="3337"/>
    </row>
    <row r="6" spans="1:29" ht="15">
      <c r="A6" s="218"/>
      <c r="B6" s="219"/>
      <c r="C6" s="3321" t="s">
        <v>1103</v>
      </c>
      <c r="D6" s="3322"/>
      <c r="E6" s="3361" t="s">
        <v>1103</v>
      </c>
      <c r="F6" s="3362"/>
      <c r="G6" s="3321" t="s">
        <v>1103</v>
      </c>
      <c r="H6" s="3322"/>
      <c r="I6" s="3321" t="s">
        <v>1103</v>
      </c>
      <c r="J6" s="3322"/>
      <c r="K6" s="376" t="s">
        <v>932</v>
      </c>
      <c r="L6" s="377"/>
      <c r="M6" s="378"/>
      <c r="N6" s="378"/>
      <c r="O6" s="378"/>
      <c r="P6" s="3347"/>
      <c r="Q6" s="3348"/>
      <c r="R6" s="3351"/>
      <c r="S6" s="3352"/>
      <c r="T6" s="3353"/>
      <c r="U6" s="3354"/>
      <c r="V6" s="3335"/>
      <c r="W6" s="3335"/>
      <c r="X6" s="443"/>
      <c r="Y6" s="3353"/>
      <c r="Z6" s="3354"/>
      <c r="AA6" s="3338"/>
      <c r="AB6" s="3338"/>
      <c r="AC6" s="3338"/>
    </row>
    <row r="7" spans="1:29" s="190" customFormat="1" ht="15">
      <c r="A7" s="220"/>
      <c r="B7" s="221" t="s">
        <v>933</v>
      </c>
      <c r="C7" s="222">
        <f>'数据-取费表'!B2</f>
        <v>43600</v>
      </c>
      <c r="D7" s="223">
        <v>100</v>
      </c>
      <c r="E7" s="224"/>
      <c r="F7" s="225">
        <f>SUMIF(46:46,YEAR(E7)&amp;"-"&amp;MONTH(E7),47:47)</f>
        <v>0</v>
      </c>
      <c r="G7" s="226"/>
      <c r="H7" s="223">
        <f>SUMIF(46:46,YEAR(G7)&amp;"-"&amp;MONTH(G7),47:47)</f>
        <v>0</v>
      </c>
      <c r="I7" s="226"/>
      <c r="J7" s="223">
        <f>SUMIF(46:46,YEAR(I7)&amp;"-"&amp;MONTH(I7),47:47)</f>
        <v>0</v>
      </c>
      <c r="K7" s="379"/>
      <c r="L7" s="380"/>
      <c r="M7" s="381"/>
      <c r="N7" s="381"/>
      <c r="O7" s="381"/>
      <c r="P7" s="3323" t="s">
        <v>934</v>
      </c>
      <c r="Q7" s="3324"/>
      <c r="R7" s="444" t="s">
        <v>935</v>
      </c>
      <c r="S7" s="445">
        <f t="shared" ref="S7:S14" si="0">F7</f>
        <v>0</v>
      </c>
      <c r="T7" s="444" t="s">
        <v>935</v>
      </c>
      <c r="U7" s="445">
        <f t="shared" ref="U7:U14" si="1">H7</f>
        <v>0</v>
      </c>
      <c r="V7" s="444" t="s">
        <v>935</v>
      </c>
      <c r="W7" s="445">
        <f t="shared" ref="W7:W14" si="2">J7</f>
        <v>0</v>
      </c>
      <c r="X7" s="446"/>
      <c r="Y7" s="3323" t="s">
        <v>934</v>
      </c>
      <c r="Z7" s="3355"/>
      <c r="AA7" s="463" t="e">
        <f>D7/F7</f>
        <v>#DIV/0!</v>
      </c>
      <c r="AB7" s="463" t="e">
        <f>D7/H7</f>
        <v>#DIV/0!</v>
      </c>
      <c r="AC7" s="463" t="e">
        <f>D7/J7</f>
        <v>#DIV/0!</v>
      </c>
    </row>
    <row r="8" spans="1:29" s="190" customFormat="1" ht="15">
      <c r="A8" s="227"/>
      <c r="B8" s="228" t="s">
        <v>936</v>
      </c>
      <c r="C8" s="229" t="s">
        <v>937</v>
      </c>
      <c r="D8" s="223">
        <v>100</v>
      </c>
      <c r="E8" s="229"/>
      <c r="F8" s="225">
        <f>SUMIF(49:49,E8,50:50)-SUMIF(49:49,C8,50:50)+100</f>
        <v>0</v>
      </c>
      <c r="G8" s="229"/>
      <c r="H8" s="223">
        <f>SUMIF(49:49,G8,50:50)-SUMIF(49:49,C8,50:50)+100</f>
        <v>0</v>
      </c>
      <c r="I8" s="229"/>
      <c r="J8" s="223">
        <f>SUMIF(49:49,I8,50:50)-SUMIF(49:49,C8,50:50)+100</f>
        <v>0</v>
      </c>
      <c r="K8" s="379"/>
      <c r="L8" s="380"/>
      <c r="M8" s="381"/>
      <c r="N8" s="381"/>
      <c r="O8" s="381"/>
      <c r="P8" s="3323" t="s">
        <v>939</v>
      </c>
      <c r="Q8" s="3355"/>
      <c r="R8" s="444" t="s">
        <v>935</v>
      </c>
      <c r="S8" s="445">
        <f t="shared" si="0"/>
        <v>0</v>
      </c>
      <c r="T8" s="444" t="s">
        <v>935</v>
      </c>
      <c r="U8" s="445">
        <f t="shared" si="1"/>
        <v>0</v>
      </c>
      <c r="V8" s="444" t="s">
        <v>935</v>
      </c>
      <c r="W8" s="445">
        <f t="shared" si="2"/>
        <v>0</v>
      </c>
      <c r="X8" s="446"/>
      <c r="Y8" s="3323" t="s">
        <v>939</v>
      </c>
      <c r="Z8" s="3355"/>
      <c r="AA8" s="463" t="e">
        <f t="shared" ref="AA8:AA34" si="3">D8/F8</f>
        <v>#DIV/0!</v>
      </c>
      <c r="AB8" s="463" t="e">
        <f t="shared" ref="AB8:AB34" si="4">D8/H8</f>
        <v>#DIV/0!</v>
      </c>
      <c r="AC8" s="463" t="e">
        <f t="shared" ref="AC8:AC34" si="5">D8/J8</f>
        <v>#DIV/0!</v>
      </c>
    </row>
    <row r="9" spans="1:29" s="190" customFormat="1" ht="15">
      <c r="A9" s="230"/>
      <c r="B9" s="231" t="s">
        <v>940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26" t="s">
        <v>942</v>
      </c>
      <c r="Q9" s="447" t="str">
        <f t="shared" ref="Q9:Q14" si="6">B9</f>
        <v>用途</v>
      </c>
      <c r="R9" s="444" t="s">
        <v>935</v>
      </c>
      <c r="S9" s="445">
        <f t="shared" si="0"/>
        <v>100</v>
      </c>
      <c r="T9" s="444" t="s">
        <v>935</v>
      </c>
      <c r="U9" s="445">
        <f t="shared" si="1"/>
        <v>100</v>
      </c>
      <c r="V9" s="444" t="s">
        <v>935</v>
      </c>
      <c r="W9" s="445">
        <f t="shared" si="2"/>
        <v>100</v>
      </c>
      <c r="X9" s="446"/>
      <c r="Y9" s="3314"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26"/>
      <c r="Q10" s="447" t="str">
        <f t="shared" si="6"/>
        <v>土地使用年限（年）</v>
      </c>
      <c r="R10" s="444" t="s">
        <v>935</v>
      </c>
      <c r="S10" s="445">
        <f t="shared" si="0"/>
        <v>100</v>
      </c>
      <c r="T10" s="444" t="s">
        <v>935</v>
      </c>
      <c r="U10" s="445">
        <f t="shared" si="1"/>
        <v>100</v>
      </c>
      <c r="V10" s="444" t="s">
        <v>935</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26"/>
      <c r="Q11" s="447">
        <f t="shared" si="6"/>
        <v>111</v>
      </c>
      <c r="R11" s="444" t="s">
        <v>935</v>
      </c>
      <c r="S11" s="445">
        <f t="shared" si="0"/>
        <v>100</v>
      </c>
      <c r="T11" s="444" t="s">
        <v>935</v>
      </c>
      <c r="U11" s="445">
        <f t="shared" si="1"/>
        <v>100</v>
      </c>
      <c r="V11" s="444" t="s">
        <v>935</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26"/>
      <c r="Q12" s="447">
        <f t="shared" si="6"/>
        <v>111</v>
      </c>
      <c r="R12" s="444" t="s">
        <v>935</v>
      </c>
      <c r="S12" s="445">
        <f t="shared" si="0"/>
        <v>100</v>
      </c>
      <c r="T12" s="444" t="s">
        <v>935</v>
      </c>
      <c r="U12" s="445">
        <f t="shared" si="1"/>
        <v>100</v>
      </c>
      <c r="V12" s="444" t="s">
        <v>935</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26"/>
      <c r="Q13" s="447">
        <f t="shared" si="6"/>
        <v>111</v>
      </c>
      <c r="R13" s="444" t="s">
        <v>935</v>
      </c>
      <c r="S13" s="445">
        <f t="shared" si="0"/>
        <v>100</v>
      </c>
      <c r="T13" s="444" t="s">
        <v>935</v>
      </c>
      <c r="U13" s="445">
        <f t="shared" si="1"/>
        <v>100</v>
      </c>
      <c r="V13" s="444" t="s">
        <v>935</v>
      </c>
      <c r="W13" s="445">
        <f t="shared" si="2"/>
        <v>100</v>
      </c>
      <c r="X13" s="446"/>
      <c r="Y13" s="3314"/>
      <c r="Z13" s="464">
        <f t="shared" si="7"/>
        <v>111</v>
      </c>
      <c r="AA13" s="463">
        <f t="shared" si="3"/>
        <v>1</v>
      </c>
      <c r="AB13" s="463">
        <f t="shared" si="4"/>
        <v>1</v>
      </c>
      <c r="AC13" s="463">
        <f t="shared" si="5"/>
        <v>1</v>
      </c>
    </row>
    <row r="14" spans="1:29" ht="85.5">
      <c r="A14" s="248" t="s">
        <v>948</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27" t="s">
        <v>949</v>
      </c>
      <c r="Q14" s="383" t="str">
        <f t="shared" si="6"/>
        <v>交通便捷度</v>
      </c>
      <c r="R14" s="448" t="s">
        <v>935</v>
      </c>
      <c r="S14" s="449">
        <f t="shared" si="0"/>
        <v>100</v>
      </c>
      <c r="T14" s="448" t="s">
        <v>935</v>
      </c>
      <c r="U14" s="449">
        <f t="shared" si="1"/>
        <v>100</v>
      </c>
      <c r="V14" s="448" t="s">
        <v>935</v>
      </c>
      <c r="W14" s="449">
        <f t="shared" si="2"/>
        <v>100</v>
      </c>
      <c r="X14" s="443"/>
      <c r="Y14" s="3327" t="s">
        <v>949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28"/>
      <c r="Q15" s="383"/>
      <c r="R15" s="448"/>
      <c r="S15" s="449"/>
      <c r="T15" s="448"/>
      <c r="U15" s="449"/>
      <c r="V15" s="448"/>
      <c r="W15" s="449"/>
      <c r="X15" s="443"/>
      <c r="Y15" s="3328"/>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28"/>
      <c r="Q16" s="383" t="str">
        <f>B16</f>
        <v>公共配套设施</v>
      </c>
      <c r="R16" s="448" t="s">
        <v>935</v>
      </c>
      <c r="S16" s="449">
        <f>F16</f>
        <v>100</v>
      </c>
      <c r="T16" s="448" t="s">
        <v>935</v>
      </c>
      <c r="U16" s="449">
        <f>H16</f>
        <v>100</v>
      </c>
      <c r="V16" s="448" t="s">
        <v>935</v>
      </c>
      <c r="W16" s="449">
        <f>J16</f>
        <v>100</v>
      </c>
      <c r="X16" s="443"/>
      <c r="Y16" s="3328"/>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28"/>
      <c r="Q17" s="383"/>
      <c r="R17" s="448"/>
      <c r="S17" s="449"/>
      <c r="T17" s="448"/>
      <c r="U17" s="449"/>
      <c r="V17" s="448"/>
      <c r="W17" s="449"/>
      <c r="X17" s="443"/>
      <c r="Y17" s="3328"/>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28"/>
      <c r="Q18" s="383" t="str">
        <f>B18</f>
        <v>基础设施水平</v>
      </c>
      <c r="R18" s="448" t="s">
        <v>935</v>
      </c>
      <c r="S18" s="449">
        <f>F18</f>
        <v>100</v>
      </c>
      <c r="T18" s="448" t="s">
        <v>935</v>
      </c>
      <c r="U18" s="449">
        <f>H18</f>
        <v>100</v>
      </c>
      <c r="V18" s="448" t="s">
        <v>935</v>
      </c>
      <c r="W18" s="449">
        <f>J18</f>
        <v>100</v>
      </c>
      <c r="X18" s="443"/>
      <c r="Y18" s="3328"/>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28"/>
      <c r="Q19" s="383"/>
      <c r="R19" s="448"/>
      <c r="S19" s="449"/>
      <c r="T19" s="448"/>
      <c r="U19" s="449"/>
      <c r="V19" s="448"/>
      <c r="W19" s="449"/>
      <c r="X19" s="443"/>
      <c r="Y19" s="3328"/>
      <c r="Z19" s="442"/>
      <c r="AA19" s="454">
        <v>1</v>
      </c>
      <c r="AB19" s="454">
        <v>1</v>
      </c>
      <c r="AC19" s="454">
        <v>1</v>
      </c>
    </row>
    <row r="20" spans="1:29" ht="57">
      <c r="A20" s="255"/>
      <c r="B20" s="274" t="s">
        <v>2091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28"/>
      <c r="Q20" s="383" t="str">
        <f>B20</f>
        <v>自然及人文环境</v>
      </c>
      <c r="R20" s="448" t="s">
        <v>935</v>
      </c>
      <c r="S20" s="449">
        <f>F20</f>
        <v>100</v>
      </c>
      <c r="T20" s="448" t="s">
        <v>935</v>
      </c>
      <c r="U20" s="449">
        <f>H20</f>
        <v>100</v>
      </c>
      <c r="V20" s="448" t="s">
        <v>935</v>
      </c>
      <c r="W20" s="449">
        <f>J20</f>
        <v>100</v>
      </c>
      <c r="X20" s="443"/>
      <c r="Y20" s="3328"/>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28"/>
      <c r="Q21" s="383"/>
      <c r="R21" s="448"/>
      <c r="S21" s="449"/>
      <c r="T21" s="448"/>
      <c r="U21" s="449"/>
      <c r="V21" s="448"/>
      <c r="W21" s="449"/>
      <c r="X21" s="443"/>
      <c r="Y21" s="3328"/>
      <c r="Z21" s="442"/>
      <c r="AA21" s="454">
        <v>1</v>
      </c>
      <c r="AB21" s="454">
        <v>1</v>
      </c>
      <c r="AC21" s="454">
        <v>1</v>
      </c>
    </row>
    <row r="22" spans="1:29" ht="15">
      <c r="A22" s="255"/>
      <c r="B22" s="274" t="s">
        <v>2265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28"/>
      <c r="Q22" s="383" t="str">
        <f>B22</f>
        <v>楼层</v>
      </c>
      <c r="R22" s="448" t="s">
        <v>935</v>
      </c>
      <c r="S22" s="449">
        <f>F22</f>
        <v>100</v>
      </c>
      <c r="T22" s="448" t="s">
        <v>935</v>
      </c>
      <c r="U22" s="449">
        <f>H22</f>
        <v>100</v>
      </c>
      <c r="V22" s="448" t="s">
        <v>935</v>
      </c>
      <c r="W22" s="449">
        <f>J22</f>
        <v>100</v>
      </c>
      <c r="X22" s="443"/>
      <c r="Y22" s="3328"/>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28"/>
      <c r="Q23" s="383">
        <f>B23</f>
        <v>111</v>
      </c>
      <c r="R23" s="448" t="s">
        <v>935</v>
      </c>
      <c r="S23" s="449">
        <f>F23</f>
        <v>100</v>
      </c>
      <c r="T23" s="448" t="s">
        <v>935</v>
      </c>
      <c r="U23" s="449">
        <f>H23</f>
        <v>100</v>
      </c>
      <c r="V23" s="448" t="s">
        <v>935</v>
      </c>
      <c r="W23" s="449">
        <f>J23</f>
        <v>100</v>
      </c>
      <c r="X23" s="443"/>
      <c r="Y23" s="3328"/>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28"/>
      <c r="Q24" s="383">
        <f t="shared" ref="Q24:Q34" si="11">B24</f>
        <v>111</v>
      </c>
      <c r="R24" s="448" t="s">
        <v>935</v>
      </c>
      <c r="S24" s="449">
        <f>F24</f>
        <v>100</v>
      </c>
      <c r="T24" s="448" t="s">
        <v>935</v>
      </c>
      <c r="U24" s="449">
        <f>H24</f>
        <v>100</v>
      </c>
      <c r="V24" s="448" t="s">
        <v>935</v>
      </c>
      <c r="W24" s="449">
        <f>J24</f>
        <v>100</v>
      </c>
      <c r="X24" s="443"/>
      <c r="Y24" s="3328"/>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28"/>
      <c r="Q25" s="447">
        <f t="shared" si="11"/>
        <v>111</v>
      </c>
      <c r="R25" s="444" t="s">
        <v>935</v>
      </c>
      <c r="S25" s="445">
        <f>F25</f>
        <v>100</v>
      </c>
      <c r="T25" s="444" t="s">
        <v>935</v>
      </c>
      <c r="U25" s="445">
        <f>H25</f>
        <v>100</v>
      </c>
      <c r="V25" s="444" t="s">
        <v>935</v>
      </c>
      <c r="W25" s="445">
        <f>J25</f>
        <v>100</v>
      </c>
      <c r="X25" s="446"/>
      <c r="Y25" s="3328"/>
      <c r="Z25" s="464">
        <f>Q25</f>
        <v>111</v>
      </c>
      <c r="AA25" s="454">
        <f t="shared" si="3"/>
        <v>1</v>
      </c>
      <c r="AB25" s="454">
        <f t="shared" si="4"/>
        <v>1</v>
      </c>
      <c r="AC25" s="454">
        <f t="shared" si="5"/>
        <v>1</v>
      </c>
    </row>
    <row r="26" spans="1:29" ht="15">
      <c r="A26" s="283" t="s">
        <v>958</v>
      </c>
      <c r="B26" s="284" t="s">
        <v>2099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29" t="s">
        <v>957</v>
      </c>
      <c r="Q26" s="383" t="str">
        <f t="shared" si="11"/>
        <v>公共部分装修</v>
      </c>
      <c r="R26" s="448" t="s">
        <v>935</v>
      </c>
      <c r="S26" s="449">
        <f t="shared" ref="S26:S34" si="12">F26</f>
        <v>100</v>
      </c>
      <c r="T26" s="448" t="s">
        <v>935</v>
      </c>
      <c r="U26" s="449">
        <f t="shared" ref="U26:U34" si="13">H26</f>
        <v>100</v>
      </c>
      <c r="V26" s="448" t="s">
        <v>935</v>
      </c>
      <c r="W26" s="449">
        <f t="shared" ref="W26:W34" si="14">J26</f>
        <v>100</v>
      </c>
      <c r="X26" s="443"/>
      <c r="Y26" s="3330" t="s">
        <v>957</v>
      </c>
      <c r="Z26" s="442" t="str">
        <f t="shared" ref="Z26:Z34" si="15">Q26</f>
        <v>公共部分装修</v>
      </c>
      <c r="AA26" s="454">
        <f t="shared" si="3"/>
        <v>1</v>
      </c>
      <c r="AB26" s="454">
        <f t="shared" si="4"/>
        <v>1</v>
      </c>
      <c r="AC26" s="454">
        <f t="shared" si="5"/>
        <v>1</v>
      </c>
    </row>
    <row r="27" spans="1:29" s="192" customFormat="1" ht="15">
      <c r="A27" s="288"/>
      <c r="B27" s="289" t="s">
        <v>2281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30"/>
      <c r="Q27" s="450" t="str">
        <f t="shared" si="11"/>
        <v>成新率</v>
      </c>
      <c r="R27" s="451" t="s">
        <v>935</v>
      </c>
      <c r="S27" s="452" t="e">
        <f t="shared" si="12"/>
        <v>#N/A</v>
      </c>
      <c r="T27" s="451" t="s">
        <v>935</v>
      </c>
      <c r="U27" s="452" t="e">
        <f t="shared" si="13"/>
        <v>#N/A</v>
      </c>
      <c r="V27" s="451" t="s">
        <v>935</v>
      </c>
      <c r="W27" s="452" t="e">
        <f t="shared" si="14"/>
        <v>#N/A</v>
      </c>
      <c r="X27" s="453"/>
      <c r="Y27" s="3330"/>
      <c r="Z27" s="465" t="str">
        <f t="shared" si="15"/>
        <v>成新率</v>
      </c>
      <c r="AA27" s="454" t="e">
        <f t="shared" si="3"/>
        <v>#N/A</v>
      </c>
      <c r="AB27" s="454" t="e">
        <f t="shared" si="4"/>
        <v>#N/A</v>
      </c>
      <c r="AC27" s="454" t="e">
        <f t="shared" si="5"/>
        <v>#N/A</v>
      </c>
    </row>
    <row r="28" spans="1:29" ht="15">
      <c r="A28" s="293"/>
      <c r="B28" s="289" t="s">
        <v>2282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30"/>
      <c r="Q28" s="383" t="str">
        <f t="shared" si="11"/>
        <v>物业等级</v>
      </c>
      <c r="R28" s="448" t="s">
        <v>935</v>
      </c>
      <c r="S28" s="449">
        <f t="shared" si="12"/>
        <v>100</v>
      </c>
      <c r="T28" s="448" t="s">
        <v>935</v>
      </c>
      <c r="U28" s="449">
        <f t="shared" si="13"/>
        <v>100</v>
      </c>
      <c r="V28" s="448" t="s">
        <v>935</v>
      </c>
      <c r="W28" s="449">
        <f t="shared" si="14"/>
        <v>100</v>
      </c>
      <c r="X28" s="443"/>
      <c r="Y28" s="3330"/>
      <c r="Z28" s="442" t="str">
        <f t="shared" si="15"/>
        <v>物业等级</v>
      </c>
      <c r="AA28" s="454">
        <f t="shared" si="3"/>
        <v>1</v>
      </c>
      <c r="AB28" s="454">
        <f t="shared" si="4"/>
        <v>1</v>
      </c>
      <c r="AC28" s="454">
        <f t="shared" si="5"/>
        <v>1</v>
      </c>
    </row>
    <row r="29" spans="1:29" ht="15">
      <c r="A29" s="293"/>
      <c r="B29" s="289" t="s">
        <v>2288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30"/>
      <c r="Q29" s="383" t="str">
        <f t="shared" si="11"/>
        <v>有无电梯</v>
      </c>
      <c r="R29" s="448" t="s">
        <v>935</v>
      </c>
      <c r="S29" s="449">
        <f t="shared" si="12"/>
        <v>100</v>
      </c>
      <c r="T29" s="448" t="s">
        <v>935</v>
      </c>
      <c r="U29" s="449">
        <f t="shared" si="13"/>
        <v>100</v>
      </c>
      <c r="V29" s="448" t="s">
        <v>935</v>
      </c>
      <c r="W29" s="449">
        <f t="shared" si="14"/>
        <v>100</v>
      </c>
      <c r="X29" s="443"/>
      <c r="Y29" s="3330"/>
      <c r="Z29" s="442" t="str">
        <f t="shared" si="15"/>
        <v>有无电梯</v>
      </c>
      <c r="AA29" s="454">
        <f t="shared" si="3"/>
        <v>1</v>
      </c>
      <c r="AB29" s="454">
        <f t="shared" si="4"/>
        <v>1</v>
      </c>
      <c r="AC29" s="454">
        <f t="shared" si="5"/>
        <v>1</v>
      </c>
    </row>
    <row r="30" spans="1:29" ht="15">
      <c r="A30" s="293"/>
      <c r="B30" s="289" t="s">
        <v>549</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30"/>
      <c r="Q30" s="383" t="str">
        <f t="shared" si="11"/>
        <v>建筑面积</v>
      </c>
      <c r="R30" s="448" t="s">
        <v>935</v>
      </c>
      <c r="S30" s="449" t="e">
        <f t="shared" si="12"/>
        <v>#N/A</v>
      </c>
      <c r="T30" s="448" t="s">
        <v>935</v>
      </c>
      <c r="U30" s="449" t="e">
        <f t="shared" si="13"/>
        <v>#N/A</v>
      </c>
      <c r="V30" s="448" t="s">
        <v>935</v>
      </c>
      <c r="W30" s="449" t="e">
        <f t="shared" si="14"/>
        <v>#N/A</v>
      </c>
      <c r="X30" s="443"/>
      <c r="Y30" s="3330"/>
      <c r="Z30" s="442" t="str">
        <f t="shared" si="15"/>
        <v>建筑面积</v>
      </c>
      <c r="AA30" s="454" t="e">
        <f t="shared" si="3"/>
        <v>#N/A</v>
      </c>
      <c r="AB30" s="454" t="e">
        <f t="shared" si="4"/>
        <v>#N/A</v>
      </c>
      <c r="AC30" s="454" t="e">
        <f t="shared" si="5"/>
        <v>#N/A</v>
      </c>
    </row>
    <row r="31" spans="1:29" s="190" customFormat="1" ht="15">
      <c r="A31" s="296"/>
      <c r="B31" s="289" t="s">
        <v>2289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30"/>
      <c r="Q31" s="447" t="str">
        <f t="shared" si="11"/>
        <v>是否封闭</v>
      </c>
      <c r="R31" s="444" t="s">
        <v>935</v>
      </c>
      <c r="S31" s="445">
        <f t="shared" si="12"/>
        <v>100</v>
      </c>
      <c r="T31" s="444" t="s">
        <v>935</v>
      </c>
      <c r="U31" s="445">
        <f t="shared" si="13"/>
        <v>100</v>
      </c>
      <c r="V31" s="444" t="s">
        <v>935</v>
      </c>
      <c r="W31" s="445">
        <f t="shared" si="14"/>
        <v>100</v>
      </c>
      <c r="X31" s="446"/>
      <c r="Y31" s="3330"/>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30" t="s">
        <v>957</v>
      </c>
      <c r="Q32" s="383">
        <f t="shared" si="11"/>
        <v>111</v>
      </c>
      <c r="R32" s="448" t="s">
        <v>935</v>
      </c>
      <c r="S32" s="449">
        <f t="shared" si="12"/>
        <v>100</v>
      </c>
      <c r="T32" s="448" t="s">
        <v>935</v>
      </c>
      <c r="U32" s="449">
        <f t="shared" si="13"/>
        <v>100</v>
      </c>
      <c r="V32" s="448" t="s">
        <v>935</v>
      </c>
      <c r="W32" s="449">
        <f t="shared" si="14"/>
        <v>100</v>
      </c>
      <c r="X32" s="443"/>
      <c r="Y32" s="3330" t="s">
        <v>957</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30"/>
      <c r="Q33" s="383">
        <f t="shared" si="11"/>
        <v>111</v>
      </c>
      <c r="R33" s="448" t="s">
        <v>935</v>
      </c>
      <c r="S33" s="449">
        <f t="shared" si="12"/>
        <v>100</v>
      </c>
      <c r="T33" s="448" t="s">
        <v>935</v>
      </c>
      <c r="U33" s="449">
        <f t="shared" si="13"/>
        <v>100</v>
      </c>
      <c r="V33" s="448" t="s">
        <v>935</v>
      </c>
      <c r="W33" s="449">
        <f t="shared" si="14"/>
        <v>100</v>
      </c>
      <c r="X33" s="443"/>
      <c r="Y33" s="3330"/>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30"/>
      <c r="Q34" s="383">
        <f t="shared" si="11"/>
        <v>111</v>
      </c>
      <c r="R34" s="448" t="s">
        <v>935</v>
      </c>
      <c r="S34" s="449">
        <f t="shared" si="12"/>
        <v>100</v>
      </c>
      <c r="T34" s="448" t="s">
        <v>935</v>
      </c>
      <c r="U34" s="449">
        <f t="shared" si="13"/>
        <v>100</v>
      </c>
      <c r="V34" s="448" t="s">
        <v>935</v>
      </c>
      <c r="W34" s="449">
        <f t="shared" si="14"/>
        <v>100</v>
      </c>
      <c r="X34" s="443"/>
      <c r="Y34" s="3330"/>
      <c r="Z34" s="442">
        <f t="shared" si="15"/>
        <v>111</v>
      </c>
      <c r="AA34" s="454">
        <f t="shared" si="3"/>
        <v>1</v>
      </c>
      <c r="AB34" s="454">
        <f t="shared" si="4"/>
        <v>1</v>
      </c>
      <c r="AC34" s="454">
        <f t="shared" si="5"/>
        <v>1</v>
      </c>
    </row>
    <row r="35" spans="1:29" ht="15">
      <c r="A35" s="303" t="s">
        <v>2109</v>
      </c>
      <c r="B35" s="304"/>
      <c r="C35" s="305" t="s">
        <v>138</v>
      </c>
      <c r="D35" s="306"/>
      <c r="E35" s="307"/>
      <c r="F35" s="308"/>
      <c r="G35" s="309"/>
      <c r="H35" s="310"/>
      <c r="I35" s="307"/>
      <c r="J35" s="310"/>
      <c r="K35" s="397"/>
      <c r="L35" s="398"/>
      <c r="M35" s="319"/>
      <c r="N35" s="378"/>
      <c r="O35" s="319"/>
      <c r="P35" s="3326" t="str">
        <f>A35</f>
        <v>成交单价（元/平方米）</v>
      </c>
      <c r="Q35" s="3326"/>
      <c r="R35" s="3410">
        <f>E35</f>
        <v>0</v>
      </c>
      <c r="S35" s="3410"/>
      <c r="T35" s="3410">
        <f>G35</f>
        <v>0</v>
      </c>
      <c r="U35" s="3410"/>
      <c r="V35" s="3410">
        <f>I35</f>
        <v>0</v>
      </c>
      <c r="W35" s="3410"/>
      <c r="X35" s="330"/>
      <c r="Y35" s="466"/>
      <c r="Z35" s="330"/>
      <c r="AA35" s="330"/>
      <c r="AB35" s="330"/>
      <c r="AC35" s="330"/>
    </row>
    <row r="36" spans="1:29" ht="15">
      <c r="A36" s="311" t="s">
        <v>967</v>
      </c>
      <c r="B36" s="312"/>
      <c r="C36" s="313" t="e">
        <f>R37</f>
        <v>#DIV/0!</v>
      </c>
      <c r="D36" s="314"/>
      <c r="E36" s="315" t="e">
        <f>R36</f>
        <v>#DIV/0!</v>
      </c>
      <c r="F36" s="315"/>
      <c r="G36" s="313" t="e">
        <f>T36</f>
        <v>#DIV/0!</v>
      </c>
      <c r="H36" s="314"/>
      <c r="I36" s="315" t="e">
        <f>V36</f>
        <v>#DIV/0!</v>
      </c>
      <c r="J36" s="314"/>
      <c r="K36" s="399"/>
      <c r="L36" s="398"/>
      <c r="M36" s="319"/>
      <c r="N36" s="378"/>
      <c r="O36" s="319"/>
      <c r="P36" s="3326" t="str">
        <f>A36</f>
        <v>比较价格（元/平方米）</v>
      </c>
      <c r="Q36" s="3326"/>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30"/>
      <c r="Y36" s="330"/>
      <c r="Z36" s="330"/>
      <c r="AA36" s="330"/>
      <c r="AB36" s="330"/>
      <c r="AC36" s="330"/>
    </row>
    <row r="37" spans="1:29" ht="15">
      <c r="A37" s="316" t="s">
        <v>968</v>
      </c>
      <c r="B37" s="317"/>
      <c r="C37" s="318" t="e">
        <f>R37</f>
        <v>#DIV/0!</v>
      </c>
      <c r="D37" s="318"/>
      <c r="E37" s="318"/>
      <c r="F37" s="318"/>
      <c r="G37" s="318"/>
      <c r="H37" s="318"/>
      <c r="I37" s="318"/>
      <c r="J37" s="318"/>
      <c r="K37" s="400"/>
      <c r="L37" s="398"/>
      <c r="M37" s="319"/>
      <c r="N37" s="319"/>
      <c r="O37" s="319"/>
      <c r="P37" s="3332" t="str">
        <f>A37</f>
        <v>估价对象XX用房的比较价格（楼面单价，元/平方米）</v>
      </c>
      <c r="Q37" s="3333"/>
      <c r="R37" s="3412" t="e">
        <f>IF(F1="售价",ROUND(AVERAGE(R36:V36),0),ROUND(AVERAGE(R36:V36),1))</f>
        <v>#DIV/0!</v>
      </c>
      <c r="S37" s="3412"/>
      <c r="T37" s="3412"/>
      <c r="U37" s="3412"/>
      <c r="V37" s="3412"/>
      <c r="W37" s="3412"/>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933</v>
      </c>
      <c r="B46" s="334"/>
      <c r="C46" s="335" t="str">
        <f>YEAR(C7)&amp;"-"&amp;MONTH(C7)</f>
        <v>2019-5</v>
      </c>
      <c r="D46" s="336">
        <f>EDATE(C46,-1)</f>
        <v>43556</v>
      </c>
      <c r="E46" s="336">
        <f t="shared" ref="E46:O46" si="16">EDATE(D46,-1)</f>
        <v>43525</v>
      </c>
      <c r="F46" s="336">
        <f t="shared" si="16"/>
        <v>43497</v>
      </c>
      <c r="G46" s="336">
        <f t="shared" si="16"/>
        <v>43466</v>
      </c>
      <c r="H46" s="336">
        <f t="shared" si="16"/>
        <v>43435</v>
      </c>
      <c r="I46" s="336">
        <f t="shared" si="16"/>
        <v>43405</v>
      </c>
      <c r="J46" s="336">
        <f t="shared" si="16"/>
        <v>43374</v>
      </c>
      <c r="K46" s="336">
        <f t="shared" si="16"/>
        <v>43344</v>
      </c>
      <c r="L46" s="336">
        <f t="shared" si="16"/>
        <v>43313</v>
      </c>
      <c r="M46" s="336">
        <f t="shared" si="16"/>
        <v>43282</v>
      </c>
      <c r="N46" s="336">
        <f t="shared" si="16"/>
        <v>43252</v>
      </c>
      <c r="O46" s="336">
        <f t="shared" si="16"/>
        <v>43221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1107</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936</v>
      </c>
      <c r="B49" s="338"/>
      <c r="C49" s="346" t="s">
        <v>937</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997</v>
      </c>
      <c r="B51" s="349" t="s">
        <v>998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999</v>
      </c>
      <c r="C53" s="356" t="s">
        <v>2110</v>
      </c>
      <c r="D53" s="356" t="s">
        <v>2111</v>
      </c>
      <c r="E53" s="356" t="s">
        <v>2112</v>
      </c>
      <c r="F53" s="356" t="s">
        <v>2113</v>
      </c>
      <c r="G53" s="356" t="s">
        <v>2114</v>
      </c>
      <c r="H53" s="356" t="s">
        <v>2115</v>
      </c>
      <c r="I53" s="356" t="s">
        <v>2116</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992</v>
      </c>
      <c r="D54" s="358" t="s">
        <v>992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2091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1006</v>
      </c>
      <c r="B77" s="349" t="s">
        <v>2099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2290</v>
      </c>
      <c r="C1" s="3440" t="s">
        <v>2291</v>
      </c>
      <c r="D1" s="3441"/>
      <c r="E1" s="3441"/>
      <c r="F1" s="3441"/>
      <c r="G1" s="3441"/>
      <c r="H1" s="3441"/>
      <c r="I1" s="3441"/>
      <c r="J1" s="3441"/>
      <c r="K1" s="3441"/>
      <c r="L1" s="3441"/>
      <c r="M1" s="3441"/>
      <c r="N1" s="3441"/>
      <c r="O1" s="3441"/>
      <c r="P1" s="3441"/>
      <c r="Q1" s="3441"/>
      <c r="R1" s="3441"/>
      <c r="S1" s="3442"/>
      <c r="T1" s="79" t="s">
        <v>2292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2300</v>
      </c>
      <c r="B17" s="108" t="s">
        <v>1119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2301</v>
      </c>
      <c r="B20" s="119">
        <f>S22</f>
        <v>0</v>
      </c>
      <c r="C20" s="117"/>
      <c r="D20" s="117"/>
      <c r="E20" s="117"/>
      <c r="F20" s="117"/>
      <c r="G20" s="117"/>
      <c r="H20" s="117"/>
      <c r="I20" s="117"/>
      <c r="J20" s="117"/>
      <c r="K20" s="117"/>
      <c r="L20" s="117"/>
      <c r="M20" s="117"/>
      <c r="N20" s="117"/>
      <c r="O20" s="117"/>
      <c r="P20" s="117"/>
      <c r="Q20" s="117"/>
      <c r="R20" s="179"/>
      <c r="S20" s="180"/>
    </row>
    <row r="21" spans="1:45" ht="15.75">
      <c r="A21" s="118" t="s">
        <v>2302</v>
      </c>
      <c r="B21" s="119" t="e">
        <f>R22</f>
        <v>#DIV/0!</v>
      </c>
      <c r="C21" s="117"/>
      <c r="D21" s="117"/>
      <c r="E21" s="117"/>
      <c r="F21" s="117"/>
      <c r="G21" s="117"/>
      <c r="H21" s="117"/>
      <c r="I21" s="117"/>
      <c r="J21" s="117"/>
      <c r="K21" s="117"/>
      <c r="L21" s="117"/>
      <c r="M21" s="117"/>
      <c r="N21" s="117"/>
      <c r="O21" s="117"/>
      <c r="P21" s="117"/>
      <c r="Q21" s="117"/>
      <c r="R21" s="179"/>
      <c r="S21" s="180"/>
    </row>
    <row r="22" spans="1:45">
      <c r="A22" s="120" t="s">
        <v>2303</v>
      </c>
      <c r="B22" s="121">
        <f>SUM(B24:B10000)</f>
        <v>0</v>
      </c>
      <c r="C22" s="3443" t="s">
        <v>138</v>
      </c>
      <c r="D22" s="3444"/>
      <c r="E22" s="3444"/>
      <c r="F22" s="3444"/>
      <c r="G22" s="3444"/>
      <c r="H22" s="3444"/>
      <c r="I22" s="3444"/>
      <c r="J22" s="3444"/>
      <c r="K22" s="3444"/>
      <c r="L22" s="3444"/>
      <c r="M22" s="3444"/>
      <c r="N22" s="3444"/>
      <c r="O22" s="3444"/>
      <c r="P22" s="3444"/>
      <c r="Q22" s="3445"/>
      <c r="R22" s="182" t="e">
        <f>ROUND(S22*10000/B22,0)</f>
        <v>#DIV/0!</v>
      </c>
      <c r="S22" s="121">
        <f>SUM(S24:S10000)</f>
        <v>0</v>
      </c>
    </row>
    <row r="23" spans="1:45" s="73" customFormat="1" ht="24">
      <c r="A23" s="124" t="s">
        <v>2304</v>
      </c>
      <c r="B23" s="124" t="s">
        <v>451</v>
      </c>
      <c r="C23" s="124" t="s">
        <v>1178</v>
      </c>
      <c r="D23" s="124" t="str">
        <f>B5</f>
        <v>修正项2</v>
      </c>
      <c r="E23" s="124" t="s">
        <v>1178</v>
      </c>
      <c r="F23" s="124" t="str">
        <f>B7</f>
        <v>修正项3</v>
      </c>
      <c r="G23" s="124" t="s">
        <v>1178</v>
      </c>
      <c r="H23" s="124" t="str">
        <f>B9</f>
        <v>修正项4</v>
      </c>
      <c r="I23" s="124" t="s">
        <v>1178</v>
      </c>
      <c r="J23" s="124" t="str">
        <f>B11</f>
        <v>修正项5</v>
      </c>
      <c r="K23" s="124" t="s">
        <v>1178</v>
      </c>
      <c r="L23" s="124" t="str">
        <f>B13</f>
        <v>修正项6</v>
      </c>
      <c r="M23" s="124" t="s">
        <v>1178</v>
      </c>
      <c r="N23" s="124" t="str">
        <f>B15</f>
        <v>修正项7</v>
      </c>
      <c r="O23" s="124" t="s">
        <v>1178</v>
      </c>
      <c r="P23" s="124" t="str">
        <f>B17</f>
        <v>楼层</v>
      </c>
      <c r="Q23" s="124" t="s">
        <v>1178</v>
      </c>
      <c r="R23" s="183" t="s">
        <v>2305</v>
      </c>
      <c r="S23" s="124" t="s">
        <v>2306</v>
      </c>
      <c r="T23" s="184"/>
      <c r="U23" s="184"/>
      <c r="V23" s="184"/>
      <c r="W23" s="184"/>
      <c r="X23" s="184"/>
      <c r="Y23" s="184"/>
      <c r="Z23" s="184"/>
      <c r="AA23" s="184"/>
      <c r="AB23" s="184"/>
      <c r="AC23" s="184"/>
      <c r="AD23" s="184"/>
      <c r="AE23" s="184"/>
      <c r="AF23" s="184"/>
      <c r="AG23" s="184"/>
      <c r="AH23" s="184"/>
      <c r="AI23" s="184"/>
    </row>
    <row r="24" spans="1:45" s="74" customFormat="1">
      <c r="A24" s="125" t="s">
        <v>2307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2308</v>
      </c>
      <c r="C1" s="8">
        <f>项目基本情况!D3</f>
        <v>43600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2309</v>
      </c>
      <c r="C2" s="12">
        <f>'数据-取费表'!B22</f>
        <v>2</v>
      </c>
      <c r="D2" s="7" t="s">
        <v>2310</v>
      </c>
      <c r="E2" s="13">
        <f ca="1">INDIRECT("I"&amp;$I$1)/100</f>
        <v>4.7500000000000001E-2</v>
      </c>
      <c r="G2" s="10"/>
      <c r="H2" s="10"/>
      <c r="I2" s="10" t="s">
        <v>2310</v>
      </c>
      <c r="K2" s="10"/>
      <c r="L2" s="10"/>
      <c r="M2" s="10"/>
      <c r="N2" s="10" t="s">
        <v>2311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2312</v>
      </c>
      <c r="C3" s="14">
        <f>'数据-取费表'!B19</f>
        <v>0</v>
      </c>
      <c r="D3" s="7" t="s">
        <v>2310</v>
      </c>
      <c r="E3" s="13">
        <f ca="1">INDIRECT("J"&amp;$J$1)/100</f>
        <v>0</v>
      </c>
      <c r="G3" s="15" t="s">
        <v>2313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2314</v>
      </c>
      <c r="C4" s="13">
        <f ca="1">N4/100</f>
        <v>1.4999999999999999E-2</v>
      </c>
      <c r="G4" s="17" t="s">
        <v>2315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2320</v>
      </c>
      <c r="C10" s="28"/>
      <c r="D10" s="28"/>
      <c r="E10" s="28"/>
      <c r="F10" s="28"/>
      <c r="G10" s="28"/>
      <c r="H10" s="28"/>
      <c r="I10" s="3"/>
      <c r="J10" s="3"/>
      <c r="K10" s="28"/>
      <c r="L10" s="29" t="s">
        <v>2321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2322</v>
      </c>
      <c r="C11" s="32" t="s">
        <v>2323</v>
      </c>
      <c r="D11" s="33" t="s">
        <v>2324</v>
      </c>
      <c r="E11" s="34"/>
      <c r="F11" s="33" t="s">
        <v>2325</v>
      </c>
      <c r="G11" s="35"/>
      <c r="H11" s="34"/>
      <c r="I11" s="33" t="s">
        <v>2326</v>
      </c>
      <c r="J11" s="34"/>
      <c r="K11" s="30"/>
      <c r="L11" s="31" t="s">
        <v>2322</v>
      </c>
      <c r="M11" s="32" t="s">
        <v>2323</v>
      </c>
      <c r="N11" s="31" t="s">
        <v>2327</v>
      </c>
      <c r="O11" s="33" t="s">
        <v>2328</v>
      </c>
      <c r="P11" s="35"/>
      <c r="Q11" s="35"/>
      <c r="R11" s="35"/>
      <c r="S11" s="35"/>
      <c r="T11" s="34"/>
      <c r="U11" s="33" t="s">
        <v>2329</v>
      </c>
      <c r="V11" s="35"/>
      <c r="W11" s="34"/>
      <c r="X11" s="31" t="s">
        <v>2330</v>
      </c>
      <c r="Y11" s="31" t="s">
        <v>2331</v>
      </c>
      <c r="Z11" s="31" t="s">
        <v>2332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2333</v>
      </c>
      <c r="E12" s="39" t="s">
        <v>2315</v>
      </c>
      <c r="F12" s="39" t="s">
        <v>2316</v>
      </c>
      <c r="G12" s="39" t="s">
        <v>2317</v>
      </c>
      <c r="H12" s="39" t="s">
        <v>2318</v>
      </c>
      <c r="I12" s="59" t="s">
        <v>2334</v>
      </c>
      <c r="J12" s="59" t="s">
        <v>2334</v>
      </c>
      <c r="K12" s="36"/>
      <c r="L12" s="37"/>
      <c r="M12" s="38"/>
      <c r="N12" s="37"/>
      <c r="O12" s="59" t="s">
        <v>2335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2336</v>
      </c>
      <c r="C13" s="42">
        <v>42301</v>
      </c>
      <c r="D13" s="43">
        <v>4.3499999999999996</v>
      </c>
      <c r="E13" s="43">
        <v>4.3499999999999996</v>
      </c>
      <c r="F13" s="43">
        <v>4.75</v>
      </c>
      <c r="G13" s="43">
        <v>4.75</v>
      </c>
      <c r="H13" s="43">
        <v>4.9000000000000004</v>
      </c>
      <c r="I13" s="43">
        <v>2.75</v>
      </c>
      <c r="J13" s="43">
        <v>3.25</v>
      </c>
      <c r="K13" s="40"/>
      <c r="L13" s="41" t="s">
        <v>2336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2337</v>
      </c>
      <c r="Y42" s="44" t="s">
        <v>2337</v>
      </c>
      <c r="Z42" s="44" t="s">
        <v>2337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2337</v>
      </c>
      <c r="Y43" s="44" t="s">
        <v>2337</v>
      </c>
      <c r="Z43" s="44" t="s">
        <v>2337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2337</v>
      </c>
      <c r="Y44" s="44" t="s">
        <v>2337</v>
      </c>
      <c r="Z44" s="44" t="s">
        <v>2337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2337</v>
      </c>
      <c r="Y45" s="44" t="s">
        <v>2337</v>
      </c>
      <c r="Z45" s="44" t="s">
        <v>2337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2337</v>
      </c>
      <c r="Y46" s="44" t="s">
        <v>2337</v>
      </c>
      <c r="Z46" s="44" t="s">
        <v>2337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2337</v>
      </c>
      <c r="Y47" s="44" t="s">
        <v>2337</v>
      </c>
      <c r="Z47" s="44" t="s">
        <v>2337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2337</v>
      </c>
      <c r="Y48" s="44" t="s">
        <v>2337</v>
      </c>
      <c r="Z48" s="44" t="s">
        <v>2337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2337</v>
      </c>
      <c r="Y49" s="44" t="s">
        <v>2337</v>
      </c>
      <c r="Z49" s="44" t="s">
        <v>2337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2337</v>
      </c>
      <c r="Y50" s="44" t="s">
        <v>2337</v>
      </c>
      <c r="Z50" s="44" t="s">
        <v>2337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2337</v>
      </c>
      <c r="V51" s="44" t="s">
        <v>2337</v>
      </c>
      <c r="W51" s="44" t="s">
        <v>2337</v>
      </c>
      <c r="X51" s="44" t="s">
        <v>2337</v>
      </c>
      <c r="Y51" s="44" t="s">
        <v>2337</v>
      </c>
      <c r="Z51" s="44" t="s">
        <v>2337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2337</v>
      </c>
      <c r="J55" s="44" t="s">
        <v>2337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1" t="s">
        <v>98</v>
      </c>
      <c r="B1" s="3151"/>
      <c r="C1" s="3151"/>
      <c r="D1" s="3151"/>
      <c r="E1" s="3151"/>
      <c r="F1" s="3151"/>
      <c r="G1" s="3151"/>
      <c r="H1" s="3151"/>
      <c r="I1" s="3151"/>
      <c r="J1" s="3151"/>
      <c r="K1" s="3151"/>
      <c r="L1" s="3151"/>
      <c r="M1" s="3151"/>
      <c r="N1" s="3151"/>
      <c r="O1" s="3151"/>
      <c r="P1" s="3151"/>
      <c r="Q1" s="3151"/>
      <c r="R1" s="3151"/>
    </row>
    <row r="2" spans="1:18">
      <c r="A2" s="3082" t="s">
        <v>99</v>
      </c>
      <c r="B2" s="3082"/>
      <c r="C2" s="3082"/>
      <c r="D2" s="3082"/>
      <c r="E2" s="3082"/>
      <c r="F2" s="3082"/>
      <c r="G2" s="3082"/>
      <c r="H2" s="3082"/>
      <c r="I2" s="3095"/>
      <c r="J2" s="3095"/>
      <c r="K2" s="3096" t="str">
        <f>"估价期日："&amp;TEXT(项目基本情况!D3,"yyyy年m月d日;;")</f>
        <v>估价期日：2019年5月15日</v>
      </c>
      <c r="L2" s="3082"/>
      <c r="M2" s="3082"/>
      <c r="N2" s="3082"/>
      <c r="O2" s="3082"/>
      <c r="P2" s="3082"/>
      <c r="Q2" s="3082"/>
      <c r="R2" s="3096" t="str">
        <f>"估价期日的国有建设用地使用权性质："&amp;项目基本情况!B16</f>
        <v>估价期日的国有建设用地使用权性质：出让</v>
      </c>
    </row>
    <row r="3" spans="1:18" ht="23.25" customHeight="1">
      <c r="A3" s="3157" t="s">
        <v>100</v>
      </c>
      <c r="B3" s="3157" t="s">
        <v>101</v>
      </c>
      <c r="C3" s="3156" t="s">
        <v>102</v>
      </c>
      <c r="D3" s="3157" t="s">
        <v>103</v>
      </c>
      <c r="E3" s="3152" t="s">
        <v>104</v>
      </c>
      <c r="F3" s="3152"/>
      <c r="G3" s="3152"/>
      <c r="H3" s="3152" t="s">
        <v>105</v>
      </c>
      <c r="I3" s="3152"/>
      <c r="J3" s="3152"/>
      <c r="K3" s="3156" t="s">
        <v>106</v>
      </c>
      <c r="L3" s="3156" t="s">
        <v>107</v>
      </c>
      <c r="M3" s="3157" t="s">
        <v>108</v>
      </c>
      <c r="N3" s="3158" t="str">
        <f>"（分摊）"&amp;项目基本情况!B16&amp;"国有建设用地使用权面积/㎡"</f>
        <v>（分摊）出让国有建设用地使用权面积/㎡</v>
      </c>
      <c r="O3" s="3157" t="s">
        <v>109</v>
      </c>
      <c r="P3" s="3156" t="s">
        <v>110</v>
      </c>
      <c r="Q3" s="3156" t="s">
        <v>111</v>
      </c>
      <c r="R3" s="3156" t="s">
        <v>112</v>
      </c>
    </row>
    <row r="4" spans="1:18" ht="36.75" customHeight="1">
      <c r="A4" s="3157"/>
      <c r="B4" s="3157"/>
      <c r="C4" s="3156"/>
      <c r="D4" s="3157"/>
      <c r="E4" s="3084" t="s">
        <v>113</v>
      </c>
      <c r="F4" s="3084" t="s">
        <v>114</v>
      </c>
      <c r="G4" s="3084" t="s">
        <v>115</v>
      </c>
      <c r="H4" s="3084" t="s">
        <v>116</v>
      </c>
      <c r="I4" s="3084" t="s">
        <v>117</v>
      </c>
      <c r="J4" s="3084" t="s">
        <v>115</v>
      </c>
      <c r="K4" s="3156"/>
      <c r="L4" s="3156"/>
      <c r="M4" s="3157"/>
      <c r="N4" s="3158"/>
      <c r="O4" s="3157"/>
      <c r="P4" s="3156"/>
      <c r="Q4" s="3156"/>
      <c r="R4" s="3156"/>
    </row>
    <row r="5" spans="1:18" ht="135" customHeight="1">
      <c r="A5" s="3085" t="s">
        <v>118</v>
      </c>
      <c r="B5" s="3086" t="s">
        <v>119</v>
      </c>
      <c r="C5" s="3087">
        <v>22</v>
      </c>
      <c r="D5" s="3083" t="s">
        <v>120</v>
      </c>
      <c r="E5" s="3088" t="str">
        <f>项目基本情况!B12</f>
        <v>批发零售用地、城镇住宅用地</v>
      </c>
      <c r="F5" s="3083">
        <v>258</v>
      </c>
      <c r="G5" s="3088" t="str">
        <f>项目基本情况!B13</f>
        <v>批发零售用地、城镇住宅用地</v>
      </c>
      <c r="H5" s="3083">
        <v>1.5</v>
      </c>
      <c r="I5" s="3083">
        <v>1.5</v>
      </c>
      <c r="J5" s="3083">
        <v>1.5</v>
      </c>
      <c r="K5" s="3088" t="str">
        <f>"红线外"&amp;项目基本情况!T40&amp;"、宗地红线内"&amp;项目基本情况!B35</f>
        <v>红线外七通、宗地红线内</v>
      </c>
      <c r="L5" s="3088" t="str">
        <f>"红线外"&amp;项目基本情况!T40&amp;"、宗地红线内场地"&amp;项目基本情况!D36</f>
        <v>红线外七通、宗地红线内场地平整</v>
      </c>
      <c r="M5" s="3088" t="str">
        <f>IF(项目基本情况!B16="出让",项目基本情况!D20,"——")</f>
        <v>住宅69.57年、商业39.55年</v>
      </c>
      <c r="N5" s="3088">
        <f>项目基本情况!C22</f>
        <v>42969</v>
      </c>
      <c r="O5" s="3088">
        <f>项目基本情况!C21</f>
        <v>73411.47</v>
      </c>
      <c r="P5" s="3088">
        <f ca="1">结果表!E42</f>
        <v>1740</v>
      </c>
      <c r="Q5" s="3088">
        <f ca="1">结果表!D42</f>
        <v>1019</v>
      </c>
      <c r="R5" s="3097">
        <f ca="1">结果表!C42</f>
        <v>7477</v>
      </c>
    </row>
    <row r="6" spans="1:18">
      <c r="A6" s="3153" t="str">
        <f>IF(项目基本情况!B9="市场价格","——","抵押价格")</f>
        <v>抵押价格</v>
      </c>
      <c r="B6" s="3154"/>
      <c r="C6" s="3154"/>
      <c r="D6" s="3154"/>
      <c r="E6" s="3154"/>
      <c r="F6" s="3154"/>
      <c r="G6" s="3154"/>
      <c r="H6" s="3154"/>
      <c r="I6" s="3154"/>
      <c r="J6" s="3154"/>
      <c r="K6" s="3154"/>
      <c r="L6" s="3154"/>
      <c r="M6" s="3154"/>
      <c r="N6" s="3154"/>
      <c r="O6" s="3154"/>
      <c r="P6" s="3154"/>
      <c r="Q6" s="3155"/>
      <c r="R6" s="3098">
        <f ca="1">结果表!O39</f>
        <v>7477</v>
      </c>
    </row>
    <row r="7" spans="1:18">
      <c r="A7" s="3153" t="str">
        <f>IF(项目基本情况!B9="市场价格","——",IF(项目基本情况!E8="已注销及未注销","抵押担保权已注销时的抵押价格","——"))</f>
        <v>——</v>
      </c>
      <c r="B7" s="3154"/>
      <c r="C7" s="3154"/>
      <c r="D7" s="3154"/>
      <c r="E7" s="3154"/>
      <c r="F7" s="3154"/>
      <c r="G7" s="3154"/>
      <c r="H7" s="3154"/>
      <c r="I7" s="3154"/>
      <c r="J7" s="3154"/>
      <c r="K7" s="3154"/>
      <c r="L7" s="3154"/>
      <c r="M7" s="3154"/>
      <c r="N7" s="3154"/>
      <c r="O7" s="3154"/>
      <c r="P7" s="3154"/>
      <c r="Q7" s="3155"/>
      <c r="R7" s="3098" t="str">
        <f>结果表!O40</f>
        <v>——</v>
      </c>
    </row>
    <row r="8" spans="1:18">
      <c r="A8" s="3153" t="str">
        <f>IF(项目基本情况!B9="市场价格","——",项目基本情况!E9)</f>
        <v>——</v>
      </c>
      <c r="B8" s="3154"/>
      <c r="C8" s="3154"/>
      <c r="D8" s="3154"/>
      <c r="E8" s="3154"/>
      <c r="F8" s="3154"/>
      <c r="G8" s="3154"/>
      <c r="H8" s="3154"/>
      <c r="I8" s="3154"/>
      <c r="J8" s="3154"/>
      <c r="K8" s="3154"/>
      <c r="L8" s="3154"/>
      <c r="M8" s="3154"/>
      <c r="N8" s="3154"/>
      <c r="O8" s="3154"/>
      <c r="P8" s="3154"/>
      <c r="Q8" s="3155"/>
      <c r="R8" s="3098" t="str">
        <f>结果表!O41</f>
        <v>——</v>
      </c>
    </row>
    <row r="9" spans="1:18">
      <c r="A9" s="3089" t="s">
        <v>121</v>
      </c>
      <c r="B9" s="3082"/>
      <c r="C9" s="3082"/>
      <c r="D9" s="3082"/>
      <c r="E9" s="3082"/>
      <c r="F9" s="3082"/>
      <c r="G9" s="3082"/>
      <c r="H9" s="3082"/>
      <c r="I9" s="3082"/>
      <c r="J9" s="3082"/>
      <c r="K9" s="3082"/>
      <c r="L9" s="3082"/>
      <c r="M9" s="3082"/>
      <c r="N9" s="3082"/>
      <c r="O9" s="3082"/>
      <c r="P9" s="3082"/>
      <c r="Q9" s="3082"/>
      <c r="R9" s="3082"/>
    </row>
    <row r="10" spans="1:18">
      <c r="A10" s="3090"/>
      <c r="B10" s="3082"/>
      <c r="C10" s="3082"/>
      <c r="D10" s="3082"/>
      <c r="E10" s="3082"/>
      <c r="F10" s="3082"/>
      <c r="G10" s="3082"/>
      <c r="H10" s="3082"/>
      <c r="I10" s="3082"/>
      <c r="J10" s="3082"/>
      <c r="K10" s="3082"/>
      <c r="L10" s="3082"/>
      <c r="M10" s="3082"/>
      <c r="N10" s="3082"/>
      <c r="O10" s="3082"/>
      <c r="P10" s="3082"/>
      <c r="Q10" s="3082"/>
      <c r="R10" s="3082"/>
    </row>
    <row r="11" spans="1:18">
      <c r="A11" s="3090" t="s">
        <v>94</v>
      </c>
      <c r="B11" s="3091"/>
      <c r="C11" s="3091"/>
      <c r="D11" s="3091"/>
      <c r="E11" s="3091"/>
      <c r="F11" s="3091"/>
      <c r="G11" s="3091"/>
      <c r="H11" s="3091"/>
      <c r="I11" s="3091"/>
      <c r="J11" s="3091"/>
      <c r="K11" s="3091"/>
      <c r="L11" s="3091"/>
      <c r="M11" s="3091"/>
      <c r="N11" s="3091"/>
      <c r="O11" s="3091"/>
      <c r="P11" s="3091"/>
      <c r="Q11" s="3091"/>
      <c r="R11" s="3091"/>
    </row>
    <row r="12" spans="1:18">
      <c r="A12" s="2741"/>
      <c r="B12" s="2741"/>
      <c r="C12" s="2741"/>
      <c r="D12" s="2741"/>
      <c r="E12" s="2741"/>
      <c r="F12" s="2741"/>
      <c r="G12" s="2741"/>
      <c r="H12" s="2741"/>
      <c r="I12" s="2741"/>
      <c r="J12" s="2741"/>
      <c r="K12" s="2741"/>
      <c r="L12" s="2741"/>
      <c r="M12" s="2741"/>
      <c r="N12" s="2741"/>
      <c r="O12" s="2741"/>
      <c r="P12" s="2741"/>
      <c r="Q12" s="2741"/>
      <c r="R12" s="2741"/>
    </row>
    <row r="13" spans="1:18" ht="16.5" customHeight="1">
      <c r="A13" s="2741"/>
      <c r="B13" s="2741"/>
      <c r="C13" s="2741"/>
      <c r="D13" s="2741"/>
      <c r="E13" s="2741"/>
      <c r="F13" s="2741"/>
      <c r="G13" s="2741"/>
      <c r="H13" s="2741"/>
      <c r="I13" s="2741"/>
      <c r="J13" s="2741"/>
      <c r="K13" s="2741"/>
      <c r="L13" s="2741"/>
      <c r="M13" s="2741"/>
      <c r="N13" s="2741"/>
      <c r="O13" s="2741"/>
      <c r="P13" s="2741"/>
      <c r="Q13" s="2741"/>
      <c r="R13" s="2741"/>
    </row>
    <row r="14" spans="1:18">
      <c r="A14" s="3092"/>
      <c r="B14" s="2741"/>
      <c r="C14" s="2741"/>
      <c r="D14" s="2741"/>
      <c r="E14" s="2741"/>
      <c r="F14" s="2741"/>
      <c r="G14" s="2741"/>
      <c r="H14" s="2741"/>
      <c r="I14" s="2741"/>
      <c r="J14" s="2741"/>
      <c r="K14" s="2741"/>
      <c r="L14" s="2741"/>
      <c r="M14" s="2741"/>
      <c r="N14" s="2741"/>
      <c r="O14" s="2741"/>
      <c r="P14" s="2741"/>
      <c r="Q14" s="2741"/>
      <c r="R14" s="2741"/>
    </row>
    <row r="15" spans="1:18">
      <c r="A15" s="3093"/>
    </row>
    <row r="16" spans="1:18">
      <c r="A16" s="3093"/>
    </row>
    <row r="17" spans="1:1">
      <c r="A17" s="3093"/>
    </row>
    <row r="18" spans="1:1">
      <c r="A18" s="3093"/>
    </row>
    <row r="19" spans="1:1">
      <c r="A19" s="3093"/>
    </row>
    <row r="20" spans="1:1">
      <c r="A20" s="3094"/>
    </row>
    <row r="21" spans="1:1">
      <c r="A21" s="3094"/>
    </row>
    <row r="22" spans="1:1">
      <c r="A22" s="3093"/>
    </row>
    <row r="23" spans="1:1">
      <c r="A23" s="3093"/>
    </row>
    <row r="24" spans="1:1">
      <c r="A24" s="3093"/>
    </row>
    <row r="25" spans="1:1">
      <c r="A25" s="3093"/>
    </row>
    <row r="26" spans="1:1">
      <c r="A26" s="3093"/>
    </row>
    <row r="27" spans="1:1">
      <c r="A27" s="3093"/>
    </row>
    <row r="28" spans="1:1">
      <c r="A28" s="3093"/>
    </row>
    <row r="29" spans="1:1">
      <c r="A29" s="3093"/>
    </row>
    <row r="30" spans="1:1">
      <c r="A30" s="3093"/>
    </row>
    <row r="31" spans="1:1">
      <c r="A31" s="3093"/>
    </row>
    <row r="32" spans="1:1">
      <c r="A32" s="3093"/>
    </row>
    <row r="33" spans="1:1">
      <c r="A33" s="3093"/>
    </row>
    <row r="34" spans="1:1">
      <c r="A34" s="3093"/>
    </row>
    <row r="35" spans="1:1">
      <c r="A35" s="3093"/>
    </row>
    <row r="36" spans="1:1">
      <c r="A36" s="3093"/>
    </row>
    <row r="37" spans="1:1">
      <c r="A37" s="309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5" customWidth="1"/>
    <col min="2" max="3" width="21.375" style="3075" customWidth="1"/>
    <col min="4" max="4" width="19.875" style="3075" customWidth="1"/>
    <col min="5" max="16384" width="9" style="3075"/>
  </cols>
  <sheetData>
    <row r="1" spans="1:4">
      <c r="A1" s="3159" t="s">
        <v>122</v>
      </c>
      <c r="B1" s="3159"/>
      <c r="C1" s="3159"/>
      <c r="D1" s="3159"/>
    </row>
    <row r="2" spans="1:4" ht="47.25" customHeight="1">
      <c r="A2" s="3160" t="str">
        <f>"1.权利限制："&amp;项目基本情况!L24&amp;"未设定租赁等其他他项权利。"</f>
        <v>1.权利限制：根据估价对象《不动产权证书》复印件、《国有土地使用权》复印件，截至估价期日，估价对象抵押权未见登记。未设定租赁等其他他项权利。</v>
      </c>
      <c r="B2" s="3160"/>
      <c r="C2" s="3160"/>
      <c r="D2" s="3160"/>
    </row>
    <row r="3" spans="1:4" ht="48" customHeight="1">
      <c r="A3" s="31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1" t="s">
        <v>123</v>
      </c>
      <c r="B5" s="3161"/>
      <c r="C5" s="3161"/>
      <c r="D5" s="3161"/>
    </row>
    <row r="6" spans="1:4">
      <c r="A6" s="3159" t="s">
        <v>124</v>
      </c>
      <c r="B6" s="3159"/>
      <c r="C6" s="3159"/>
      <c r="D6" s="3159"/>
    </row>
    <row r="7" spans="1:4" ht="33" customHeight="1">
      <c r="A7" s="3159" t="s">
        <v>125</v>
      </c>
      <c r="B7" s="3159"/>
      <c r="C7" s="3159"/>
      <c r="D7" s="3159"/>
    </row>
    <row r="8" spans="1:4" ht="32.25" customHeight="1">
      <c r="A8" s="31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2" t="str">
        <f>IF(项目基本情况!B8="抵押","（1）"&amp;CONCATENATE(项目基本情况!L24,项目基本情况!L25,项目基本情况!L26),"——")</f>
        <v>（1）根据估价对象《不动产权证书》复印件、《国有土地使用权》复印件，截至估价期日，估价对象抵押权未见登记。</v>
      </c>
      <c r="B11" s="3162"/>
      <c r="C11" s="3162"/>
      <c r="D11" s="3162"/>
    </row>
    <row r="12" spans="1:4" ht="168" customHeight="1">
      <c r="A12" s="3161" t="s">
        <v>126</v>
      </c>
      <c r="B12" s="3161"/>
      <c r="C12" s="3161"/>
      <c r="D12" s="3161"/>
    </row>
    <row r="13" spans="1:4">
      <c r="A13" s="3163" t="s">
        <v>127</v>
      </c>
      <c r="B13" s="3163"/>
      <c r="C13" s="3163"/>
      <c r="D13" s="3163"/>
    </row>
    <row r="14" spans="1:4">
      <c r="A14" s="3162" t="str">
        <f>IF(项目基本情况!B8="抵押","综上，"&amp;结果表!K47,"——")</f>
        <v>综上，本次评估不存在估价师知悉的法定优先受偿款</v>
      </c>
      <c r="B14" s="3162"/>
      <c r="C14" s="3162"/>
      <c r="D14" s="3162"/>
    </row>
    <row r="15" spans="1:4" ht="58.5" customHeight="1">
      <c r="A15" s="31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128</v>
      </c>
      <c r="B17" s="3159"/>
      <c r="C17" s="3159"/>
      <c r="D17" s="3159"/>
    </row>
    <row r="18" spans="1:4">
      <c r="A18" s="3159" t="s">
        <v>129</v>
      </c>
      <c r="B18" s="3159"/>
      <c r="C18" s="3159"/>
      <c r="D18" s="3159"/>
    </row>
    <row r="19" spans="1:4">
      <c r="A19" s="3076" t="s">
        <v>130</v>
      </c>
      <c r="B19" s="3076" t="s">
        <v>131</v>
      </c>
      <c r="C19" s="3076" t="s">
        <v>132</v>
      </c>
      <c r="D19" s="3076" t="s">
        <v>133</v>
      </c>
    </row>
    <row r="20" spans="1:4">
      <c r="A20" s="3076" t="str">
        <f>项目基本情况!B4</f>
        <v>郑燚</v>
      </c>
      <c r="B20" s="3076">
        <f ca="1">项目基本情况!C4</f>
        <v>2014110011</v>
      </c>
      <c r="C20" s="3077"/>
      <c r="D20" s="3078" t="s">
        <v>134</v>
      </c>
    </row>
    <row r="21" spans="1:4">
      <c r="A21" s="3076" t="str">
        <f>项目基本情况!D4</f>
        <v>王鹏</v>
      </c>
      <c r="B21" s="3076">
        <f ca="1">项目基本情况!E4</f>
        <v>2002110030</v>
      </c>
      <c r="C21" s="3077"/>
      <c r="D21" s="3078" t="s">
        <v>134</v>
      </c>
    </row>
    <row r="23" spans="1:4">
      <c r="A23" s="3159" t="s">
        <v>135</v>
      </c>
      <c r="B23" s="3159"/>
      <c r="C23" s="3159"/>
      <c r="D23" s="3159"/>
    </row>
    <row r="24" spans="1:4">
      <c r="A24" s="3076" t="s">
        <v>130</v>
      </c>
      <c r="B24" s="3076" t="s">
        <v>136</v>
      </c>
      <c r="C24" s="3076" t="s">
        <v>132</v>
      </c>
      <c r="D24" s="3076" t="s">
        <v>133</v>
      </c>
    </row>
    <row r="25" spans="1:4">
      <c r="A25" s="3079" t="s">
        <v>137</v>
      </c>
      <c r="B25" s="3076" t="s">
        <v>138</v>
      </c>
      <c r="C25" s="3077"/>
      <c r="D25" s="3078" t="s">
        <v>134</v>
      </c>
    </row>
    <row r="29" spans="1:4">
      <c r="D29" s="3080" t="s">
        <v>99</v>
      </c>
    </row>
    <row r="30" spans="1:4">
      <c r="D30" s="308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4" customWidth="1"/>
    <col min="2" max="16384" width="14.5" style="3009"/>
  </cols>
  <sheetData>
    <row r="1" spans="1:7" s="3053" customFormat="1" ht="18.75">
      <c r="A1" s="3055" t="s">
        <v>139</v>
      </c>
    </row>
    <row r="3" spans="1:7" ht="14.25">
      <c r="A3" s="3056" t="s">
        <v>140</v>
      </c>
      <c r="B3" s="3009" t="s">
        <v>141</v>
      </c>
      <c r="G3" s="3057"/>
    </row>
    <row r="4" spans="1:7">
      <c r="G4" s="3057"/>
    </row>
    <row r="5" spans="1:7" ht="14.25">
      <c r="A5" s="3058" t="s">
        <v>142</v>
      </c>
      <c r="B5" s="3009" t="s">
        <v>143</v>
      </c>
      <c r="G5" s="3057"/>
    </row>
    <row r="6" spans="1:7">
      <c r="G6" s="3057"/>
    </row>
    <row r="7" spans="1:7" ht="14.25">
      <c r="A7" s="3059" t="s">
        <v>144</v>
      </c>
      <c r="B7" s="3009" t="s">
        <v>145</v>
      </c>
      <c r="G7" s="3057"/>
    </row>
    <row r="8" spans="1:7">
      <c r="G8" s="3057"/>
    </row>
    <row r="9" spans="1:7">
      <c r="A9" s="3060" t="s">
        <v>146</v>
      </c>
      <c r="B9" s="3009" t="s">
        <v>147</v>
      </c>
    </row>
    <row r="11" spans="1:7">
      <c r="A11" s="3061" t="s">
        <v>148</v>
      </c>
      <c r="B11" s="3062" t="s">
        <v>149</v>
      </c>
    </row>
    <row r="13" spans="1:7">
      <c r="A13" s="3063" t="s">
        <v>150</v>
      </c>
    </row>
    <row r="15" spans="1:7" ht="14.25">
      <c r="A15" s="3164" t="s">
        <v>151</v>
      </c>
      <c r="B15" s="3172" t="s">
        <v>152</v>
      </c>
      <c r="C15" s="3173"/>
    </row>
    <row r="16" spans="1:7" ht="14.25">
      <c r="A16" s="3164"/>
      <c r="B16" s="3166" t="s">
        <v>153</v>
      </c>
      <c r="C16" s="3064" t="s">
        <v>151</v>
      </c>
    </row>
    <row r="17" spans="1:3" ht="14.25">
      <c r="A17" s="3164"/>
      <c r="B17" s="3166"/>
      <c r="C17" s="3064" t="s">
        <v>154</v>
      </c>
    </row>
    <row r="18" spans="1:3" ht="14.25">
      <c r="A18" s="3164"/>
      <c r="B18" s="3166"/>
      <c r="C18" s="3064" t="s">
        <v>155</v>
      </c>
    </row>
    <row r="19" spans="1:3" ht="14.25">
      <c r="A19" s="3164"/>
      <c r="B19" s="3174" t="s">
        <v>156</v>
      </c>
      <c r="C19" s="3173"/>
    </row>
    <row r="20" spans="1:3" ht="14.25">
      <c r="A20" s="3065" t="s">
        <v>157</v>
      </c>
      <c r="B20" s="3066"/>
      <c r="C20" s="3067"/>
    </row>
    <row r="21" spans="1:3" ht="14.25">
      <c r="A21" s="3165" t="s">
        <v>158</v>
      </c>
      <c r="B21" s="3174" t="s">
        <v>159</v>
      </c>
      <c r="C21" s="3173"/>
    </row>
    <row r="22" spans="1:3" ht="14.25">
      <c r="A22" s="3165"/>
      <c r="B22" s="3174" t="s">
        <v>160</v>
      </c>
      <c r="C22" s="3173"/>
    </row>
    <row r="23" spans="1:3" ht="14.25">
      <c r="A23" s="3165"/>
      <c r="B23" s="3174" t="s">
        <v>161</v>
      </c>
      <c r="C23" s="3173"/>
    </row>
    <row r="24" spans="1:3" ht="14.25">
      <c r="A24" s="3165"/>
      <c r="B24" s="3167" t="s">
        <v>162</v>
      </c>
      <c r="C24" s="3068" t="s">
        <v>163</v>
      </c>
    </row>
    <row r="25" spans="1:3" ht="14.25">
      <c r="A25" s="3165"/>
      <c r="B25" s="3168"/>
      <c r="C25" s="3068" t="s">
        <v>164</v>
      </c>
    </row>
    <row r="26" spans="1:3" ht="14.25">
      <c r="A26" s="3165"/>
      <c r="B26" s="3168"/>
      <c r="C26" s="3068" t="s">
        <v>165</v>
      </c>
    </row>
    <row r="27" spans="1:3" ht="14.25">
      <c r="A27" s="3165"/>
      <c r="B27" s="3168"/>
      <c r="C27" s="3068" t="s">
        <v>166</v>
      </c>
    </row>
    <row r="28" spans="1:3" ht="14.25">
      <c r="A28" s="3165"/>
      <c r="B28" s="3168"/>
      <c r="C28" s="3068" t="s">
        <v>167</v>
      </c>
    </row>
    <row r="29" spans="1:3" ht="14.25">
      <c r="A29" s="3165"/>
      <c r="B29" s="3168"/>
      <c r="C29" s="3068" t="s">
        <v>168</v>
      </c>
    </row>
    <row r="30" spans="1:3" ht="14.25">
      <c r="A30" s="3165"/>
      <c r="B30" s="3168"/>
      <c r="C30" s="3068" t="s">
        <v>169</v>
      </c>
    </row>
    <row r="31" spans="1:3" ht="14.25">
      <c r="A31" s="3165"/>
      <c r="B31" s="3168"/>
      <c r="C31" s="3068" t="s">
        <v>170</v>
      </c>
    </row>
    <row r="32" spans="1:3" ht="14.25">
      <c r="A32" s="3165"/>
      <c r="B32" s="3168"/>
      <c r="C32" s="3068" t="s">
        <v>171</v>
      </c>
    </row>
    <row r="33" spans="1:3" ht="14.25">
      <c r="A33" s="3165"/>
      <c r="B33" s="3169" t="s">
        <v>172</v>
      </c>
      <c r="C33" s="3068" t="s">
        <v>173</v>
      </c>
    </row>
    <row r="34" spans="1:3" ht="14.25">
      <c r="A34" s="3165"/>
      <c r="B34" s="3170"/>
      <c r="C34" s="3069" t="s">
        <v>174</v>
      </c>
    </row>
    <row r="35" spans="1:3" ht="14.25">
      <c r="A35" s="3165"/>
      <c r="B35" s="3170"/>
      <c r="C35" s="3070" t="s">
        <v>175</v>
      </c>
    </row>
    <row r="36" spans="1:3" ht="14.25">
      <c r="A36" s="3165"/>
      <c r="B36" s="3170"/>
      <c r="C36" s="3070" t="s">
        <v>176</v>
      </c>
    </row>
    <row r="37" spans="1:3" ht="14.25">
      <c r="A37" s="3165"/>
      <c r="B37" s="3171"/>
      <c r="C37" s="3071" t="s">
        <v>177</v>
      </c>
    </row>
    <row r="38" spans="1:3">
      <c r="A38" s="3072" t="s">
        <v>178</v>
      </c>
    </row>
    <row r="41" spans="1:3">
      <c r="A41" s="3072" t="s">
        <v>179</v>
      </c>
    </row>
    <row r="42" spans="1:3" ht="14.25">
      <c r="A42" s="3073" t="s">
        <v>180</v>
      </c>
    </row>
    <row r="43" spans="1:3" ht="14.25">
      <c r="A43" s="3073" t="s">
        <v>181</v>
      </c>
    </row>
    <row r="44" spans="1:3" ht="14.25">
      <c r="A44" s="3073" t="s">
        <v>182</v>
      </c>
    </row>
    <row r="45" spans="1:3" ht="14.25">
      <c r="A45" s="3074" t="s">
        <v>183</v>
      </c>
    </row>
    <row r="46" spans="1:3" ht="14.25">
      <c r="A46" s="307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3" customWidth="1"/>
    <col min="2" max="5" width="22.625" style="3033"/>
    <col min="6" max="6" width="25.625" style="3033" customWidth="1"/>
    <col min="7" max="16384" width="22.625" style="3033"/>
  </cols>
  <sheetData>
    <row r="2" spans="1:6" ht="20.25" customHeight="1">
      <c r="A2" s="3032" t="s">
        <v>185</v>
      </c>
      <c r="B2" s="3034">
        <f ca="1">TODAY()</f>
        <v>43606</v>
      </c>
      <c r="C2" s="3035"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44395</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t="str">
        <f ca="1">IF(C10&lt;B2,"已过期",1120060040)</f>
        <v>已过期</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c r="B12" s="3037"/>
      <c r="C12" s="3039"/>
      <c r="D12" s="3037"/>
      <c r="E12" s="3037"/>
      <c r="F12" s="3040"/>
    </row>
    <row r="13" spans="1:6" ht="20.25" customHeight="1">
      <c r="A13" s="3037" t="s">
        <v>199</v>
      </c>
      <c r="B13" s="3037">
        <f ca="1">IF(C13&lt;B2,"已过期",1120070131)</f>
        <v>1120070131</v>
      </c>
      <c r="C13" s="3039">
        <v>43814</v>
      </c>
      <c r="D13" s="3037" t="s">
        <v>199</v>
      </c>
      <c r="E13" s="3037">
        <f ca="1">IF(F13&lt;B2,"已过期",2014110011)</f>
        <v>2014110011</v>
      </c>
      <c r="F13" s="3040">
        <v>49302</v>
      </c>
    </row>
    <row r="14" spans="1:6" ht="20.25" customHeight="1">
      <c r="A14" s="3037" t="s">
        <v>200</v>
      </c>
      <c r="B14" s="3037">
        <f ca="1">IF(C14&lt;B2,"已过期",1120040230)</f>
        <v>1120040230</v>
      </c>
      <c r="C14" s="3041">
        <v>43835</v>
      </c>
      <c r="D14" s="3042" t="s">
        <v>200</v>
      </c>
      <c r="E14" s="3037">
        <f ca="1">IF(F14&lt;B2,"已过期",98030020)</f>
        <v>98030020</v>
      </c>
      <c r="F14" s="3040">
        <v>47118</v>
      </c>
    </row>
    <row r="15" spans="1:6" ht="20.25" customHeight="1">
      <c r="A15" s="3037" t="s">
        <v>201</v>
      </c>
      <c r="B15" s="3037">
        <f ca="1">IF(C15&lt;B2,"已过期",1120070085)</f>
        <v>1120070085</v>
      </c>
      <c r="C15" s="3041">
        <v>43814</v>
      </c>
      <c r="D15" s="3037" t="s">
        <v>201</v>
      </c>
      <c r="E15" s="3037">
        <f ca="1">IF(F15&lt;B2,"已过期",2004110128)</f>
        <v>2004110128</v>
      </c>
      <c r="F15" s="3043">
        <v>47118</v>
      </c>
    </row>
    <row r="16" spans="1:6" ht="20.25" customHeight="1">
      <c r="A16" s="3037" t="s">
        <v>202</v>
      </c>
      <c r="B16" s="3037">
        <f ca="1">IF(C16&lt;B2,"已过期",1120140022)</f>
        <v>1120140022</v>
      </c>
      <c r="C16" s="3039">
        <v>44029</v>
      </c>
      <c r="D16" s="3037" t="s">
        <v>202</v>
      </c>
      <c r="E16" s="3037">
        <f ca="1">IF(F16&lt;B2,"已过期",2008110059)</f>
        <v>2008110059</v>
      </c>
      <c r="F16" s="3040">
        <v>47177</v>
      </c>
    </row>
    <row r="17" spans="1:7" ht="20.25" customHeight="1">
      <c r="A17" s="3037"/>
      <c r="B17" s="3037"/>
      <c r="C17" s="3039"/>
      <c r="D17" s="3042" t="s">
        <v>203</v>
      </c>
      <c r="E17" s="3037">
        <f ca="1">IF(F17&lt;B2,"已过期",2014110076)</f>
        <v>2014110076</v>
      </c>
      <c r="F17" s="3040">
        <v>49302</v>
      </c>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44339</v>
      </c>
      <c r="D22" s="3037" t="s">
        <v>205</v>
      </c>
      <c r="E22" s="3037">
        <f ca="1">IF(F22&lt;B2,"已过期",2000110137)</f>
        <v>2000110137</v>
      </c>
      <c r="F22" s="3040">
        <v>46387</v>
      </c>
    </row>
    <row r="23" spans="1:7" ht="20.25" customHeight="1">
      <c r="A23" s="3037"/>
      <c r="B23" s="3037"/>
      <c r="C23" s="3039"/>
      <c r="D23" s="3037"/>
      <c r="E23" s="3037"/>
      <c r="F23" s="3037"/>
    </row>
    <row r="24" spans="1:7" s="3031" customFormat="1" ht="20.25" customHeight="1">
      <c r="A24" s="3036" t="s">
        <v>138</v>
      </c>
      <c r="B24" s="3036" t="s">
        <v>138</v>
      </c>
      <c r="C24" s="3039"/>
      <c r="D24" s="3044" t="s">
        <v>138</v>
      </c>
      <c r="E24" s="3036" t="s">
        <v>138</v>
      </c>
      <c r="F24" s="3043"/>
    </row>
    <row r="25" spans="1:7" ht="20.25" customHeight="1">
      <c r="A25" s="3175" t="s">
        <v>206</v>
      </c>
      <c r="B25" s="3175"/>
      <c r="C25" s="3175"/>
      <c r="D25" s="3175"/>
      <c r="E25" s="3175"/>
      <c r="F25" s="3175"/>
      <c r="G25" s="3175"/>
    </row>
    <row r="26" spans="1:7" ht="20.25" customHeight="1">
      <c r="A26" s="3176" t="s">
        <v>207</v>
      </c>
      <c r="B26" s="3176"/>
      <c r="C26" s="3176"/>
      <c r="D26" s="3176" t="s">
        <v>208</v>
      </c>
      <c r="E26" s="3176"/>
      <c r="F26" s="3176"/>
    </row>
    <row r="27" spans="1:7" s="3032" customFormat="1" ht="20.25" customHeight="1">
      <c r="A27" s="3045" t="s">
        <v>209</v>
      </c>
      <c r="B27" s="3046" t="s">
        <v>210</v>
      </c>
      <c r="C27" s="3046" t="s">
        <v>188</v>
      </c>
      <c r="D27" s="3037" t="s">
        <v>209</v>
      </c>
      <c r="E27" s="3046" t="s">
        <v>210</v>
      </c>
      <c r="F27" s="3046" t="s">
        <v>188</v>
      </c>
    </row>
    <row r="28" spans="1:7" s="3032" customFormat="1" ht="20.25" customHeight="1">
      <c r="A28" s="3047" t="s">
        <v>211</v>
      </c>
      <c r="B28" s="3047" t="s">
        <v>212</v>
      </c>
      <c r="C28" s="3040">
        <v>43725</v>
      </c>
      <c r="D28" s="3047" t="s">
        <v>213</v>
      </c>
      <c r="E28" s="3047" t="s">
        <v>214</v>
      </c>
      <c r="F28" s="3048">
        <v>44377</v>
      </c>
    </row>
    <row r="29" spans="1:7" s="3032" customFormat="1" ht="20.25" customHeight="1">
      <c r="A29" s="3047"/>
      <c r="B29" s="3047"/>
      <c r="C29" s="3049"/>
      <c r="D29" s="3047" t="s">
        <v>215</v>
      </c>
      <c r="E29" s="3050" t="s">
        <v>216</v>
      </c>
      <c r="F29" s="3051">
        <v>43281</v>
      </c>
    </row>
    <row r="30" spans="1:7" ht="20.25" customHeight="1">
      <c r="C30" s="3052"/>
      <c r="D30" s="3052"/>
    </row>
  </sheetData>
  <sheetProtection password="C66D" sheet="1" objects="1" scenarios="1"/>
  <mergeCells count="3">
    <mergeCell ref="A25:G25"/>
    <mergeCell ref="A26:C26"/>
    <mergeCell ref="D26:F26"/>
  </mergeCells>
  <phoneticPr fontId="224"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9">
      <formula>AND($C15-TODAY()&lt;30,TODAY()&lt;$C15)</formula>
    </cfRule>
    <cfRule type="expression" dxfId="202" priority="13">
      <formula>AND($C15-TODAY()&lt;30,TODAY()&lt;$C15)</formula>
    </cfRule>
    <cfRule type="cellIs" dxfId="201" priority="14" stopIfTrue="1" operator="lessThan">
      <formula>$B$2</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0">
      <formula>AND($C16-TODAY()&lt;30,TODAY()&lt;$C16)</formula>
    </cfRule>
    <cfRule type="cellIs" dxfId="196" priority="21" stopIfTrue="1" operator="lessThan">
      <formula>$B$2</formula>
    </cfRule>
    <cfRule type="expression" dxfId="195" priority="22">
      <formula>AND($C16-TODAY()&lt;30,TODAY()&lt;$C16)</formula>
    </cfRule>
    <cfRule type="cellIs" dxfId="194" priority="23"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06">
      <formula>AND($C24-TODAY()&lt;30,TODAY()&lt;$C24)</formula>
    </cfRule>
    <cfRule type="expression" dxfId="183" priority="113">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2" sqref="B22"/>
    </sheetView>
  </sheetViews>
  <sheetFormatPr defaultColWidth="9" defaultRowHeight="14.25"/>
  <cols>
    <col min="1" max="1" width="10.375" style="3008" customWidth="1"/>
    <col min="2" max="2" width="18.875" style="3009" customWidth="1"/>
    <col min="3" max="3" width="18.875" style="2218" hidden="1" customWidth="1"/>
    <col min="4" max="4" width="5.5" style="3010" hidden="1" customWidth="1"/>
    <col min="5" max="5" width="7.125" style="3010" hidden="1" customWidth="1"/>
    <col min="6" max="6" width="10.625" style="3010" hidden="1" customWidth="1"/>
    <col min="7" max="7" width="7.5" style="3010" hidden="1" customWidth="1"/>
    <col min="8" max="8" width="9" style="2218" hidden="1" customWidth="1"/>
    <col min="9" max="9" width="11.625" style="2218" hidden="1" customWidth="1"/>
    <col min="10" max="10" width="9" style="2218" hidden="1" customWidth="1"/>
    <col min="11" max="19" width="9" style="3010" hidden="1" customWidth="1"/>
    <col min="20" max="22" width="9" style="2218" hidden="1" customWidth="1"/>
    <col min="23" max="23" width="9" style="2218" customWidth="1"/>
    <col min="24" max="24" width="14.625" style="3009" customWidth="1"/>
    <col min="25" max="25" width="7.25" style="3009" customWidth="1"/>
    <col min="26" max="16384" width="9" style="3009"/>
  </cols>
  <sheetData>
    <row r="1" spans="1:23" s="3007" customFormat="1" ht="27">
      <c r="A1" s="3011" t="s">
        <v>217</v>
      </c>
      <c r="B1" s="3012" t="s">
        <v>218</v>
      </c>
      <c r="C1" s="3013" t="s">
        <v>219</v>
      </c>
      <c r="D1" s="3014" t="s">
        <v>220</v>
      </c>
      <c r="E1" s="3014" t="s">
        <v>221</v>
      </c>
      <c r="F1" s="3014" t="s">
        <v>222</v>
      </c>
      <c r="G1" s="3014" t="s">
        <v>223</v>
      </c>
      <c r="H1" s="3014" t="s">
        <v>224</v>
      </c>
      <c r="I1" s="3014" t="s">
        <v>225</v>
      </c>
      <c r="J1" s="3014" t="s">
        <v>226</v>
      </c>
      <c r="K1" s="3014" t="s">
        <v>227</v>
      </c>
      <c r="L1" s="3014" t="s">
        <v>228</v>
      </c>
      <c r="M1" s="3014" t="s">
        <v>229</v>
      </c>
      <c r="N1" s="3014" t="s">
        <v>230</v>
      </c>
      <c r="O1" s="3014" t="s">
        <v>231</v>
      </c>
      <c r="P1" s="3014" t="s">
        <v>232</v>
      </c>
      <c r="Q1" s="3027" t="s">
        <v>233</v>
      </c>
      <c r="R1" s="3028" t="s">
        <v>234</v>
      </c>
      <c r="S1" s="3014" t="s">
        <v>235</v>
      </c>
      <c r="T1" s="3029" t="s">
        <v>236</v>
      </c>
      <c r="U1" s="3014" t="s">
        <v>237</v>
      </c>
      <c r="V1" s="3014" t="s">
        <v>238</v>
      </c>
      <c r="W1" s="3030" t="s">
        <v>239</v>
      </c>
    </row>
    <row r="2" spans="1:23">
      <c r="A2" s="3015" t="s">
        <v>240</v>
      </c>
      <c r="B2" s="3015" t="s">
        <v>241</v>
      </c>
      <c r="C2" s="3016" t="s">
        <v>242</v>
      </c>
      <c r="D2" s="3010" t="s">
        <v>243</v>
      </c>
      <c r="E2" s="3010" t="s">
        <v>244</v>
      </c>
      <c r="F2" s="3010" t="s">
        <v>245</v>
      </c>
      <c r="G2" s="3010">
        <v>40</v>
      </c>
      <c r="H2" s="3010" t="s">
        <v>245</v>
      </c>
      <c r="I2" s="3010" t="s">
        <v>246</v>
      </c>
      <c r="J2" s="3010" t="s">
        <v>247</v>
      </c>
      <c r="K2" s="3010" t="s">
        <v>248</v>
      </c>
      <c r="L2" s="3010" t="s">
        <v>248</v>
      </c>
      <c r="M2" s="3010" t="s">
        <v>248</v>
      </c>
      <c r="N2" s="3010" t="s">
        <v>248</v>
      </c>
      <c r="O2" s="3010" t="s">
        <v>248</v>
      </c>
      <c r="P2" s="3026" t="s">
        <v>248</v>
      </c>
      <c r="Q2" s="3010" t="s">
        <v>248</v>
      </c>
      <c r="R2" s="3026" t="s">
        <v>249</v>
      </c>
      <c r="S2" s="3010" t="s">
        <v>248</v>
      </c>
      <c r="T2" s="3010" t="s">
        <v>250</v>
      </c>
      <c r="U2" s="3010" t="s">
        <v>248</v>
      </c>
      <c r="V2" s="3010" t="s">
        <v>251</v>
      </c>
      <c r="W2" s="3010" t="s">
        <v>252</v>
      </c>
    </row>
    <row r="3" spans="1:23">
      <c r="A3" s="3015" t="s">
        <v>253</v>
      </c>
      <c r="B3" s="3017" t="s">
        <v>254</v>
      </c>
      <c r="C3" s="2531" t="s">
        <v>255</v>
      </c>
      <c r="D3" s="3010" t="s">
        <v>256</v>
      </c>
      <c r="E3" s="3010" t="s">
        <v>138</v>
      </c>
      <c r="F3" s="3010" t="s">
        <v>257</v>
      </c>
      <c r="G3" s="3010">
        <v>50</v>
      </c>
      <c r="H3" s="3010" t="s">
        <v>257</v>
      </c>
      <c r="I3" s="3010" t="s">
        <v>258</v>
      </c>
      <c r="J3" s="3010" t="s">
        <v>259</v>
      </c>
      <c r="K3" s="3010" t="s">
        <v>260</v>
      </c>
      <c r="L3" s="3010" t="s">
        <v>260</v>
      </c>
      <c r="M3" s="3010" t="s">
        <v>260</v>
      </c>
      <c r="N3" s="3010" t="s">
        <v>260</v>
      </c>
      <c r="O3" s="3010" t="s">
        <v>260</v>
      </c>
      <c r="P3" s="3026" t="s">
        <v>260</v>
      </c>
      <c r="Q3" s="3010" t="s">
        <v>260</v>
      </c>
      <c r="R3" s="3026" t="s">
        <v>261</v>
      </c>
      <c r="S3" s="3010" t="s">
        <v>260</v>
      </c>
      <c r="T3" s="3010" t="s">
        <v>262</v>
      </c>
      <c r="U3" s="3010" t="s">
        <v>260</v>
      </c>
      <c r="V3" s="3010" t="s">
        <v>263</v>
      </c>
      <c r="W3" s="3010" t="s">
        <v>264</v>
      </c>
    </row>
    <row r="4" spans="1:23">
      <c r="A4" s="3015" t="s">
        <v>265</v>
      </c>
      <c r="B4" s="3015" t="s">
        <v>266</v>
      </c>
      <c r="C4" s="3016" t="s">
        <v>267</v>
      </c>
      <c r="D4" s="3010" t="s">
        <v>138</v>
      </c>
      <c r="E4" s="3010" t="s">
        <v>268</v>
      </c>
      <c r="F4" s="3010" t="s">
        <v>269</v>
      </c>
      <c r="G4" s="3010">
        <v>70</v>
      </c>
      <c r="H4" s="3010" t="s">
        <v>269</v>
      </c>
      <c r="I4" s="3010" t="s">
        <v>270</v>
      </c>
      <c r="K4" s="3010" t="s">
        <v>271</v>
      </c>
      <c r="L4" s="3010" t="s">
        <v>271</v>
      </c>
      <c r="M4" s="3010" t="s">
        <v>271</v>
      </c>
      <c r="N4" s="3010" t="s">
        <v>271</v>
      </c>
      <c r="O4" s="3010" t="s">
        <v>271</v>
      </c>
      <c r="P4" s="3026" t="s">
        <v>271</v>
      </c>
      <c r="Q4" s="3010" t="s">
        <v>271</v>
      </c>
      <c r="R4" s="3026" t="s">
        <v>272</v>
      </c>
      <c r="S4" s="3010" t="s">
        <v>271</v>
      </c>
      <c r="T4" s="3010" t="s">
        <v>273</v>
      </c>
      <c r="U4" s="3010" t="s">
        <v>271</v>
      </c>
      <c r="W4" s="3010" t="s">
        <v>274</v>
      </c>
    </row>
    <row r="5" spans="1:23">
      <c r="A5" s="3015" t="s">
        <v>275</v>
      </c>
      <c r="B5" s="3015" t="s">
        <v>276</v>
      </c>
      <c r="C5" s="3016" t="s">
        <v>277</v>
      </c>
      <c r="F5" s="3010" t="s">
        <v>278</v>
      </c>
      <c r="H5" s="3010" t="s">
        <v>279</v>
      </c>
      <c r="I5" s="3010" t="s">
        <v>280</v>
      </c>
      <c r="K5" s="3010" t="s">
        <v>281</v>
      </c>
      <c r="L5" s="3010" t="s">
        <v>281</v>
      </c>
      <c r="M5" s="3010" t="s">
        <v>281</v>
      </c>
      <c r="N5" s="3010" t="s">
        <v>281</v>
      </c>
      <c r="O5" s="3010" t="s">
        <v>281</v>
      </c>
      <c r="P5" s="3026" t="s">
        <v>281</v>
      </c>
      <c r="Q5" s="3010" t="s">
        <v>281</v>
      </c>
      <c r="R5" s="3026" t="s">
        <v>282</v>
      </c>
      <c r="S5" s="3010" t="s">
        <v>281</v>
      </c>
      <c r="T5" s="3010" t="s">
        <v>283</v>
      </c>
      <c r="U5" s="3010" t="s">
        <v>281</v>
      </c>
      <c r="W5" s="3010" t="s">
        <v>284</v>
      </c>
    </row>
    <row r="6" spans="1:23">
      <c r="A6" s="3015" t="s">
        <v>285</v>
      </c>
      <c r="B6" s="3018" t="s">
        <v>173</v>
      </c>
      <c r="C6" s="2419" t="s">
        <v>286</v>
      </c>
      <c r="F6" s="3010" t="s">
        <v>279</v>
      </c>
      <c r="H6" s="3010" t="s">
        <v>287</v>
      </c>
      <c r="I6" s="3010" t="s">
        <v>288</v>
      </c>
      <c r="K6" s="3010" t="s">
        <v>289</v>
      </c>
      <c r="L6" s="3010" t="s">
        <v>289</v>
      </c>
      <c r="M6" s="3010" t="s">
        <v>289</v>
      </c>
      <c r="N6" s="3010" t="s">
        <v>289</v>
      </c>
      <c r="O6" s="3010" t="s">
        <v>289</v>
      </c>
      <c r="P6" s="3026" t="s">
        <v>289</v>
      </c>
      <c r="Q6" s="3010" t="s">
        <v>289</v>
      </c>
      <c r="R6" s="3026" t="s">
        <v>290</v>
      </c>
      <c r="S6" s="3010" t="s">
        <v>289</v>
      </c>
      <c r="T6" s="3010"/>
      <c r="U6" s="3010" t="s">
        <v>289</v>
      </c>
      <c r="W6" s="3010" t="s">
        <v>291</v>
      </c>
    </row>
    <row r="7" spans="1:23">
      <c r="A7" s="3015" t="s">
        <v>292</v>
      </c>
      <c r="B7" s="3015" t="s">
        <v>293</v>
      </c>
      <c r="C7" s="3016" t="s">
        <v>294</v>
      </c>
      <c r="F7" s="3010" t="s">
        <v>295</v>
      </c>
      <c r="H7" s="3010" t="s">
        <v>278</v>
      </c>
      <c r="I7" s="3010" t="s">
        <v>296</v>
      </c>
    </row>
    <row r="8" spans="1:23">
      <c r="A8" s="3015" t="s">
        <v>297</v>
      </c>
      <c r="B8" s="3015" t="s">
        <v>298</v>
      </c>
      <c r="C8" s="3016" t="s">
        <v>299</v>
      </c>
      <c r="F8" s="3010" t="s">
        <v>300</v>
      </c>
      <c r="H8" s="3010"/>
      <c r="I8" s="3010" t="s">
        <v>301</v>
      </c>
    </row>
    <row r="9" spans="1:23">
      <c r="A9" s="3015" t="s">
        <v>302</v>
      </c>
      <c r="B9" s="3015" t="s">
        <v>303</v>
      </c>
      <c r="C9" s="3016" t="s">
        <v>304</v>
      </c>
      <c r="F9" s="3010" t="s">
        <v>287</v>
      </c>
      <c r="H9" s="3010"/>
    </row>
    <row r="10" spans="1:23">
      <c r="A10" s="3015" t="s">
        <v>305</v>
      </c>
      <c r="B10" s="3015" t="s">
        <v>306</v>
      </c>
      <c r="C10" s="3016" t="s">
        <v>307</v>
      </c>
      <c r="F10" s="3010" t="s">
        <v>138</v>
      </c>
    </row>
    <row r="11" spans="1:23">
      <c r="A11" s="3015" t="s">
        <v>308</v>
      </c>
      <c r="B11" s="3015" t="s">
        <v>309</v>
      </c>
      <c r="C11" s="3016" t="s">
        <v>310</v>
      </c>
    </row>
    <row r="12" spans="1:23">
      <c r="A12" s="3015" t="s">
        <v>311</v>
      </c>
      <c r="B12" s="3015" t="s">
        <v>312</v>
      </c>
      <c r="C12" s="3016" t="s">
        <v>313</v>
      </c>
    </row>
    <row r="13" spans="1:23">
      <c r="A13" s="3015" t="s">
        <v>314</v>
      </c>
      <c r="B13" s="3015" t="s">
        <v>315</v>
      </c>
      <c r="C13" s="3016" t="s">
        <v>316</v>
      </c>
    </row>
    <row r="14" spans="1:23">
      <c r="A14" s="3015" t="s">
        <v>317</v>
      </c>
      <c r="B14" s="3015" t="s">
        <v>318</v>
      </c>
      <c r="C14" s="3019" t="s">
        <v>138</v>
      </c>
    </row>
    <row r="15" spans="1:23">
      <c r="A15" s="3015" t="s">
        <v>319</v>
      </c>
      <c r="B15" s="3015" t="s">
        <v>320</v>
      </c>
      <c r="C15" s="3019"/>
    </row>
    <row r="16" spans="1:23">
      <c r="A16" s="3015" t="s">
        <v>321</v>
      </c>
      <c r="B16" s="3015" t="s">
        <v>322</v>
      </c>
      <c r="C16" s="3019"/>
    </row>
    <row r="17" spans="1:3">
      <c r="A17" s="3015" t="s">
        <v>323</v>
      </c>
      <c r="B17" s="3015" t="s">
        <v>324</v>
      </c>
      <c r="C17" s="3019"/>
    </row>
    <row r="18" spans="1:3">
      <c r="A18" s="3015" t="s">
        <v>325</v>
      </c>
      <c r="B18" s="3020" t="s">
        <v>326</v>
      </c>
      <c r="C18" s="3019"/>
    </row>
    <row r="19" spans="1:3">
      <c r="A19" s="3015" t="s">
        <v>327</v>
      </c>
      <c r="B19" s="3020" t="s">
        <v>328</v>
      </c>
      <c r="C19" s="3019"/>
    </row>
    <row r="20" spans="1:3">
      <c r="A20" s="3015" t="s">
        <v>279</v>
      </c>
      <c r="B20" s="3020" t="s">
        <v>329</v>
      </c>
      <c r="C20" s="3019"/>
    </row>
    <row r="21" spans="1:3">
      <c r="A21" s="3015" t="s">
        <v>330</v>
      </c>
      <c r="B21" s="3015" t="s">
        <v>331</v>
      </c>
      <c r="C21" s="3019"/>
    </row>
    <row r="22" spans="1:3">
      <c r="A22" s="3015" t="s">
        <v>332</v>
      </c>
      <c r="B22" s="3015" t="s">
        <v>331</v>
      </c>
      <c r="C22" s="3019"/>
    </row>
    <row r="23" spans="1:3">
      <c r="A23" s="3015" t="s">
        <v>333</v>
      </c>
      <c r="B23" s="3015" t="s">
        <v>331</v>
      </c>
      <c r="C23" s="3019"/>
    </row>
    <row r="24" spans="1:3">
      <c r="A24" s="3015" t="s">
        <v>138</v>
      </c>
      <c r="B24" s="3015" t="s">
        <v>331</v>
      </c>
      <c r="C24" s="3019"/>
    </row>
    <row r="25" spans="1:3">
      <c r="A25" s="3015" t="s">
        <v>334</v>
      </c>
      <c r="B25" s="3015" t="s">
        <v>331</v>
      </c>
      <c r="C25" s="3019"/>
    </row>
    <row r="26" spans="1:3">
      <c r="A26" s="3015" t="s">
        <v>335</v>
      </c>
      <c r="B26" s="3015" t="s">
        <v>331</v>
      </c>
      <c r="C26" s="3019"/>
    </row>
    <row r="27" spans="1:3">
      <c r="A27" s="3015" t="s">
        <v>331</v>
      </c>
      <c r="B27" s="3015" t="s">
        <v>331</v>
      </c>
      <c r="C27" s="3019"/>
    </row>
    <row r="28" spans="1:3">
      <c r="A28" s="3015" t="s">
        <v>331</v>
      </c>
      <c r="B28" s="3015" t="s">
        <v>331</v>
      </c>
      <c r="C28" s="3019"/>
    </row>
    <row r="29" spans="1:3">
      <c r="A29" s="3015" t="s">
        <v>331</v>
      </c>
      <c r="B29" s="3015" t="s">
        <v>331</v>
      </c>
      <c r="C29" s="3019"/>
    </row>
    <row r="30" spans="1:3">
      <c r="A30" s="3015" t="s">
        <v>331</v>
      </c>
      <c r="B30" s="3015" t="s">
        <v>331</v>
      </c>
      <c r="C30" s="3019"/>
    </row>
    <row r="31" spans="1:3">
      <c r="A31" s="3015" t="s">
        <v>331</v>
      </c>
      <c r="B31" s="3015" t="s">
        <v>331</v>
      </c>
      <c r="C31" s="3019"/>
    </row>
    <row r="32" spans="1:3">
      <c r="A32" s="3015" t="s">
        <v>331</v>
      </c>
      <c r="B32" s="3015" t="s">
        <v>331</v>
      </c>
      <c r="C32" s="3019"/>
    </row>
    <row r="33" spans="1:3">
      <c r="A33" s="3015" t="s">
        <v>331</v>
      </c>
      <c r="B33" s="3015" t="s">
        <v>331</v>
      </c>
      <c r="C33" s="3019"/>
    </row>
    <row r="34" spans="1:3">
      <c r="A34" s="3015" t="s">
        <v>331</v>
      </c>
      <c r="B34" s="3015" t="s">
        <v>331</v>
      </c>
      <c r="C34" s="3019"/>
    </row>
    <row r="35" spans="1:3">
      <c r="A35" s="3015" t="s">
        <v>331</v>
      </c>
      <c r="B35" s="3015" t="s">
        <v>331</v>
      </c>
      <c r="C35" s="3019"/>
    </row>
    <row r="36" spans="1:3">
      <c r="A36" s="3015" t="s">
        <v>331</v>
      </c>
      <c r="B36" s="3015" t="s">
        <v>331</v>
      </c>
      <c r="C36" s="3019"/>
    </row>
    <row r="37" spans="1:3">
      <c r="A37" s="3015" t="s">
        <v>331</v>
      </c>
      <c r="B37" s="3015" t="s">
        <v>331</v>
      </c>
      <c r="C37" s="3019"/>
    </row>
    <row r="38" spans="1:3">
      <c r="A38" s="3015" t="s">
        <v>331</v>
      </c>
      <c r="B38" s="3015" t="s">
        <v>331</v>
      </c>
      <c r="C38" s="3019"/>
    </row>
    <row r="39" spans="1:3">
      <c r="A39" s="3015" t="s">
        <v>331</v>
      </c>
      <c r="B39" s="3015" t="s">
        <v>331</v>
      </c>
      <c r="C39" s="3019"/>
    </row>
    <row r="40" spans="1:3">
      <c r="A40" s="3015" t="s">
        <v>331</v>
      </c>
      <c r="B40" s="3015" t="s">
        <v>331</v>
      </c>
      <c r="C40" s="3019"/>
    </row>
    <row r="41" spans="1:3">
      <c r="A41" s="3015" t="s">
        <v>331</v>
      </c>
      <c r="B41" s="3015" t="s">
        <v>331</v>
      </c>
      <c r="C41" s="3019"/>
    </row>
    <row r="42" spans="1:3">
      <c r="A42" s="3015" t="s">
        <v>331</v>
      </c>
      <c r="B42" s="3015" t="s">
        <v>331</v>
      </c>
      <c r="C42" s="3019"/>
    </row>
    <row r="43" spans="1:3">
      <c r="A43" s="3015" t="s">
        <v>331</v>
      </c>
      <c r="B43" s="3015" t="s">
        <v>331</v>
      </c>
      <c r="C43" s="3019"/>
    </row>
    <row r="44" spans="1:3">
      <c r="A44" s="3015" t="s">
        <v>331</v>
      </c>
      <c r="B44" s="3015" t="s">
        <v>331</v>
      </c>
      <c r="C44" s="3019"/>
    </row>
    <row r="45" spans="1:3">
      <c r="A45" s="3015" t="s">
        <v>331</v>
      </c>
      <c r="B45" s="3015" t="s">
        <v>331</v>
      </c>
      <c r="C45" s="3019"/>
    </row>
    <row r="46" spans="1:3">
      <c r="A46" s="3015" t="s">
        <v>331</v>
      </c>
      <c r="B46" s="3015" t="s">
        <v>331</v>
      </c>
      <c r="C46" s="3019"/>
    </row>
    <row r="47" spans="1:3">
      <c r="A47" s="3015" t="s">
        <v>331</v>
      </c>
      <c r="B47" s="3015" t="s">
        <v>331</v>
      </c>
      <c r="C47" s="3019"/>
    </row>
    <row r="48" spans="1:3">
      <c r="A48" s="3015" t="s">
        <v>331</v>
      </c>
      <c r="B48" s="3015" t="s">
        <v>331</v>
      </c>
      <c r="C48" s="3019"/>
    </row>
    <row r="49" spans="1:5">
      <c r="A49" s="3015" t="s">
        <v>331</v>
      </c>
      <c r="B49" s="3015" t="s">
        <v>331</v>
      </c>
      <c r="C49" s="3019"/>
    </row>
    <row r="50" spans="1:5">
      <c r="A50" s="3015" t="s">
        <v>331</v>
      </c>
      <c r="B50" s="3015" t="s">
        <v>331</v>
      </c>
      <c r="C50" s="3019"/>
    </row>
    <row r="51" spans="1:5">
      <c r="A51" s="3021" t="s">
        <v>336</v>
      </c>
      <c r="B51" s="3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文腾基础设施建设开发有限公司拟使用山东省寿光市文苑路以西、文庙街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3"/>
    </row>
    <row r="52" spans="1:5">
      <c r="A52" s="3021" t="s">
        <v>337</v>
      </c>
      <c r="B52" s="3024" t="s">
        <v>338</v>
      </c>
      <c r="C52" s="3022" t="s">
        <v>339</v>
      </c>
      <c r="D52" s="3022" t="s">
        <v>340</v>
      </c>
      <c r="E52" s="3023"/>
    </row>
    <row r="53" spans="1:5">
      <c r="A53" s="3177" t="s">
        <v>341</v>
      </c>
      <c r="B53" s="3022" t="s">
        <v>342</v>
      </c>
      <c r="C53" s="3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c r="D53" s="3023"/>
      <c r="E53" s="3023"/>
    </row>
    <row r="54" spans="1:5">
      <c r="A54" s="3177"/>
      <c r="B54" s="3022" t="s">
        <v>343</v>
      </c>
      <c r="C54" s="3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3"/>
      <c r="E54" s="3023"/>
    </row>
    <row r="55" spans="1:5">
      <c r="A55" s="3177"/>
      <c r="B55" s="3022" t="s">
        <v>344</v>
      </c>
      <c r="C55" s="3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3"/>
      <c r="E55" s="3023"/>
    </row>
    <row r="56" spans="1:5">
      <c r="A56" s="3177"/>
      <c r="B56" s="3022" t="s">
        <v>345</v>
      </c>
      <c r="C56" s="3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3"/>
      <c r="E56" s="3023"/>
    </row>
    <row r="57" spans="1:5">
      <c r="A57" s="3177"/>
      <c r="B57" s="3022" t="s">
        <v>346</v>
      </c>
      <c r="C57" s="3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3"/>
      <c r="E57" s="3023"/>
    </row>
    <row r="58" spans="1:5">
      <c r="A58" s="3025" t="s">
        <v>347</v>
      </c>
      <c r="B58" s="3022" t="s">
        <v>348</v>
      </c>
      <c r="C58" s="2218" t="s">
        <v>349</v>
      </c>
      <c r="D58" s="2310" t="s">
        <v>350</v>
      </c>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2019-05-21T02:36:48Z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