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租金" sheetId="81"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案例" sheetId="80" r:id="rId44"/>
    <sheet name="信息" sheetId="82" r:id="rId45"/>
    <sheet name="成本法 (元)" sheetId="69" r:id="rId46"/>
    <sheet name="基准地价修正" sheetId="43" r:id="rId47"/>
    <sheet name="比较法-办公" sheetId="34" r:id="rId48"/>
  </sheets>
  <externalReferences>
    <externalReference r:id="rId49"/>
  </externalReferences>
  <definedNames>
    <definedName name="_xlnm._FilterDatabase" localSheetId="4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3" hidden="1">'比较法-租金'!$A$1:$L$50</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4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'比较法-租金'!$A$1:$K$55,'比较法-租金'!$A$58:$M$132</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 i="1" l="1"/>
  <c r="D14" i="9" l="1"/>
  <c r="J75" i="9" l="1"/>
  <c r="N6" i="1" l="1"/>
  <c r="N19" i="1"/>
  <c r="AF6" i="1" l="1"/>
  <c r="C75" i="9" l="1"/>
  <c r="C66" i="9" l="1"/>
  <c r="G117" i="34"/>
  <c r="F117" i="34"/>
  <c r="E117" i="34"/>
  <c r="D117" i="34"/>
  <c r="C117" i="34"/>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C34" i="81"/>
  <c r="J34" i="81" s="1"/>
  <c r="AC34" i="81" s="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N57" i="43"/>
  <c r="M57" i="43"/>
  <c r="K57" i="43"/>
  <c r="J57" i="43"/>
  <c r="D57" i="43"/>
  <c r="M56" i="43"/>
  <c r="N56" i="43" s="1"/>
  <c r="K56" i="43"/>
  <c r="J56" i="43" s="1"/>
  <c r="D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W34" i="34" s="1"/>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D7" i="74"/>
  <c r="B7" i="74"/>
  <c r="B3" i="74"/>
  <c r="B2" i="74"/>
  <c r="C24" i="20"/>
  <c r="C22" i="20"/>
  <c r="B100" i="43" s="1"/>
  <c r="C21" i="20"/>
  <c r="B76" i="43" s="1"/>
  <c r="G20" i="20"/>
  <c r="C20" i="20"/>
  <c r="B79" i="43" s="1"/>
  <c r="G19" i="20"/>
  <c r="G18" i="20"/>
  <c r="C18" i="20"/>
  <c r="B73" i="43" s="1"/>
  <c r="C17" i="20"/>
  <c r="B61" i="43" s="1"/>
  <c r="G16" i="20"/>
  <c r="C16" i="20"/>
  <c r="G15" i="20"/>
  <c r="C15" i="20"/>
  <c r="B52" i="1"/>
  <c r="B43" i="1"/>
  <c r="C42" i="1"/>
  <c r="C31" i="12" s="1"/>
  <c r="B41" i="1"/>
  <c r="B31" i="1"/>
  <c r="B24" i="1"/>
  <c r="B23" i="1"/>
  <c r="B22"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F9" i="15"/>
  <c r="F43" i="15"/>
  <c r="M8" i="15"/>
  <c r="B7" i="76"/>
  <c r="L47" i="15"/>
  <c r="E13" i="76"/>
  <c r="E2" i="68"/>
  <c r="F38" i="15"/>
  <c r="D3" i="73"/>
  <c r="F7" i="73"/>
  <c r="D7" i="73"/>
  <c r="F42" i="15"/>
  <c r="D2" i="21"/>
  <c r="E12" i="76"/>
  <c r="F4" i="73"/>
  <c r="F6" i="73"/>
  <c r="E9" i="76"/>
  <c r="D5" i="73"/>
  <c r="AO7" i="1"/>
  <c r="D2" i="37"/>
  <c r="D2" i="33"/>
  <c r="B13" i="76"/>
  <c r="M28" i="15"/>
  <c r="M22" i="15"/>
  <c r="B8" i="76"/>
  <c r="F35" i="15"/>
  <c r="D2" i="81"/>
  <c r="F7" i="15"/>
  <c r="F13" i="15"/>
  <c r="M9" i="15"/>
  <c r="AO10" i="1"/>
  <c r="M23" i="15"/>
  <c r="E10" i="76"/>
  <c r="B11" i="76"/>
  <c r="E7" i="76"/>
  <c r="F3" i="73"/>
  <c r="M29" i="15"/>
  <c r="M26" i="15"/>
  <c r="F5" i="73"/>
  <c r="AO9" i="1"/>
  <c r="AO11" i="1"/>
  <c r="D2" i="35"/>
  <c r="M21" i="15"/>
  <c r="AO12" i="1"/>
  <c r="B10" i="76"/>
  <c r="D4" i="73"/>
  <c r="F8" i="15"/>
  <c r="M27" i="15"/>
  <c r="C14" i="15"/>
  <c r="F40" i="15"/>
  <c r="E8" i="76"/>
  <c r="F16" i="15"/>
  <c r="B9" i="76"/>
  <c r="E11" i="76"/>
  <c r="F37" i="15"/>
  <c r="D6" i="73"/>
  <c r="J15" i="15"/>
  <c r="F36" i="15"/>
  <c r="F26" i="15"/>
  <c r="B12" i="76"/>
  <c r="L48" i="15"/>
  <c r="AO8" i="1"/>
  <c r="M6" i="15"/>
  <c r="M24" i="15"/>
  <c r="C76" i="15"/>
  <c r="AO13" i="1"/>
  <c r="F20" i="31"/>
  <c r="D2" i="36"/>
  <c r="B58" i="43" l="1"/>
  <c r="B101" i="43"/>
  <c r="B56" i="43"/>
  <c r="B67" i="43"/>
  <c r="C27" i="39"/>
  <c r="B99" i="43"/>
  <c r="C18" i="9"/>
  <c r="D18" i="9" s="1"/>
  <c r="BB5" i="3"/>
  <c r="E14" i="6" s="1"/>
  <c r="T7" i="1"/>
  <c r="AQ7" i="1"/>
  <c r="B3" i="36"/>
  <c r="F34" i="81"/>
  <c r="AA34" i="81" s="1"/>
  <c r="H34" i="8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I6" i="3" s="1"/>
  <c r="BA5" i="3"/>
  <c r="E27" i="6" s="1"/>
  <c r="K19" i="6" s="1"/>
  <c r="AZ13" i="3"/>
  <c r="AZ5" i="3" s="1"/>
  <c r="E12" i="6"/>
  <c r="E10" i="6"/>
  <c r="E13" i="6"/>
  <c r="E15" i="6"/>
  <c r="E11" i="6"/>
  <c r="E8" i="6"/>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F13" i="67"/>
  <c r="J15" i="67"/>
  <c r="M22" i="67"/>
  <c r="G1" i="73"/>
  <c r="F42" i="67"/>
  <c r="F9" i="67"/>
  <c r="M9" i="67"/>
  <c r="F38" i="67"/>
  <c r="M28" i="67"/>
  <c r="M8" i="67"/>
  <c r="C17" i="15"/>
  <c r="M23" i="67"/>
  <c r="F36" i="67"/>
  <c r="F26" i="67"/>
  <c r="F37" i="67"/>
  <c r="F7" i="67"/>
  <c r="F40" i="67"/>
  <c r="C16" i="15"/>
  <c r="L47" i="67"/>
  <c r="L48" i="67"/>
  <c r="M6" i="67"/>
  <c r="M26" i="67"/>
  <c r="M29" i="67"/>
  <c r="M24" i="67"/>
  <c r="F16" i="67"/>
  <c r="F8" i="67"/>
  <c r="C76" i="67"/>
  <c r="F43" i="67"/>
  <c r="C15" i="12" l="1"/>
  <c r="B40" i="1"/>
  <c r="L36" i="43" s="1"/>
  <c r="U34" i="81"/>
  <c r="AB34" i="81"/>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F1" i="15"/>
  <c r="Q52" i="15"/>
  <c r="Q74" i="15"/>
  <c r="Q61" i="15"/>
  <c r="C19" i="69"/>
  <c r="Q73" i="15"/>
  <c r="Q60" i="15"/>
  <c r="F119" i="9"/>
  <c r="F5" i="52" s="1"/>
  <c r="B53" i="72" s="1"/>
  <c r="F4" i="52"/>
  <c r="B51" i="72" s="1"/>
  <c r="M11" i="67"/>
  <c r="F11" i="67"/>
  <c r="F11" i="15"/>
  <c r="C53" i="15" s="1"/>
  <c r="M11" i="15"/>
  <c r="J10" i="15" s="1"/>
  <c r="J5" i="15" s="1"/>
  <c r="Q66" i="15"/>
  <c r="Q57" i="15"/>
  <c r="C49" i="15"/>
  <c r="C14" i="67"/>
  <c r="C16" i="67"/>
  <c r="AE6" i="1"/>
  <c r="C17" i="67"/>
  <c r="F41" i="15"/>
  <c r="F25" i="12" l="1"/>
  <c r="C26" i="12" s="1"/>
  <c r="D25" i="12" s="1"/>
  <c r="F22" i="11"/>
  <c r="C44" i="11" s="1"/>
  <c r="D41" i="11" s="1"/>
  <c r="F24" i="15"/>
  <c r="C24" i="15" s="1"/>
  <c r="F22" i="69"/>
  <c r="C24" i="69" s="1"/>
  <c r="F24" i="67"/>
  <c r="C24" i="67" s="1"/>
  <c r="F22" i="68"/>
  <c r="F41" i="68" s="1"/>
  <c r="H6" i="3"/>
  <c r="S24" i="6"/>
  <c r="AC6" i="3"/>
  <c r="E6" i="3" s="1"/>
  <c r="M27"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15"/>
  <c r="J26" i="15"/>
  <c r="J29" i="15" s="1"/>
  <c r="J24" i="15"/>
  <c r="J17" i="15"/>
  <c r="C61" i="15"/>
  <c r="C48" i="15"/>
  <c r="C20" i="15"/>
  <c r="C26" i="15" s="1"/>
  <c r="L37" i="43"/>
  <c r="P36" i="43"/>
  <c r="O36" i="43"/>
  <c r="N36" i="43"/>
  <c r="Q36" i="43"/>
  <c r="M36" i="43"/>
  <c r="F41" i="67"/>
  <c r="M27" i="67"/>
  <c r="C26" i="68" l="1"/>
  <c r="D22" i="68" s="1"/>
  <c r="C23" i="11"/>
  <c r="C24" i="11"/>
  <c r="C44" i="69"/>
  <c r="D41" i="69" s="1"/>
  <c r="C44" i="68"/>
  <c r="D41" i="68" s="1"/>
  <c r="C26" i="11"/>
  <c r="D22" i="11" s="1"/>
  <c r="C26" i="69"/>
  <c r="D22" i="69" s="1"/>
  <c r="C25" i="11"/>
  <c r="F41" i="69"/>
  <c r="F69" i="67"/>
  <c r="H22" i="6"/>
  <c r="C19" i="67"/>
  <c r="C20" i="67" s="1"/>
  <c r="C26" i="67" s="1"/>
  <c r="L28" i="1"/>
  <c r="L26" i="1" s="1"/>
  <c r="N27"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P37" i="43"/>
  <c r="O37" i="43"/>
  <c r="N37" i="43"/>
  <c r="Q37" i="43"/>
  <c r="M37" i="43"/>
  <c r="C22" i="11" l="1"/>
  <c r="C31" i="11" s="1"/>
  <c r="C23" i="67"/>
  <c r="C29" i="67" s="1"/>
  <c r="J14" i="67" s="1"/>
  <c r="C10" i="69"/>
  <c r="D19" i="69"/>
  <c r="D37" i="69" s="1"/>
  <c r="C37" i="69" s="1"/>
  <c r="C33" i="69" s="1"/>
  <c r="C39" i="69" s="1"/>
  <c r="C43" i="69" s="1"/>
  <c r="L32" i="1"/>
  <c r="L25" i="1"/>
  <c r="L29" i="1"/>
  <c r="N29" i="1" s="1"/>
  <c r="L30" i="1"/>
  <c r="N30" i="1" s="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B2" i="43" s="1"/>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B6" i="76"/>
  <c r="F35" i="67"/>
  <c r="M21" i="67"/>
  <c r="E6" i="76"/>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AO6" i="1"/>
  <c r="E2" i="69"/>
  <c r="B2" i="69" l="1"/>
  <c r="B3" i="34"/>
  <c r="B6" i="70"/>
  <c r="B2" i="70" s="1"/>
  <c r="B3" i="70" s="1"/>
  <c r="N65" i="40"/>
  <c r="O63" i="40"/>
  <c r="O65" i="40" s="1"/>
  <c r="N69" i="39"/>
  <c r="O67" i="39"/>
  <c r="O69" i="39" s="1"/>
  <c r="D19" i="9"/>
  <c r="C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D45" i="9" s="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<sst xmlns="http://schemas.openxmlformats.org/spreadsheetml/2006/main" count="8279" uniqueCount="2785">
  <si>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</si>
  <si>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</si>
  <si>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</si>
  <si>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</si>
  <si>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</si>
  <si>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</si>
  <si>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</si>
  <si>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</si>
  <si>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</si>
  <si>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</si>
  <si>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</si>
  <si>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</si>
  <si>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</si>
  <si>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</si>
  <si>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</si>
  <si>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</si>
  <si>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</si>
  <si>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</si>
  <si>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</si>
  <si>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</si>
  <si>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</si>
  <si>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</si>
  <si>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</si>
  <si>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</si>
  <si>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</si>
  <si>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</si>
  <si>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</si>
  <si>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</si>
  <si>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</si>
  <si>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</si>
  <si>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</si>
  <si>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</si>
  <si>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</si>
  <si>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</si>
  <si>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</si>
  <si>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</si>
  <si>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</si>
  <si>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</si>
  <si>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</si>
  <si>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</si>
  <si>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</si>
  <si>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</si>
  <si>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</si>
  <si>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</si>
  <si>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</si>
  <si>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</si>
  <si>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</si>
  <si>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</si>
  <si>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</si>
  <si>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</si>
  <si>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</si>
  <si>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</si>
  <si>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</si>
  <si>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</si>
  <si>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</si>
  <si>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</si>
  <si>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</si>
  <si>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</si>
  <si>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</si>
  <si>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</si>
  <si>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</si>
  <si>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</si>
  <si>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</si>
  <si>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</si>
  <si>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</si>
  <si>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</si>
  <si>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</si>
  <si>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</si>
  <si>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</si>
  <si>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</si>
  <si>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</si>
  <si>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</si>
  <si>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</si>
  <si>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</si>
  <si>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</si>
  <si>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</si>
  <si>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</si>
  <si>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</si>
  <si>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</si>
  <si>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</si>
  <si>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</si>
  <si>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</si>
  <si>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</si>
  <si>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</si>
  <si>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</si>
  <si>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</si>
  <si>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</si>
  <si>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</si>
  <si>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</si>
  <si>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</si>
  <si>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</si>
  <si>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</si>
  <si>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</si>
  <si>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</si>
  <si>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</si>
  <si>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</si>
  <si>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</si>
  <si>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</si>
  <si>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</si>
  <si>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</si>
  <si>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</si>
  <si>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</si>
  <si>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</si>
  <si>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</si>
  <si>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</si>
  <si>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</si>
  <si>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</si>
  <si>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</si>
  <si>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</si>
  <si>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</si>
  <si>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</si>
  <si>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</si>
  <si>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</si>
  <si>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</si>
  <si>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</si>
  <si>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</si>
  <si>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</si>
  <si>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</si>
  <si>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</si>
  <si>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</si>
  <si>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</si>
  <si>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</si>
  <si>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</si>
  <si>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</si>
  <si>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</si>
  <si>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</si>
  <si>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</si>
  <si>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</si>
  <si>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</si>
  <si>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</si>
  <si>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</si>
  <si>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</si>
  <si>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</si>
  <si>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</si>
  <si>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</si>
  <si>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</si>
  <si>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</si>
  <si>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</si>
  <si>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</si>
  <si>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</si>
  <si>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</si>
  <si>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</si>
  <si>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</si>
  <si>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</si>
  <si>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</si>
  <si>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</si>
  <si>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</si>
  <si>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</si>
  <si>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</si>
  <si>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</si>
  <si>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</si>
  <si>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</si>
  <si>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</si>
  <si>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</si>
  <si>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</si>
  <si>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</si>
  <si>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</si>
  <si>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</si>
  <si>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</si>
  <si>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</si>
  <si>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</si>
  <si>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</si>
  <si>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</si>
  <si>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</si>
  <si>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</si>
  <si>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</si>
  <si>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</si>
  <si>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</si>
  <si>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</si>
  <si>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</si>
  <si>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</si>
  <si>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</si>
  <si>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</si>
  <si>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</si>
  <si>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</si>
  <si>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</si>
  <si>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</si>
  <si>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</si>
  <si>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</si>
  <si>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</si>
  <si>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</si>
  <si>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</si>
  <si>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</si>
  <si>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</si>
  <si>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</si>
  <si>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</si>
  <si>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</si>
  <si>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</si>
  <si>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</si>
  <si>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</si>
  <si>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</si>
  <si>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</si>
  <si>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</si>
  <si>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</si>
  <si>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</si>
  <si>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</si>
  <si>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</si>
  <si>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</si>
  <si>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</si>
  <si>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</si>
  <si>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</si>
  <si>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</si>
  <si>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</si>
  <si>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</si>
  <si>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</si>
  <si>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</si>
  <si>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</si>
  <si>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</si>
  <si>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</si>
  <si>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</si>
  <si>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</si>
  <si>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</si>
  <si>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</si>
  <si>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</si>
  <si>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</si>
  <si>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</si>
  <si>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</si>
  <si>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</si>
  <si>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</si>
  <si>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</si>
  <si>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</si>
  <si>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</si>
  <si>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</si>
  <si>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</si>
  <si>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</si>
  <si>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</si>
  <si>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</si>
  <si>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</si>
  <si>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</si>
  <si>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</si>
  <si>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</si>
  <si>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</si>
  <si>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</si>
  <si>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</si>
  <si>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</si>
  <si>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</si>
  <si>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</si>
  <si>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</si>
  <si>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</si>
  <si>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</si>
  <si>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</si>
  <si>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</si>
  <si>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</si>
  <si>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</si>
  <si>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</si>
  <si>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</si>
  <si>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</si>
  <si>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</si>
  <si>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</si>
  <si>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</si>
  <si>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</si>
  <si>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</si>
  <si>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</si>
  <si>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</si>
  <si>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</si>
  <si>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</si>
  <si>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</si>
  <si>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</si>
  <si>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</si>
  <si>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</si>
  <si>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</si>
  <si>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</si>
  <si>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</si>
  <si>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</si>
  <si>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</si>
  <si>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</si>
  <si>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</si>
  <si>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</si>
  <si>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</si>
  <si>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</si>
  <si>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</si>
  <si>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</si>
  <si>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</si>
  <si>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</si>
  <si>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</si>
  <si>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</si>
  <si>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</si>
  <si>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</si>
  <si>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</si>
  <si>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</si>
  <si>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</si>
  <si>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</si>
  <si>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</si>
  <si>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</si>
  <si>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</si>
  <si>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</si>
  <si>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</si>
  <si>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</si>
  <si>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</si>
  <si>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</si>
  <si>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</si>
  <si>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</si>
  <si>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</si>
  <si>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</si>
  <si>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</si>
  <si>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</si>
  <si>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</si>
  <si>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</si>
  <si>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</si>
  <si>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</si>
  <si>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</si>
  <si>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</si>
  <si>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</si>
  <si>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</si>
  <si>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</si>
  <si>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</si>
  <si>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</si>
  <si>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</si>
  <si>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</si>
  <si>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</si>
  <si>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</si>
  <si>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</si>
  <si>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</si>
  <si>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</si>
  <si>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</si>
  <si>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</si>
  <si>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</si>
  <si>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</si>
  <si>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</si>
  <si>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</si>
  <si>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</si>
  <si>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</si>
  <si>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</si>
  <si>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</si>
  <si>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</si>
  <si>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</si>
  <si>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</si>
  <si>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</si>
  <si>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</si>
  <si>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</si>
  <si>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</si>
  <si>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</si>
  <si>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</si>
  <si>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</si>
  <si>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</si>
  <si>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</si>
  <si>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</si>
  <si>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</si>
  <si>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</si>
  <si>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</si>
  <si>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</si>
  <si>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</si>
  <si>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</si>
  <si>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</si>
  <si>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</si>
  <si>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</si>
  <si>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</si>
  <si>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</si>
  <si>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</si>
  <si>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</si>
  <si>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</si>
  <si>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</si>
  <si>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</si>
  <si>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</si>
  <si>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</si>
  <si>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</si>
  <si>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</si>
  <si>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</si>
  <si>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</si>
  <si>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</si>
  <si>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</si>
  <si>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</si>
  <si>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</si>
  <si>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</si>
  <si>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</si>
  <si>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</si>
  <si>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</si>
  <si>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</si>
  <si>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</si>
  <si>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</si>
  <si>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</si>
  <si>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</si>
  <si>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</si>
  <si>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</si>
  <si>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</si>
  <si>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</si>
  <si>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</si>
  <si>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</si>
  <si>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</si>
  <si>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</si>
  <si>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</si>
  <si>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</si>
  <si>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</si>
  <si>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</si>
  <si>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</si>
  <si>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</si>
  <si>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</si>
  <si>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</si>
  <si>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</si>
  <si>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</si>
  <si>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</si>
  <si>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</si>
  <si>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</si>
  <si>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</si>
  <si>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</si>
  <si>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</si>
  <si>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</si>
  <si>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</si>
  <si>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</si>
  <si>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</si>
  <si>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</si>
  <si>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</si>
  <si>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</si>
  <si>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</si>
  <si>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</si>
  <si>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</si>
  <si>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</si>
  <si>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</si>
  <si>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</si>
  <si>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</si>
  <si>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</si>
  <si>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</si>
  <si>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</si>
  <si>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</si>
  <si>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</si>
  <si>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</si>
  <si>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</si>
  <si>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</si>
  <si>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</si>
  <si>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</si>
  <si>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</si>
  <si>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</si>
  <si>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</si>
  <si>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</si>
  <si>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</si>
  <si>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</si>
  <si>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</si>
  <si>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</si>
  <si>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</si>
  <si>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</si>
  <si>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</si>
  <si>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</si>
  <si>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</si>
  <si>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</si>
  <si>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</si>
  <si>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</si>
  <si>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</si>
  <si>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</si>
  <si>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</si>
  <si>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</si>
  <si>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</si>
  <si>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</si>
  <si>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</si>
  <si>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</si>
  <si>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</si>
  <si>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</si>
  <si>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</si>
  <si>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</si>
  <si>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</si>
  <si>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</si>
  <si>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</si>
  <si>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</si>
  <si>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</si>
  <si>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</si>
  <si>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</si>
  <si>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</si>
  <si>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</si>
  <si>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</si>
  <si>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</si>
  <si>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</si>
  <si>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</si>
  <si>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</si>
  <si>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</si>
  <si>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</si>
  <si>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</si>
  <si>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</si>
  <si>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</si>
  <si>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</si>
  <si>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</si>
  <si>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</si>
  <si>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</si>
  <si>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</si>
  <si>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</si>
  <si>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</si>
  <si>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</si>
  <si>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</si>
  <si>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</si>
  <si>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</si>
  <si>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</si>
  <si>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</si>
  <si>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</si>
  <si>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</si>
  <si>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</si>
  <si>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</si>
  <si>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</si>
  <si>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</si>
  <si>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</si>
  <si>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</si>
  <si>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</si>
  <si>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</si>
  <si>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</si>
  <si>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</si>
  <si>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</si>
  <si>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</si>
  <si>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</si>
  <si>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</si>
  <si>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</si>
  <si>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</si>
  <si>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</si>
  <si>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</si>
  <si>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</si>
  <si>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</si>
  <si>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</si>
  <si>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</si>
  <si>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</si>
  <si>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</si>
  <si>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</si>
  <si>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</si>
  <si>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</si>
  <si>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</si>
  <si>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</si>
  <si>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</si>
  <si>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</si>
  <si>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</si>
  <si>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</si>
  <si>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</si>
  <si>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</si>
  <si>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</si>
  <si>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</si>
  <si>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</si>
  <si>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</si>
  <si>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</si>
  <si>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</si>
  <si>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</si>
  <si>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</si>
  <si>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</si>
  <si>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</si>
  <si>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</si>
  <si>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</si>
  <si>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</si>
  <si>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</si>
  <si>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</si>
  <si>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</si>
  <si>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</si>
  <si>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</si>
  <si>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</si>
  <si>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</si>
  <si>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</si>
  <si>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</si>
  <si>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</si>
  <si>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</si>
  <si>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</si>
  <si>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</si>
  <si>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</si>
  <si>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</si>
  <si>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</si>
  <si>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</si>
  <si>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</si>
  <si>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</si>
  <si>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</si>
  <si>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</si>
  <si>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</si>
  <si>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</si>
  <si>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</si>
  <si>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</si>
  <si>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</si>
  <si>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</si>
  <si>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</si>
  <si>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</si>
  <si>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</si>
  <si>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</si>
  <si>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</si>
  <si>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</si>
  <si>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</si>
  <si>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</si>
  <si>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</si>
  <si>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</si>
  <si>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</si>
  <si>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</si>
  <si>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</si>
  <si>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</si>
  <si>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</si>
  <si>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</si>
  <si>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</si>
  <si>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</si>
  <si>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</si>
  <si>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</si>
  <si>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</si>
  <si>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</si>
  <si>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</si>
  <si>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</si>
  <si>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</si>
  <si>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</si>
  <si>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</si>
  <si>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</si>
  <si>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</si>
  <si>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</si>
  <si>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</si>
  <si>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</si>
  <si>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</si>
  <si>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</si>
  <si>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</si>
  <si>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</si>
  <si>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</si>
  <si>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</si>
  <si>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</si>
  <si>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</si>
  <si>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</si>
  <si>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</si>
  <si>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</si>
  <si>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</si>
  <si>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</si>
  <si>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</si>
  <si>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</si>
  <si>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</si>
  <si>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</si>
  <si>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</si>
  <si>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</si>
  <si>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</si>
  <si>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</si>
  <si>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</si>
  <si>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</si>
  <si>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</si>
  <si>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</si>
  <si>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</si>
  <si>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</si>
  <si>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</si>
  <si>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</si>
  <si>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</si>
  <si>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</si>
  <si>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</si>
  <si>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</si>
  <si>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</si>
  <si>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</si>
  <si>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</si>
  <si>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</si>
  <si>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</si>
  <si>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</si>
  <si>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</si>
  <si>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</si>
  <si>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</si>
  <si>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</si>
  <si>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</si>
  <si>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</si>
  <si>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</si>
  <si>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</si>
  <si>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</si>
  <si>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</si>
  <si>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</si>
  <si>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</si>
  <si>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</si>
  <si>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</si>
  <si>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</si>
  <si>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</si>
  <si>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</si>
  <si>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</si>
  <si>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</si>
  <si>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</si>
  <si>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</si>
  <si>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</si>
  <si>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</si>
  <si>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</si>
  <si>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</si>
  <si>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</si>
  <si>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</si>
  <si>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</si>
  <si>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</si>
  <si>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</si>
  <si>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</si>
  <si>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</si>
  <si>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</si>
  <si>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</si>
  <si>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</si>
  <si>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</si>
  <si>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</si>
  <si>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</si>
  <si>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</si>
  <si>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</si>
  <si>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</si>
  <si>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</si>
  <si>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</si>
  <si>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</si>
  <si>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</si>
  <si>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</si>
  <si>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</si>
  <si>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</si>
  <si>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</si>
  <si>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</si>
  <si>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</si>
  <si>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</si>
  <si>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</si>
  <si>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</si>
  <si>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</si>
  <si>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</si>
  <si>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</si>
  <si>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</si>
  <si>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</si>
  <si>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</si>
  <si>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</si>
  <si>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</si>
  <si>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</si>
  <si>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</si>
  <si>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</si>
  <si>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</si>
  <si>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</si>
  <si>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</si>
  <si>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</si>
  <si>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</si>
  <si>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</si>
  <si>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</si>
  <si>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</si>
  <si>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</si>
  <si>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</si>
  <si>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</si>
  <si>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</si>
  <si>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</si>
  <si>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</si>
  <si>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</si>
  <si>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</si>
  <si>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</si>
  <si>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</si>
  <si>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</si>
  <si>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</si>
  <si>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</si>
  <si>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</si>
  <si>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</si>
  <si>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</si>
  <si>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</si>
  <si>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</si>
  <si>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</si>
  <si>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</si>
  <si>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</si>
  <si>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</si>
  <si>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</si>
  <si>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</si>
  <si>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</si>
  <si>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</si>
  <si>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</si>
  <si>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</si>
  <si>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</si>
  <si>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</si>
  <si>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</si>
  <si>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</si>
  <si>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</si>
  <si>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</si>
  <si>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</si>
  <si>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</si>
  <si>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</si>
  <si>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</si>
  <si>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</si>
  <si>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</si>
  <si>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</si>
  <si>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</si>
  <si>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</si>
  <si>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</si>
  <si>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</si>
  <si>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</si>
  <si>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</si>
  <si>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</si>
  <si>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</si>
  <si>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</si>
  <si>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</si>
  <si>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</si>
  <si>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</si>
  <si>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</si>
  <si>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</si>
  <si>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</si>
  <si>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</si>
  <si>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</si>
  <si>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</si>
  <si>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</si>
  <si>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</si>
  <si>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</si>
  <si>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</si>
  <si>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</si>
  <si>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</si>
  <si>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</si>
  <si>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</si>
  <si>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</si>
  <si>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</si>
  <si>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</si>
  <si>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</si>
  <si>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</si>
  <si>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</si>
  <si>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</si>
  <si>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</si>
  <si>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</si>
  <si>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</si>
  <si>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</si>
  <si>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</si>
  <si>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</si>
  <si>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</si>
  <si>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</si>
  <si>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</si>
  <si>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</si>
  <si>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</si>
  <si>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</si>
  <si>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</si>
  <si>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</si>
  <si>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</si>
  <si>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</si>
  <si>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</si>
  <si>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</si>
  <si>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</si>
  <si>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</si>
  <si>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</si>
  <si>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</si>
  <si>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</si>
  <si>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</si>
  <si>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</si>
  <si>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</si>
  <si>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</si>
  <si>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</si>
  <si>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</si>
  <si>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</si>
  <si>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</si>
  <si>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</si>
  <si>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</si>
  <si>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</si>
  <si>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</si>
  <si>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</si>
  <si>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</si>
  <si>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</si>
  <si>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</si>
  <si>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</si>
  <si>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</si>
  <si>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</si>
  <si>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</si>
  <si>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</si>
  <si>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</si>
  <si>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</si>
  <si>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</si>
  <si>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</si>
  <si>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</si>
  <si>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</si>
  <si>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</si>
  <si>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</si>
  <si>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</si>
  <si>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</si>
  <si>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</si>
  <si>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</si>
  <si>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</si>
  <si>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</si>
  <si>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</si>
  <si>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</si>
  <si>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</si>
  <si>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</si>
  <si>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</si>
  <si>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</si>
  <si>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</si>
  <si>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</si>
  <si>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</si>
  <si>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</si>
  <si>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</si>
  <si>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</si>
  <si>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</si>
  <si>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</si>
  <si>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</si>
  <si>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</si>
  <si>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</si>
  <si>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</si>
  <si>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</si>
  <si>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</si>
  <si>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</si>
  <si>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</si>
  <si>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</si>
  <si>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</si>
  <si>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</si>
  <si>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</si>
  <si>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</si>
  <si>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</si>
  <si>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</si>
  <si>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</si>
  <si>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</si>
  <si>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</si>
  <si>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</si>
  <si>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</si>
  <si>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</si>
  <si>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</si>
  <si>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</si>
  <si>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</si>
  <si>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</si>
  <si>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</si>
  <si>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</si>
  <si>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</si>
  <si>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</si>
  <si>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</si>
  <si>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</si>
  <si>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</si>
  <si>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</si>
  <si>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</si>
  <si>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</si>
  <si>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</si>
  <si>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</si>
  <si>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</si>
  <si>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</si>
  <si>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</si>
  <si>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</si>
  <si>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</si>
  <si>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</si>
  <si>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</si>
  <si>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</si>
  <si>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</si>
  <si>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</si>
  <si>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</si>
  <si>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</si>
  <si>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</si>
  <si>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</si>
  <si>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</si>
  <si>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</si>
  <si>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</si>
  <si>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</si>
  <si>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</si>
  <si>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</si>
  <si>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</si>
  <si>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</si>
  <si>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</si>
  <si>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</si>
  <si>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</si>
  <si>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</si>
  <si>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</si>
  <si>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</si>
  <si>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</si>
  <si>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</si>
  <si>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</si>
  <si>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</si>
  <si>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</si>
  <si>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</si>
  <si>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</si>
  <si>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</si>
  <si>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</si>
  <si>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</si>
  <si>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</si>
  <si>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</si>
  <si>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</si>
  <si>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</si>
  <si>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</si>
  <si>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</si>
  <si>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</si>
  <si>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</si>
  <si>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</si>
  <si>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</si>
  <si>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</si>
  <si>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</si>
  <si>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</si>
  <si>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</si>
  <si>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</si>
  <si>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</si>
  <si>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</si>
  <si>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</si>
  <si>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</si>
  <si>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</si>
  <si>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</si>
  <si>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</si>
  <si>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</si>
  <si>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</si>
  <si>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</si>
  <si>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</si>
  <si>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</si>
  <si>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</si>
  <si>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</si>
  <si>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</si>
  <si>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</si>
  <si>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</si>
  <si>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</si>
  <si>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</si>
  <si>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</si>
  <si>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</si>
  <si>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</si>
  <si>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</si>
  <si>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</si>
  <si>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</si>
  <si>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</si>
  <si>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</si>
  <si>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</si>
  <si>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</si>
  <si>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</si>
  <si>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</si>
  <si>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</si>
  <si>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</si>
  <si>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</si>
  <si>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</si>
  <si>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</si>
  <si>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</si>
  <si>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</si>
  <si>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</si>
  <si>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</si>
  <si>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</si>
  <si>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</si>
  <si>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</si>
  <si>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</si>
  <si>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</si>
  <si>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</si>
  <si>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</si>
  <si>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</si>
  <si>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</si>
  <si>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</si>
  <si>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</si>
  <si>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</si>
  <si>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</si>
  <si>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</si>
  <si>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</si>
  <si>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</si>
  <si>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</si>
  <si>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</si>
  <si>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</si>
  <si>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</si>
  <si>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</si>
  <si>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</si>
  <si>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</si>
  <si>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</si>
  <si>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</si>
  <si>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</si>
  <si>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</si>
  <si>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</si>
  <si>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</si>
  <si>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</si>
  <si>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</si>
  <si>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</si>
  <si>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</si>
  <si>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</si>
  <si>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</si>
  <si>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</si>
  <si>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</si>
  <si>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</si>
  <si>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</si>
  <si>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</si>
  <si>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</si>
  <si>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</si>
  <si>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</si>
  <si>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</si>
  <si>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</si>
  <si>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</si>
  <si>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</si>
  <si>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</si>
  <si>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</si>
  <si>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</si>
  <si>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</si>
  <si>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</si>
  <si>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</si>
  <si>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</si>
  <si>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</si>
  <si>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</si>
  <si>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</si>
  <si>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</si>
  <si>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</si>
  <si>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</si>
  <si>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</si>
  <si>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</si>
  <si>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</si>
  <si>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</si>
  <si>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</si>
  <si>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</si>
  <si>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</si>
  <si>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</si>
  <si>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</si>
  <si>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</si>
  <si>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</si>
  <si>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</si>
  <si>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</si>
  <si>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</si>
  <si>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</si>
  <si>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</si>
  <si>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</si>
  <si>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</si>
  <si>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</si>
  <si>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</si>
  <si>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</si>
  <si>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</si>
  <si>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</si>
  <si>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</si>
  <si>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</si>
  <si>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</si>
  <si>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</si>
  <si>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</si>
  <si>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</si>
  <si>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</si>
  <si>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</si>
  <si>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</si>
  <si>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</si>
  <si>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</si>
  <si>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</si>
  <si>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</si>
  <si>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</si>
  <si>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</si>
  <si>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</si>
  <si>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</si>
  <si>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</si>
  <si>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</si>
  <si>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</si>
  <si>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</si>
  <si>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</si>
  <si>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</si>
  <si>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</si>
  <si>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</si>
  <si>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</si>
  <si>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</si>
  <si>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</si>
  <si>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</si>
  <si>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</si>
  <si>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</si>
  <si>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</si>
  <si>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</si>
  <si>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</si>
  <si>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</si>
  <si>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</si>
  <si>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</si>
  <si>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</si>
  <si>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</si>
  <si>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</si>
  <si>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</si>
  <si>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</si>
  <si>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</si>
  <si>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</si>
  <si>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</si>
  <si>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</si>
  <si>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</si>
  <si>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</si>
  <si>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</si>
  <si>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</si>
  <si>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</si>
  <si>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</si>
  <si>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</si>
  <si>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</si>
  <si>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</si>
  <si>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</si>
  <si>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</si>
  <si>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</si>
  <si>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</si>
  <si>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</si>
  <si>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</si>
  <si>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</si>
  <si>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</si>
  <si>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</si>
  <si>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</si>
  <si>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</si>
  <si>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</si>
  <si>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</si>
  <si>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</si>
  <si>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</si>
  <si>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</si>
  <si>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</si>
  <si>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</si>
  <si>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</si>
  <si>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</si>
  <si>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</si>
  <si>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</si>
  <si>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</si>
  <si>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</si>
  <si>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</si>
  <si>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</si>
  <si>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</si>
  <si>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</si>
  <si>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</si>
  <si>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</si>
  <si>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</si>
  <si>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</si>
  <si>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</si>
  <si>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</si>
  <si>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</si>
  <si>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</si>
  <si>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</si>
  <si>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</si>
  <si>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</si>
  <si>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</si>
  <si>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</si>
  <si>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</si>
  <si>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</si>
  <si>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</si>
  <si>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</si>
  <si>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</si>
  <si>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</si>
  <si>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</si>
  <si>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</si>
  <si>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</si>
  <si>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</si>
  <si>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</si>
  <si>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</si>
  <si>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</si>
  <si>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</si>
  <si>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</si>
  <si>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</si>
  <si>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</si>
  <si>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</si>
  <si>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</si>
  <si>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</si>
  <si>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</si>
  <si>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</si>
  <si>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</si>
  <si>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</si>
  <si>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</si>
  <si>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</si>
  <si>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</si>
  <si>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</si>
  <si>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</si>
  <si>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</si>
  <si>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</si>
  <si>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</si>
  <si>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</si>
  <si>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</si>
  <si>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</si>
  <si>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</si>
  <si>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</si>
  <si>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</si>
  <si>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</si>
  <si>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</si>
  <si>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</si>
  <si>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</si>
  <si>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</si>
  <si>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</si>
  <si>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</si>
  <si>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</si>
  <si>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</si>
  <si>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</si>
  <si>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</si>
  <si>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</si>
  <si>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</si>
  <si>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</si>
  <si>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</si>
  <si>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</si>
  <si>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</si>
  <si>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</si>
  <si>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</si>
  <si>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</si>
  <si>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</si>
  <si>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</si>
  <si>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</si>
  <si>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</si>
  <si>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</si>
  <si>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</si>
  <si>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</si>
  <si>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</si>
  <si>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</si>
  <si>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</si>
  <si>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</si>
  <si>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</si>
  <si>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</si>
  <si>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</si>
  <si>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</si>
  <si>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</si>
  <si>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</si>
  <si>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</si>
  <si>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</si>
  <si>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</si>
  <si>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</si>
  <si>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</si>
  <si>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</si>
  <si>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</si>
  <si>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</si>
  <si>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</si>
  <si>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</si>
  <si>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</si>
  <si>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</si>
  <si>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</si>
  <si>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</si>
  <si>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</si>
  <si>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</si>
  <si>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</si>
  <si>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</si>
  <si>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</si>
  <si>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</si>
  <si>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</si>
  <si>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</si>
  <si>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</si>
  <si>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</si>
  <si>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</si>
  <si>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</si>
  <si>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</si>
  <si>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</si>
  <si>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</si>
  <si>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</si>
  <si>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</si>
  <si>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</si>
  <si>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</si>
  <si>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</si>
  <si>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</si>
  <si>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</si>
  <si>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</si>
  <si>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</si>
  <si>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</si>
  <si>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</si>
  <si>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</si>
  <si>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</si>
  <si>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</si>
  <si>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</si>
  <si>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</si>
  <si>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</si>
  <si>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</si>
  <si>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</si>
  <si>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</si>
  <si>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</si>
  <si>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</si>
  <si>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</si>
  <si>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</si>
  <si>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</si>
  <si>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</si>
  <si>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</si>
  <si>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</si>
  <si>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</si>
  <si>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</si>
  <si>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</si>
  <si>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</si>
  <si>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</si>
  <si>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</si>
  <si>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</si>
  <si>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</si>
  <si>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</si>
  <si>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</si>
  <si>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</si>
  <si>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</si>
  <si>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</si>
  <si>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</si>
  <si>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</si>
  <si>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</si>
  <si>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</si>
  <si>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</si>
  <si>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</si>
  <si>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</si>
  <si>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</si>
  <si>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</si>
  <si>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</si>
  <si>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</si>
  <si>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</si>
  <si>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</si>
  <si>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</si>
  <si>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</si>
  <si>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</si>
  <si>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</si>
  <si>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</si>
  <si>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</si>
  <si>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</si>
  <si>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</si>
  <si>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</si>
  <si>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</si>
  <si>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</si>
  <si>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</si>
  <si>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</si>
  <si>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</si>
  <si>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</si>
  <si>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</si>
  <si>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</si>
  <si>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</si>
  <si>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</si>
  <si>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</si>
  <si>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</si>
  <si>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</si>
  <si>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</si>
  <si>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</si>
  <si>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</si>
  <si>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</si>
  <si>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</si>
  <si>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</si>
  <si>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</si>
  <si>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</si>
  <si>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</si>
  <si>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</si>
  <si>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</si>
  <si>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</si>
  <si>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</si>
  <si>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</si>
  <si>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</si>
  <si>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</si>
  <si>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</si>
  <si>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</si>
  <si>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</si>
  <si>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</si>
  <si>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</si>
  <si>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</si>
  <si>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</si>
  <si>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</si>
  <si>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</si>
  <si>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</si>
  <si>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</si>
  <si>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</si>
  <si>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</si>
  <si>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</si>
  <si>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</si>
  <si>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</si>
  <si>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</si>
  <si>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</si>
  <si>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</si>
  <si>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</si>
  <si>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</si>
  <si>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</si>
  <si>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</si>
  <si>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</si>
  <si>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</si>
  <si>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</si>
  <si>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</si>
  <si>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</si>
  <si>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</si>
  <si>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</si>
  <si>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</si>
  <si>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</si>
  <si>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</si>
  <si>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</si>
  <si>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</si>
  <si>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</si>
  <si>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</si>
  <si>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</si>
  <si>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</si>
  <si>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</si>
  <si>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</si>
  <si>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</si>
  <si>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</si>
  <si>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</si>
  <si>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</si>
  <si>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</si>
  <si>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</si>
  <si>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</si>
  <si>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</si>
  <si>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</si>
  <si>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</si>
  <si>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</si>
  <si>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</si>
  <si>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</si>
  <si>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</si>
  <si>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</si>
  <si>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</si>
  <si>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</si>
  <si>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</si>
  <si>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</si>
  <si>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</si>
  <si>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</si>
  <si>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</si>
  <si>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</si>
  <si>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</si>
  <si>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</si>
  <si>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</si>
  <si>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</si>
  <si>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</si>
  <si>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</si>
  <si>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</si>
  <si>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</si>
  <si>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</si>
  <si>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</si>
  <si>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</si>
  <si>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</si>
  <si>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</si>
  <si>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</si>
  <si>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</si>
  <si>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</si>
  <si>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</si>
  <si>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</si>
  <si>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</si>
  <si>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</si>
  <si>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</si>
  <si>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</si>
  <si>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</si>
  <si>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</si>
  <si>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</si>
  <si>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</si>
  <si>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</si>
  <si>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</si>
  <si>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</si>
  <si>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</si>
  <si>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</si>
  <si>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</si>
  <si>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</si>
  <si>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</si>
  <si>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</si>
  <si>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</si>
  <si>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</si>
  <si>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</si>
  <si>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</si>
  <si>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</si>
  <si>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</si>
  <si>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</si>
  <si>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</si>
  <si>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</si>
  <si>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</si>
  <si>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</si>
  <si>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</si>
  <si>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</si>
  <si>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</si>
  <si>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</si>
  <si>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</si>
  <si>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</si>
  <si>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</si>
  <si>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</si>
  <si>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</si>
  <si>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</si>
  <si>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</si>
  <si>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</si>
  <si>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</si>
  <si>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</si>
  <si>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</si>
  <si>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</si>
  <si>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</si>
  <si>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</si>
  <si>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</si>
  <si>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</si>
  <si>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</si>
  <si>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</si>
  <si>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</si>
  <si>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</si>
  <si>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</si>
  <si>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</si>
  <si>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</si>
  <si>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</si>
  <si>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</si>
  <si>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</si>
  <si>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</si>
  <si>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</si>
  <si>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</si>
  <si>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</si>
  <si>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</si>
  <si>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</si>
  <si>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</si>
  <si>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</si>
  <si>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</si>
  <si>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</si>
  <si>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</si>
  <si>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</si>
  <si>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</si>
  <si>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</si>
  <si>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</si>
  <si>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</si>
  <si>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</si>
  <si>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</si>
  <si>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</si>
  <si>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</si>
  <si>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</si>
  <si>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</si>
  <si>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</si>
  <si>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</si>
  <si>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</si>
  <si>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</si>
  <si>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</si>
  <si>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</si>
  <si>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</si>
  <si>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</si>
  <si>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</si>
  <si>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</si>
  <si>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</si>
  <si>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</si>
  <si>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</si>
  <si>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</si>
  <si>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</si>
  <si>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</si>
  <si>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</si>
  <si>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</si>
  <si>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</si>
  <si>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</si>
  <si>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</si>
  <si>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</si>
  <si>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</si>
  <si>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</si>
  <si>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</si>
  <si>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</si>
  <si>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</si>
  <si>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</si>
  <si>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</si>
  <si>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</si>
  <si>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</si>
  <si>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</si>
  <si>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</si>
  <si>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</si>
  <si>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</si>
  <si>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</si>
  <si>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</si>
  <si>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</si>
  <si>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</si>
  <si>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</si>
  <si>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</si>
  <si>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</si>
  <si>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</si>
  <si>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</si>
  <si>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</si>
  <si>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</si>
  <si>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</si>
  <si>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</si>
  <si>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</si>
  <si>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</si>
  <si>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</si>
  <si>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</si>
  <si>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</si>
  <si>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</si>
  <si>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</si>
  <si>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</si>
  <si>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</si>
  <si>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</si>
  <si>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</si>
  <si>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</si>
  <si>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</si>
  <si>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</si>
  <si>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</si>
  <si>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</si>
  <si>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</si>
  <si>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</si>
  <si>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</si>
  <si>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</si>
  <si>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</si>
  <si>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</si>
  <si>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</si>
  <si>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</si>
  <si>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</si>
  <si>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</si>
  <si>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</si>
  <si>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</si>
  <si>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</si>
  <si>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</si>
  <si>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</si>
  <si>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</si>
  <si>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</si>
  <si>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</si>
  <si>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</si>
  <si>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</si>
  <si>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</si>
  <si>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</si>
  <si>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</si>
  <si>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</si>
  <si>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</si>
  <si>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</si>
  <si>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</si>
  <si>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</si>
  <si>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</si>
  <si>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</si>
  <si>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</si>
  <si>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</si>
  <si>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</si>
  <si>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</si>
  <si>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</si>
  <si>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</si>
  <si>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</si>
  <si>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</si>
  <si>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</si>
  <si>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</si>
  <si>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</si>
  <si>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</si>
  <si>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</si>
  <si>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</si>
  <si>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</si>
  <si>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</si>
  <si>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</si>
  <si>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</si>
  <si>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</si>
  <si>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</si>
  <si>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</si>
  <si>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</si>
  <si>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</si>
  <si>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</si>
  <si>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</si>
  <si>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</si>
  <si>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</si>
  <si>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</si>
  <si>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</si>
  <si>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</si>
  <si>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</si>
  <si>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</si>
  <si>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</si>
  <si>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</si>
  <si>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</si>
  <si>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</si>
  <si>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</si>
  <si>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</si>
  <si>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</si>
  <si>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</si>
  <si>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</si>
  <si>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</si>
  <si>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</si>
  <si>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</si>
  <si>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</si>
  <si>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</si>
  <si>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</si>
  <si>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</si>
  <si>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</si>
  <si>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</si>
  <si>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</si>
  <si>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</si>
  <si>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</si>
  <si>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</si>
  <si>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</si>
  <si>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</si>
  <si>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</si>
  <si>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</si>
  <si>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</si>
  <si>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</si>
  <si>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</si>
  <si>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</si>
  <si>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</si>
  <si>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</si>
  <si>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</si>
  <si>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</si>
  <si>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</si>
  <si>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</si>
  <si>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</si>
  <si>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</si>
  <si>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</si>
  <si>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</si>
  <si>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</si>
  <si>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</si>
  <si>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</si>
  <si>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</si>
  <si>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</si>
  <si>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</si>
  <si>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</si>
  <si>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</si>
  <si>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</si>
  <si>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</si>
  <si>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</si>
  <si>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</si>
  <si>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</si>
  <si>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</si>
  <si>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</si>
  <si>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</si>
  <si>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</si>
  <si>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</si>
  <si>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</si>
  <si>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</si>
  <si>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</si>
  <si>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</si>
  <si>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</si>
  <si>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</si>
  <si>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</si>
  <si>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</si>
  <si>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</si>
  <si>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</si>
  <si>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</si>
  <si>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</si>
  <si>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</si>
  <si>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</si>
  <si>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</si>
  <si>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</si>
  <si>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</si>
  <si>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</si>
  <si>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</si>
  <si>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</si>
  <si>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</si>
  <si>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</si>
  <si>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</si>
  <si>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</si>
  <si>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</si>
  <si>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</si>
  <si>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</si>
  <si>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</si>
  <si>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</si>
  <si>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</si>
  <si>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</si>
  <si>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</si>
  <si>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</si>
  <si>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</si>
  <si>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</si>
  <si>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</si>
  <si>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</si>
  <si>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</si>
  <si>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</si>
  <si>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</si>
  <si>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</si>
  <si>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</si>
  <si>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</si>
  <si>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</si>
  <si>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</si>
  <si>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</si>
  <si>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</si>
  <si>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</si>
  <si>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</si>
  <si>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</si>
  <si>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</si>
  <si>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</si>
  <si>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</si>
  <si>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</si>
  <si>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</si>
  <si>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</si>
  <si>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</si>
  <si>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</si>
  <si>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</si>
  <si>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</si>
  <si>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</si>
  <si>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</si>
  <si>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</si>
  <si>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</si>
  <si>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</si>
  <si>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</si>
  <si>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</si>
  <si>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</si>
  <si>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</si>
  <si>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</si>
  <si>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</si>
  <si>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</si>
  <si>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</si>
  <si>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</si>
  <si>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</si>
  <si>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</si>
  <si>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</si>
  <si>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</si>
  <si>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</si>
  <si>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</si>
  <si>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</si>
  <si>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</si>
  <si>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</si>
  <si>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</si>
  <si>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</si>
  <si>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</si>
  <si>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</si>
  <si>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</si>
  <si>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</si>
  <si>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</si>
  <si>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</si>
  <si>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</si>
  <si>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</si>
  <si>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</si>
  <si>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</si>
  <si>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</si>
  <si>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</si>
  <si>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</si>
  <si>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</si>
  <si>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</si>
  <si>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</si>
  <si>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</si>
  <si>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</si>
  <si>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</si>
  <si>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</si>
  <si>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</si>
  <si>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</si>
  <si>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</si>
  <si>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</si>
  <si>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</si>
  <si>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</si>
  <si>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</si>
  <si>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</si>
  <si>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</si>
  <si>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</si>
  <si>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</si>
  <si>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</si>
  <si>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</si>
  <si>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</si>
  <si>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</si>
  <si>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</si>
  <si>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</si>
  <si>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</si>
  <si>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</si>
  <si>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</si>
  <si>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</si>
  <si>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</si>
  <si>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</si>
  <si>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</si>
  <si>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</si>
  <si>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</si>
  <si>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</si>
  <si>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</si>
  <si>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</si>
  <si>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</si>
  <si>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</si>
  <si>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</si>
  <si>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</si>
  <si>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</si>
  <si>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</si>
  <si>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</si>
  <si>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</si>
  <si>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</si>
  <si>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</si>
  <si>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</si>
  <si>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</si>
  <si>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</si>
  <si>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</si>
  <si>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</si>
  <si>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</si>
  <si>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</si>
  <si>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</si>
  <si>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</si>
  <si>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</si>
  <si>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</si>
  <si>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</si>
  <si>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</si>
  <si>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</si>
  <si>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</si>
  <si>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</si>
  <si>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</si>
  <si>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</si>
  <si>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</si>
  <si>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</si>
  <si>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</si>
  <si>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</si>
  <si>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</si>
  <si>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</si>
  <si>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</si>
  <si>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</si>
  <si>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</si>
  <si>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</si>
  <si>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</si>
  <si>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</si>
  <si>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</si>
  <si>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</si>
  <si>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</si>
  <si>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</si>
  <si>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</si>
  <si>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</si>
  <si>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</si>
  <si>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</si>
  <si>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</si>
  <si>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</si>
  <si>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</si>
  <si>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</si>
  <si>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</si>
  <si>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</si>
  <si>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</si>
  <si>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</si>
  <si>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</si>
  <si>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</si>
  <si>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</si>
  <si>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</si>
  <si>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</si>
  <si>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</si>
  <si>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</si>
  <si>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</si>
  <si>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</si>
  <si>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</si>
  <si>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</si>
  <si>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</si>
  <si>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</si>
  <si>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</si>
  <si>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</si>
  <si>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</si>
  <si>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</si>
  <si>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</si>
  <si>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</si>
  <si>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</si>
  <si>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</si>
  <si>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</si>
  <si>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</si>
  <si>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</si>
  <si>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</si>
  <si>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</si>
  <si>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</si>
  <si>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</si>
  <si>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</si>
  <si>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</si>
  <si>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</si>
  <si>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</si>
  <si>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</si>
  <si>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</si>
  <si>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</si>
  <si>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</si>
  <si>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</si>
  <si>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</si>
  <si>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</si>
  <si>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</si>
  <si>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</si>
  <si>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</si>
  <si>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</si>
  <si>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</si>
  <si>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</si>
  <si>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</si>
  <si>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</si>
  <si>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</si>
  <si>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</si>
  <si>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</si>
  <si>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</si>
  <si>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</si>
  <si>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</si>
  <si>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</si>
  <si>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</si>
  <si>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</si>
  <si>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</si>
  <si>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</si>
  <si>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</si>
  <si>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</si>
  <si>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</si>
  <si>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</si>
  <si>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</si>
  <si>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</si>
  <si>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</si>
  <si>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</si>
  <si>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</si>
  <si>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</si>
  <si>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</si>
  <si>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</si>
  <si>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</si>
  <si>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</si>
  <si>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</si>
  <si>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</si>
  <si>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</si>
  <si>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</si>
  <si>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</si>
  <si>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</si>
  <si>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</si>
  <si>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</si>
  <si>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</si>
  <si>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</si>
  <si>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</si>
  <si>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</si>
  <si>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</si>
  <si>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</si>
  <si>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</si>
  <si>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</si>
  <si>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</si>
  <si>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</si>
  <si>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</si>
  <si>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</si>
  <si>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</si>
  <si>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</si>
  <si>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</si>
  <si>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</si>
  <si>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</si>
  <si>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</si>
  <si>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</si>
  <si>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</si>
  <si>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</si>
  <si>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</si>
  <si>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</si>
  <si>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</si>
  <si>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</si>
  <si>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</si>
  <si>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</si>
  <si>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</si>
  <si>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</si>
  <si>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</si>
  <si>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</si>
  <si>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</si>
  <si>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</si>
  <si>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</si>
  <si>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</si>
  <si>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</si>
  <si>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</si>
  <si>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</si>
  <si>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</si>
  <si>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</si>
  <si>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</si>
  <si>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</si>
  <si>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</si>
  <si>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</si>
  <si>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</si>
  <si>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</si>
  <si>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</si>
  <si>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</si>
  <si>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</si>
  <si>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</si>
  <si>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</si>
  <si>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</si>
  <si>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</si>
  <si>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</si>
  <si>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</si>
  <si>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</si>
  <si>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</si>
  <si>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</si>
  <si>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</si>
  <si>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</si>
  <si>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</si>
  <si>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</si>
  <si>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</si>
  <si>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</si>
  <si>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</si>
  <si>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</si>
  <si>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</si>
  <si>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</si>
  <si>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</si>
  <si>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</si>
  <si>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</si>
  <si>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</si>
  <si>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</si>
  <si>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</si>
  <si>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</si>
  <si>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</si>
  <si>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</si>
  <si>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</si>
  <si>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</si>
  <si>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</si>
  <si>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</si>
  <si>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</si>
  <si>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</si>
  <si>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</si>
  <si>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</si>
  <si>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</si>
  <si>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</si>
  <si>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</si>
  <si>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</si>
  <si>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</si>
  <si>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</si>
  <si>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</si>
  <si>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</si>
  <si>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</si>
  <si>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</si>
  <si>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</si>
  <si>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</si>
  <si>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</si>
  <si>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</si>
  <si>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</si>
  <si>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</si>
  <si>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</si>
  <si>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</si>
  <si>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</si>
  <si>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</si>
  <si>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</si>
  <si>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</si>
  <si>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</si>
  <si>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</si>
  <si>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</si>
  <si>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</si>
  <si>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</si>
  <si>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</si>
  <si>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</si>
  <si>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</si>
  <si>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</si>
  <si>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</si>
  <si>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</si>
  <si>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</si>
  <si>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</si>
  <si>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</si>
  <si>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</si>
  <si>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</si>
  <si>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</si>
  <si>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</si>
  <si>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</si>
  <si>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</si>
  <si>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</si>
  <si>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</si>
  <si>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</si>
  <si>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</si>
  <si>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</si>
  <si>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</si>
  <si>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</si>
  <si>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</si>
  <si>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</si>
  <si>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</si>
  <si>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</si>
  <si>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</si>
  <si>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</si>
  <si>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</si>
  <si>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</si>
  <si>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</si>
  <si>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</si>
  <si>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</si>
  <si>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</si>
  <si>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</si>
  <si>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</si>
  <si>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</si>
  <si>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</si>
  <si>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</si>
  <si>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</si>
  <si>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</si>
  <si>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</si>
  <si>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</si>
  <si>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</si>
  <si>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</si>
  <si>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</si>
  <si>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</si>
  <si>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</si>
  <si>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</si>
  <si>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</si>
  <si>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</si>
  <si>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</si>
  <si>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</si>
  <si>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</si>
  <si>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</si>
  <si>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</si>
  <si>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</si>
  <si>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</si>
  <si>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</si>
  <si>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</si>
  <si>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</si>
  <si>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</si>
  <si>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</si>
  <si>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</si>
  <si>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</si>
  <si>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</si>
  <si>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</si>
  <si>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</si>
  <si>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</si>
  <si>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</si>
  <si>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</si>
  <si>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</si>
  <si>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</si>
  <si>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</si>
  <si>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</si>
  <si>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</si>
  <si>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</si>
  <si>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</si>
  <si>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</si>
  <si>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</si>
  <si>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</si>
  <si>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</si>
  <si>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</si>
  <si>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</si>
  <si>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</si>
  <si>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</si>
  <si>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</si>
  <si>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</si>
  <si>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</si>
  <si>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</si>
  <si>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</si>
  <si>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</si>
  <si>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</si>
  <si>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</si>
  <si>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</si>
  <si>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</si>
  <si>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</si>
  <si>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</si>
  <si>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</si>
  <si>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</si>
  <si>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</si>
  <si>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</si>
  <si>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</si>
  <si>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</si>
  <si>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</si>
  <si>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</si>
  <si>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</si>
  <si>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</si>
  <si>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</si>
  <si>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</si>
  <si>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</si>
  <si>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</si>
  <si>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</si>
  <si>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</si>
  <si>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</si>
  <si>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</si>
  <si>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</si>
  <si>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</si>
  <si>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</si>
  <si>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</si>
  <si>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</si>
  <si>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</si>
  <si>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</si>
  <si>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</si>
  <si>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</si>
  <si>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</si>
  <si>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</si>
  <si>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</si>
  <si>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</si>
  <si>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</si>
  <si>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</si>
  <si>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</si>
  <si>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</si>
  <si>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</si>
  <si>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</si>
  <si>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</si>
  <si>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</si>
  <si>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</si>
  <si>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</si>
  <si>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</si>
  <si>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</si>
  <si>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</si>
  <si>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</si>
  <si>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</si>
  <si>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</si>
  <si>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</si>
  <si>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</si>
  <si>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</si>
  <si>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</si>
  <si>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</si>
  <si>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</si>
  <si>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</si>
  <si>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</si>
  <si>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</si>
  <si>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</si>
  <si>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</si>
  <si>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</si>
  <si>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</si>
  <si>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</si>
  <si>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</si>
  <si>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</si>
  <si>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</si>
  <si>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</si>
  <si>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</si>
  <si>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</si>
  <si>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</si>
  <si>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</si>
  <si>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</si>
  <si>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</si>
  <si>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</si>
  <si>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</si>
  <si>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</si>
  <si>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</si>
  <si>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</si>
  <si>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</si>
  <si>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</si>
  <si>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</si>
  <si>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</si>
  <si>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</si>
  <si>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</si>
  <si>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</si>
  <si>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</si>
  <si>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</si>
  <si>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</si>
  <si>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</si>
  <si>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</si>
  <si>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</si>
  <si>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</si>
  <si>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</si>
  <si>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</si>
  <si>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</si>
  <si>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</si>
  <si>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</si>
  <si>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</si>
  <si>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</si>
  <si>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</si>
  <si>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</si>
  <si>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</si>
  <si>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</si>
  <si>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</si>
  <si>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</si>
  <si>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</si>
  <si>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</si>
  <si>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</si>
  <si>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</si>
  <si>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</si>
  <si>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</si>
  <si>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</si>
  <si>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</si>
  <si>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</si>
  <si>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</si>
  <si>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</si>
  <si>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</si>
  <si>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</si>
  <si>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</si>
  <si>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</si>
  <si>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</si>
  <si>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</si>
  <si>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</si>
  <si>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</si>
  <si>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</si>
  <si>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</si>
  <si>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</si>
  <si>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</si>
  <si>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</si>
  <si>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</si>
  <si>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</si>
  <si>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</si>
  <si>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</si>
  <si>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</si>
  <si>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</si>
  <si>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</si>
  <si>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</si>
  <si>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</si>
  <si>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</si>
  <si>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</si>
  <si>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</si>
  <si>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</si>
  <si>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</si>
  <si>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</si>
  <si>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</si>
  <si>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</si>
  <si>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</si>
  <si>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</si>
  <si>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</si>
  <si>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</si>
  <si>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</si>
  <si>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</si>
  <si>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</si>
  <si>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</si>
  <si>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</si>
  <si>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</si>
  <si>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</si>
  <si>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</si>
  <si>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</si>
  <si>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</si>
  <si>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</si>
  <si>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</si>
  <si>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</si>
  <si>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</si>
  <si>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</si>
  <si>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</si>
  <si>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</si>
  <si>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</si>
  <si>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</si>
  <si>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</si>
  <si>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</si>
  <si>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</si>
  <si>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</si>
  <si>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</si>
  <si>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</si>
  <si>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</si>
  <si>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</si>
  <si>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</si>
  <si>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</si>
  <si>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</si>
  <si>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</si>
  <si>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</si>
  <si>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</si>
  <si>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</si>
  <si>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</si>
  <si>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</si>
  <si>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</si>
  <si>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</si>
  <si>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</si>
  <si>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</si>
  <si>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</si>
  <si>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</si>
  <si>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</si>
  <si>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</si>
  <si>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</si>
  <si>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</si>
  <si>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</si>
  <si>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</si>
  <si>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</si>
  <si>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</si>
  <si>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</si>
  <si>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</si>
  <si>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</si>
  <si>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</si>
  <si>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</si>
  <si>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</si>
  <si>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</si>
  <si>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</si>
  <si>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</si>
  <si>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</si>
  <si>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</si>
  <si>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</si>
  <si>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</si>
  <si>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</si>
  <si>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</si>
  <si>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</si>
  <si>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</si>
  <si>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</si>
  <si>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</si>
  <si>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</si>
  <si>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</si>
  <si>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</si>
  <si>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</si>
  <si>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</si>
  <si>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</si>
  <si>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</si>
  <si>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</si>
  <si>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</si>
  <si>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</si>
  <si>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</si>
  <si>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</si>
  <si>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</si>
  <si>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</si>
  <si>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</si>
  <si>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</si>
  <si>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</si>
  <si>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</si>
  <si>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</si>
  <si>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</si>
  <si>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</si>
  <si>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</si>
  <si>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</si>
  <si>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</si>
  <si>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</si>
  <si>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</si>
  <si>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</si>
  <si>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</si>
  <si>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</si>
  <si>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</si>
  <si>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</si>
  <si>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</si>
  <si>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</si>
  <si>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</si>
  <si>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</si>
  <si>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</si>
  <si>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</si>
  <si>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</si>
  <si>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</si>
  <si>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</si>
  <si>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</si>
  <si>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</si>
  <si>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</si>
  <si>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</si>
  <si>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</si>
  <si>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</si>
  <si>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</si>
  <si>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</si>
  <si>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</si>
  <si>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</si>
  <si>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</si>
  <si>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</si>
  <si>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</si>
  <si>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</si>
  <si>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</si>
  <si>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</si>
  <si>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</si>
  <si>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</si>
  <si>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</si>
  <si>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</si>
  <si>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</si>
  <si>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</si>
  <si>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</si>
  <si>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</si>
  <si>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</si>
  <si>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</si>
  <si>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</si>
  <si>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</si>
  <si>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</si>
  <si>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</si>
  <si>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</si>
  <si>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</si>
  <si>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</si>
  <si>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</si>
  <si>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</si>
  <si>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</si>
  <si>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</si>
  <si>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</si>
  <si>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</si>
  <si>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</si>
  <si>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</si>
  <si>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</si>
  <si>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</si>
  <si>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</si>
  <si>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</si>
  <si>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</si>
  <si>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</si>
  <si>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</si>
  <si>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</si>
  <si>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</si>
  <si>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</si>
  <si>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</si>
  <si>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</si>
  <si>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</si>
  <si>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</si>
  <si>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</si>
  <si>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</si>
  <si>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</si>
  <si>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</si>
  <si>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</si>
  <si>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</si>
  <si>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</si>
  <si>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</si>
  <si>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</si>
  <si>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</si>
  <si>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</si>
  <si>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</si>
  <si>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</si>
  <si>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</si>
  <si>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</si>
  <si>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</si>
  <si>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</si>
  <si>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</si>
  <si>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</si>
  <si>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</si>
  <si>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</si>
  <si>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</si>
  <si>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</si>
  <si>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</si>
  <si>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</si>
  <si>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</si>
  <si>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</si>
  <si>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</si>
  <si>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</si>
  <si>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</si>
  <si>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</si>
  <si>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</si>
  <si>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</si>
  <si>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</si>
  <si>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</si>
  <si>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</si>
  <si>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</si>
  <si>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</si>
  <si>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</si>
  <si>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</si>
  <si>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</si>
  <si>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</si>
  <si>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</si>
  <si>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</si>
  <si>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</si>
  <si>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</si>
  <si>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</si>
  <si>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</si>
  <si>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</si>
  <si>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</si>
  <si>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</si>
  <si>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</si>
  <si>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</si>
  <si>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</si>
  <si>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</si>
  <si>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</si>
  <si>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</si>
  <si>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</si>
  <si>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</si>
  <si>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</si>
  <si>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</si>
  <si>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</si>
  <si>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</si>
  <si>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</si>
  <si>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</si>
  <si>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</si>
  <si>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</si>
  <si>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</si>
  <si>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</si>
  <si>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</si>
  <si>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</si>
  <si>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</si>
  <si>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</si>
  <si>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</si>
  <si>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</si>
  <si>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</si>
  <si>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</si>
  <si>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</si>
  <si>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</si>
  <si>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</si>
  <si>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</si>
  <si>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</si>
  <si>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</si>
  <si>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</si>
  <si>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</si>
  <si>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</si>
  <si>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</si>
  <si>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</si>
  <si>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</si>
  <si>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</si>
  <si>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</si>
  <si>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</si>
  <si>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</si>
  <si>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</si>
  <si>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</si>
  <si>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</si>
  <si>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</si>
  <si>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</si>
  <si>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</si>
  <si>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</si>
  <si>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</si>
  <si>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</si>
  <si>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</si>
  <si>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</si>
  <si>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</si>
  <si>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</si>
  <si>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</si>
  <si>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</si>
  <si>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</si>
  <si>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</si>
  <si>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</si>
  <si>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</si>
  <si>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</si>
  <si>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</si>
  <si>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</si>
  <si>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</si>
  <si>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</si>
  <si>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</si>
  <si>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</si>
  <si>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</si>
  <si>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</si>
  <si>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</si>
  <si>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</si>
  <si>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</si>
  <si>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</si>
  <si>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</si>
  <si>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</si>
  <si>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</si>
  <si>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</si>
  <si>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</si>
  <si>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</si>
  <si>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</si>
  <si>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</si>
  <si>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</si>
  <si>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</si>
  <si>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</si>
  <si>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</si>
  <si>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</si>
  <si>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</si>
  <si>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</si>
  <si>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</si>
  <si>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</si>
  <si>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</si>
  <si>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</si>
  <si>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</si>
  <si>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</si>
  <si>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</si>
  <si>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</si>
  <si>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</si>
  <si>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</si>
  <si>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</si>
  <si>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</si>
  <si>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</si>
  <si>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</si>
  <si>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</si>
  <si>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</si>
  <si>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</si>
  <si>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</si>
  <si>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</si>
  <si>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</si>
  <si>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</si>
  <si>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</si>
  <si>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</si>
  <si>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</si>
  <si>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</si>
  <si>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</si>
  <si>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</si>
  <si>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</si>
  <si>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</si>
  <si>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</si>
  <si>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</si>
  <si>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</si>
  <si>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</si>
  <si>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</si>
  <si>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</si>
  <si>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</si>
  <si>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</si>
  <si>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</si>
  <si>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</si>
  <si>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</si>
  <si>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</si>
  <si>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</si>
  <si>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</si>
  <si>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</si>
  <si>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</si>
  <si>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</si>
  <si>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</si>
  <si>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</si>
  <si>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</si>
  <si>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</si>
  <si>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</si>
  <si>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</si>
  <si>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</si>
  <si>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</si>
  <si>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</si>
  <si>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</si>
  <si>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</si>
  <si>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</si>
  <si>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</si>
  <si>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</si>
  <si>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</si>
  <si>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</si>
  <si>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</si>
  <si>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</si>
  <si>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</si>
  <si>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</si>
  <si>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</si>
  <si>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</si>
  <si>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</si>
  <si>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</si>
  <si>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</si>
  <si>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</si>
  <si>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</si>
  <si>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</si>
  <si>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</si>
  <si>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</si>
  <si>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</si>
  <si>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</si>
  <si>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</si>
  <si>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</si>
  <si>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</si>
  <si>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</si>
  <si>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</si>
  <si>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</si>
  <si>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</si>
  <si>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</si>
  <si>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</si>
  <si>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</si>
  <si>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</si>
  <si>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</si>
  <si>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</si>
  <si>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</si>
  <si>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</si>
  <si>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</si>
  <si>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</si>
  <si>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</si>
  <si>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</si>
  <si>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</si>
  <si>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</si>
  <si>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</si>
  <si>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3" type="noConversion"/>
  </si>
  <si>
    <t>工行</t>
    <phoneticPr fontId="223" type="noConversion"/>
  </si>
  <si>
    <t>北京远洋景观规划设计院有限公司</t>
    <phoneticPr fontId="22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</si>
  <si>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3" type="noConversion"/>
  </si>
  <si>
    <t>北京远洋景观规划设计院有限公司</t>
    <phoneticPr fontId="223" type="noConversion"/>
  </si>
  <si>
    <t>《不动产权证书》</t>
  </si>
  <si>
    <t>复印件</t>
  </si>
  <si>
    <t>办公项目</t>
  </si>
  <si>
    <t>无</t>
  </si>
  <si>
    <t>现房</t>
  </si>
  <si>
    <t>办公用房</t>
  </si>
  <si>
    <t>办公用房</t>
    <phoneticPr fontId="223" type="noConversion"/>
  </si>
  <si>
    <t>建面</t>
  </si>
  <si>
    <t>单方建安</t>
  </si>
  <si>
    <t>建安</t>
  </si>
  <si>
    <t>主体</t>
  </si>
  <si>
    <t>装修</t>
  </si>
  <si>
    <t>设备</t>
  </si>
  <si>
    <t>人防</t>
  </si>
  <si>
    <t>自定义容积率</t>
  </si>
  <si>
    <t>与级别开发程度不一致</t>
  </si>
  <si>
    <t>中心城区以外</t>
  </si>
  <si>
    <t>较好</t>
    <phoneticPr fontId="223" type="noConversion"/>
  </si>
  <si>
    <t>一般</t>
    <phoneticPr fontId="223" type="noConversion"/>
  </si>
  <si>
    <t>七通</t>
    <phoneticPr fontId="223" type="noConversion"/>
  </si>
  <si>
    <t>好</t>
  </si>
  <si>
    <t>未包含在土地购买价格中</t>
  </si>
  <si>
    <t>已包含在土地取得成本中</t>
  </si>
  <si>
    <t>项目局部</t>
  </si>
  <si>
    <t>市场租金</t>
    <phoneticPr fontId="223" type="noConversion"/>
  </si>
  <si>
    <t>标准写字楼</t>
  </si>
  <si>
    <t>标准写字楼</t>
    <phoneticPr fontId="223" type="noConversion"/>
  </si>
  <si>
    <t>专业物业</t>
  </si>
  <si>
    <t>专业物业</t>
    <phoneticPr fontId="223" type="noConversion"/>
  </si>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</sst>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2" fillId="0" borderId="1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本次评估采用的主估价方法为成本法和收益法。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1978</v>
      </c>
    </row>
    <row r="21" spans="1:2" s="3393" customFormat="1">
      <c r="A21" s="3401" t="s">
        <v>21</v>
      </c>
      <c r="B21" s="3402">
        <f ca="1">'预评函-2'!D7</f>
        <v>17895</v>
      </c>
    </row>
    <row r="22" spans="1:2" s="3393" customFormat="1">
      <c r="A22" s="3401" t="s">
        <v>22</v>
      </c>
      <c r="B22" s="3402" t="str">
        <f ca="1">'预评函-2'!D6</f>
        <v>壹仟玖佰柒拾捌万元整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1978</v>
      </c>
    </row>
    <row r="35" spans="1:2" s="3393" customFormat="1">
      <c r="A35" s="3401" t="s">
        <v>35</v>
      </c>
      <c r="B35" s="3402">
        <f ca="1">'预评函-2'!D18</f>
        <v>17894</v>
      </c>
    </row>
    <row r="36" spans="1:2" s="3393" customFormat="1">
      <c r="A36" s="3401" t="s">
        <v>36</v>
      </c>
      <c r="B36" s="3402" t="str">
        <f ca="1">'预评函-2'!D17</f>
        <v>壹仟玖佰柒拾捌万元整</v>
      </c>
    </row>
    <row r="37" spans="1:2" s="3393" customFormat="1">
      <c r="A37" s="3401" t="s">
        <v>37</v>
      </c>
      <c r="B37" s="3402" t="str">
        <f>'预评函-2'!B19</f>
        <v>4.抵押净值</v>
      </c>
    </row>
    <row r="38" spans="1:2" s="3393" customFormat="1">
      <c r="A38" s="3401" t="s">
        <v>38</v>
      </c>
      <c r="B38" s="3402">
        <f ca="1">'预评函-2'!D19</f>
        <v>1939</v>
      </c>
    </row>
    <row r="39" spans="1:2" s="3393" customFormat="1">
      <c r="A39" s="3401" t="s">
        <v>39</v>
      </c>
      <c r="B39" s="3402">
        <f ca="1">'预评函-2'!D21</f>
        <v>17541</v>
      </c>
    </row>
    <row r="40" spans="1:2" s="3393" customFormat="1">
      <c r="A40" s="3401" t="s">
        <v>40</v>
      </c>
      <c r="B40" s="3402" t="str">
        <f ca="1">'预评函-2'!D20</f>
        <v>壹仟玖佰叁拾玖万元整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1105.3800000000001</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0"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81"/>
      <c r="D1" s="3481"/>
      <c r="E1" s="3481"/>
      <c r="F1" s="3481"/>
      <c r="G1" s="3481"/>
      <c r="H1" s="3481"/>
      <c r="I1" s="3482"/>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495" t="s">
        <v>434</v>
      </c>
      <c r="E8" s="3113" t="s">
        <v>332</v>
      </c>
      <c r="F8" s="3114"/>
      <c r="G8" s="3098"/>
      <c r="H8" s="3098"/>
      <c r="I8" s="3098"/>
      <c r="J8" s="2695"/>
      <c r="K8" s="3192"/>
      <c r="L8" s="3189"/>
      <c r="M8" s="3189"/>
      <c r="N8" s="2695"/>
      <c r="O8" s="3190"/>
      <c r="P8" s="2695"/>
      <c r="Q8" s="2695"/>
      <c r="R8" s="2695"/>
    </row>
    <row r="9" spans="1:30">
      <c r="A9" s="3115" t="s">
        <v>435</v>
      </c>
      <c r="B9" s="3116" t="s">
        <v>330</v>
      </c>
      <c r="C9" s="3117"/>
      <c r="D9" s="3496"/>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83"/>
      <c r="C16" s="3484"/>
      <c r="D16" s="3485"/>
      <c r="E16" s="3139" t="s">
        <v>454</v>
      </c>
      <c r="F16" s="3486"/>
      <c r="G16" s="3487"/>
      <c r="H16" s="3487"/>
      <c r="I16" s="3488"/>
      <c r="J16" s="2695"/>
      <c r="K16" s="3201"/>
      <c r="L16" s="3200"/>
      <c r="M16" s="3200"/>
      <c r="N16" s="2696"/>
      <c r="O16" s="3200"/>
      <c r="P16" s="2696"/>
      <c r="Q16" s="2695"/>
      <c r="R16" s="2695"/>
    </row>
    <row r="17" spans="1:28">
      <c r="A17" s="1999" t="s">
        <v>455</v>
      </c>
      <c r="B17" s="1988" t="s">
        <v>456</v>
      </c>
      <c r="C17" s="1338">
        <f>'数据-汇总表'!E3</f>
        <v>1105.3800000000001</v>
      </c>
      <c r="D17" s="2042" t="s">
        <v>457</v>
      </c>
      <c r="E17" s="3489" t="s">
        <v>458</v>
      </c>
      <c r="F17" s="3490"/>
      <c r="G17" s="3490"/>
      <c r="H17" s="3490"/>
      <c r="I17" s="3491"/>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492" t="s">
        <v>461</v>
      </c>
      <c r="F18" s="3493"/>
      <c r="G18" s="3493"/>
      <c r="H18" s="3493"/>
      <c r="I18" s="3494"/>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99" t="s">
        <v>466</v>
      </c>
      <c r="C20" s="3500"/>
      <c r="D20" s="3501" t="s">
        <v>467</v>
      </c>
      <c r="E20" s="3502"/>
      <c r="F20" s="3148" t="s">
        <v>468</v>
      </c>
      <c r="G20" s="2816"/>
      <c r="H20" s="2816"/>
      <c r="I20" s="2816"/>
      <c r="J20" s="2695"/>
      <c r="K20" s="3497"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97"/>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97"/>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76"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76"/>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76"/>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77"/>
      <c r="B30" s="1988" t="s">
        <v>479</v>
      </c>
      <c r="C30" s="3503"/>
      <c r="D30" s="3504"/>
      <c r="E30" s="2816"/>
      <c r="F30" s="2816"/>
      <c r="G30" s="2816"/>
      <c r="H30" s="2816"/>
      <c r="I30" s="2816"/>
      <c r="J30" s="2695"/>
      <c r="K30" s="3191"/>
      <c r="L30" s="3189"/>
      <c r="M30" s="3189"/>
      <c r="N30" s="2695"/>
      <c r="O30" s="3190"/>
      <c r="P30" s="2695"/>
      <c r="Q30" s="2695"/>
      <c r="R30" s="2695"/>
      <c r="S30" s="2695"/>
      <c r="T30" s="2695"/>
      <c r="U30" s="2695"/>
      <c r="V30" s="2695"/>
    </row>
    <row r="31" spans="1:28">
      <c r="A31" s="3478"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79"/>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79"/>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98" t="s">
        <v>489</v>
      </c>
      <c r="T34" s="2029" t="str">
        <f>NUMBERSTRING(7-K34,1)&amp;"通"</f>
        <v>七通</v>
      </c>
      <c r="U34" s="2695"/>
      <c r="V34" s="2695"/>
    </row>
    <row r="35" spans="1:30">
      <c r="A35" s="3175"/>
      <c r="B35" s="3505" t="s">
        <v>490</v>
      </c>
      <c r="C35" s="3505"/>
      <c r="D35" s="3505"/>
      <c r="E35" s="3505"/>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98"/>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1105.3800000000001</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1105.3800000000001</v>
      </c>
      <c r="H5" s="3008">
        <f t="shared" ref="H5:AT5" si="0">SUM(H13:H656)</f>
        <v>1105.3800000000001</v>
      </c>
      <c r="I5" s="3008">
        <f t="shared" si="0"/>
        <v>1105.3800000000001</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1105.3800000000001</v>
      </c>
      <c r="BA5" s="3068">
        <f t="shared" si="1"/>
        <v>1105.3800000000001</v>
      </c>
      <c r="BB5" s="3068">
        <f t="shared" si="1"/>
        <v>1105.3800000000001</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1105.3800000000001</v>
      </c>
      <c r="H13" s="3011">
        <f>SUMIF(I$12:AB$12,"总值",I13:AB13)</f>
        <v>1105.3800000000001</v>
      </c>
      <c r="I13" s="3039">
        <v>1105.3800000000001</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1105.3800000000001</v>
      </c>
      <c r="BA13" s="3008">
        <f>SUM(BB13:BK13)</f>
        <v>1105.3800000000001</v>
      </c>
      <c r="BB13" s="3008">
        <f>IF($D13="是",I13-J13,0)</f>
        <v>1105.3800000000001</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1105.3800000000001</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1105.3800000000001</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1105.3800000000001</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1105.3800000000001</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1105.3800000000001</v>
      </c>
      <c r="F19" s="2951">
        <f>'数据-基础表'!I13</f>
        <v>1105.3800000000001</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1105.3800000000001</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1105.3800000000001</v>
      </c>
      <c r="F27" s="2958">
        <f>IF(SUM(F19:F26)=E8,SUM(F19:F26),"地上面积有误")</f>
        <v>1105.3800000000001</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1105.3800000000001</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1105.3800000000001</v>
      </c>
      <c r="F31" s="2969">
        <f>F27+F30</f>
        <v>1105.3800000000001</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pane="topRight"/>
      <selection pane="bottomLeft"/>
      <selection pane="bottomRight" activeCell="AM7" sqref="AM7"/>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1105.3800000000001</v>
      </c>
      <c r="L6" s="2828">
        <v>4500</v>
      </c>
      <c r="M6" s="2829">
        <f t="shared" ref="M6:M14" si="0">ROUND(K6*L6/10000,0)</f>
        <v>497</v>
      </c>
      <c r="N6" s="2830">
        <f>N19</f>
        <v>0.93</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1.5</v>
      </c>
      <c r="V6" s="2852">
        <v>0.01</v>
      </c>
      <c r="W6" s="2852">
        <v>0</v>
      </c>
      <c r="X6" s="2853"/>
      <c r="Y6" s="2872">
        <f>N6</f>
        <v>0.93</v>
      </c>
      <c r="Z6" s="2873">
        <f>ROUND(V18*1.02,1)</f>
        <v>1.8</v>
      </c>
      <c r="AA6" s="2740">
        <v>0.02</v>
      </c>
      <c r="AB6" s="2740">
        <v>0.1</v>
      </c>
      <c r="AC6" s="2853"/>
      <c r="AD6" s="2874">
        <v>0.73</v>
      </c>
      <c r="AE6" s="2875">
        <f ca="1">IF(AN6="",0,SUMIF(INDIRECT("'"&amp;AN6&amp;"'"&amp;"!E:E"),$AE$5,INDIRECT("'"&amp;AN6&amp;"'"&amp;"!F:F")))</f>
        <v>39.99</v>
      </c>
      <c r="AF6" s="3412">
        <f>项目基本情况!I15</f>
        <v>19.239999999999998</v>
      </c>
      <c r="AG6" s="1725">
        <f ca="1">IF(AF6="",0,AE6-AF6)</f>
        <v>20.750000000000004</v>
      </c>
      <c r="AH6" s="2884"/>
      <c r="AI6" s="2885">
        <v>365</v>
      </c>
      <c r="AJ6" s="2886"/>
      <c r="AK6" s="2887">
        <v>4.0000000000000001E-3</v>
      </c>
      <c r="AL6" s="2888">
        <v>1.5E-3</v>
      </c>
      <c r="AM6" s="2889">
        <v>5.0000000000000001E-3</v>
      </c>
      <c r="AN6" s="2890" t="s">
        <v>266</v>
      </c>
      <c r="AO6" s="782">
        <f ca="1">SUMIF(INDIRECT("'"&amp;AN6&amp;"'"&amp;"!A:A"),"总价",INDIRECT("'"&amp;AN6&amp;"'"&amp;"!B:B"))</f>
        <v>859.65620000000001</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1105.3800000000001</v>
      </c>
      <c r="L16" s="2838">
        <f>ROUND(M16*10000/SUM(K6:K14),0)</f>
        <v>4496</v>
      </c>
      <c r="M16" s="2838">
        <f>SUM(M6:M14)</f>
        <v>497</v>
      </c>
      <c r="N16" s="2839">
        <f>ROUND(SUMPRODUCT(M6:M14,N6:N14)/M16,3)</f>
        <v>0.93</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1.79</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ROUND(1-(2024-N18)/60,2)</f>
        <v>0.93</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1215.9180000000001</v>
      </c>
      <c r="M25" s="2260">
        <f>ROUND(N25/L25,0)</f>
        <v>4091</v>
      </c>
      <c r="N25" s="2260">
        <f>N26+N29+N30</f>
        <v>4974873.2280000001</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1215.9180000000001</v>
      </c>
      <c r="M26" s="2260">
        <v>2164</v>
      </c>
      <c r="N26" s="2260">
        <f>N27+N28</f>
        <v>2386183.8059999999</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1105.3800000000001</v>
      </c>
      <c r="M27" s="2260">
        <v>1670</v>
      </c>
      <c r="N27" s="2260">
        <f>M27*L27</f>
        <v>1845984.6</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110.53800000000001</v>
      </c>
      <c r="M28" s="2260">
        <v>4887</v>
      </c>
      <c r="N28" s="2260">
        <f>M28*L28</f>
        <v>540199.20600000001</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22.107600000000001</v>
      </c>
      <c r="C29" s="2776" t="s">
        <v>660</v>
      </c>
      <c r="D29" s="2770"/>
      <c r="E29" s="776"/>
      <c r="F29" s="776"/>
      <c r="G29" s="2753"/>
      <c r="H29" s="2753"/>
      <c r="I29" s="2753"/>
      <c r="J29" s="2753"/>
      <c r="K29" s="2840" t="s">
        <v>2746</v>
      </c>
      <c r="L29" s="2840">
        <f>L26</f>
        <v>1215.9180000000001</v>
      </c>
      <c r="M29" s="2260">
        <v>569</v>
      </c>
      <c r="N29" s="2260">
        <f>M29*L29</f>
        <v>691857.34200000006</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1215.9180000000001</v>
      </c>
      <c r="M30" s="2260">
        <v>1560</v>
      </c>
      <c r="N30" s="2260">
        <f>M30*L30</f>
        <v>1896832.08</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110.53800000000001</v>
      </c>
      <c r="M31" s="2260">
        <f>M25</f>
        <v>4091</v>
      </c>
      <c r="N31" s="2260">
        <f>M31*L31</f>
        <v>452210.95800000004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1215.9180000000001</v>
      </c>
      <c r="M32" s="2260">
        <f>ROUND(N32/L32,0)</f>
        <v>4463</v>
      </c>
      <c r="N32" s="2260">
        <f>N31+N25</f>
        <v>5427084.1859999998</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8" sqref="F27:F28"/>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2752</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6" t="s">
        <v>2752</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较好</v>
      </c>
      <c r="D20" s="2661"/>
      <c r="E20" s="2685"/>
      <c r="F20" s="2029" t="s">
        <v>720</v>
      </c>
      <c r="G20" s="2687" t="str">
        <f>G6</f>
        <v>估价对象所在区域基础设施水平</v>
      </c>
    </row>
    <row r="21" spans="1:18">
      <c r="A21" s="2682"/>
      <c r="B21" s="2029" t="s">
        <v>542</v>
      </c>
      <c r="C21" s="2687" t="str">
        <f>C7</f>
        <v>较好</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1105.3800000000001</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1978</v>
      </c>
      <c r="C5" s="2623">
        <f ca="1">IF(B5=D14,结果表!H102,ROUND(B5*10000/$B$1,0))</f>
        <v>17895</v>
      </c>
      <c r="D5" s="2623" t="e">
        <f ca="1">ROUND(B5*10000/$B$2,0)</f>
        <v>#DIV/0!</v>
      </c>
      <c r="E5" s="2624"/>
      <c r="F5" s="2625"/>
      <c r="G5" s="2625"/>
      <c r="H5" s="2626"/>
      <c r="I5" s="2626"/>
      <c r="J5" s="2626"/>
      <c r="K5" s="2626"/>
    </row>
    <row r="6" spans="1:11" ht="16.5">
      <c r="A6" s="2623" t="s">
        <v>738</v>
      </c>
      <c r="B6" s="2623">
        <f ca="1">SUM(G14:G23)</f>
        <v>1978</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17894</v>
      </c>
      <c r="D7" s="2623" t="e">
        <f>ROUND(B7*10000/$B$2,0)</f>
        <v>#DIV/0!</v>
      </c>
      <c r="E7" s="2624"/>
      <c r="F7" s="2625"/>
      <c r="G7" s="2625"/>
      <c r="H7" s="2626"/>
      <c r="I7" s="2626"/>
      <c r="J7" s="2626"/>
      <c r="K7" s="2626"/>
    </row>
    <row r="8" spans="1:11" ht="16.5">
      <c r="A8" s="2623" t="s">
        <v>336</v>
      </c>
      <c r="B8" s="2623">
        <f ca="1">SUM(I14:I23)</f>
        <v>1939</v>
      </c>
      <c r="C8" s="2623">
        <f ca="1">IF(B8=I14,结果表!H112,ROUND(B8*10000/$B$1,0))</f>
        <v>17541</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1105.3800000000001</v>
      </c>
      <c r="C14" s="2635"/>
      <c r="D14" s="2635">
        <f ca="1">ROUND(B14*E14/10000,0)</f>
        <v>1978</v>
      </c>
      <c r="E14" s="2635">
        <f ca="1">结果表!G20</f>
        <v>17895</v>
      </c>
      <c r="F14" s="2635" t="e">
        <f ca="1">ROUND(D14*10000/C14,0)</f>
        <v>#DIV/0!</v>
      </c>
      <c r="G14" s="2635">
        <f ca="1">D14</f>
        <v>1978</v>
      </c>
      <c r="H14" s="2635"/>
      <c r="I14" s="2635">
        <f ca="1">结果表!D126</f>
        <v>1939</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80" zoomScaleNormal="100" zoomScalePageLayoutView="80" workbookViewId="0">
      <selection activeCell="H112" sqref="H112"/>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23" t="str">
        <f>项目基本情况!S2</f>
        <v>北京市门头沟区金沙西街17号院1号楼13层1301房地产</v>
      </c>
      <c r="B2" s="3524"/>
      <c r="C2" s="3524"/>
      <c r="D2" s="3524"/>
      <c r="E2" s="3524"/>
      <c r="F2" s="3524"/>
      <c r="G2" s="3524"/>
      <c r="H2" s="3524"/>
      <c r="I2" s="3525"/>
    </row>
    <row r="3" spans="1:12" ht="12.75">
      <c r="A3" s="3526" t="s">
        <v>762</v>
      </c>
      <c r="B3" s="3527"/>
      <c r="C3" s="3527"/>
      <c r="D3" s="3527"/>
      <c r="E3" s="3527"/>
      <c r="F3" s="3527"/>
      <c r="G3" s="3527"/>
      <c r="H3" s="3527"/>
      <c r="I3" s="3527"/>
    </row>
    <row r="4" spans="1:12" ht="14.25">
      <c r="A4" s="2367" t="s">
        <v>763</v>
      </c>
      <c r="B4" s="2368" t="s">
        <v>764</v>
      </c>
      <c r="C4" s="2369" t="s">
        <v>240</v>
      </c>
      <c r="D4" s="2369" t="s">
        <v>266</v>
      </c>
      <c r="E4" s="3528" t="s">
        <v>765</v>
      </c>
      <c r="F4" s="3529"/>
      <c r="G4" s="3529"/>
      <c r="H4" s="3529"/>
      <c r="I4" s="3530"/>
      <c r="K4" s="1283" t="str">
        <f>IF(ISNUMBER(FIND("比较法",结果表!C4)),"比较法",IF(ISNUMBER(FIND("成本法",结果表!C4)),"成本法",IF(ISNUMBER(FIND("假设开发法",结果表!C4)),"假设开发法",IF(ISNUMBER(FIND("收益法",结果表!C4)),"收益法","基准地价系数修正法"))))</f>
        <v>成本法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74" t="s">
        <v>766</v>
      </c>
      <c r="B5" s="3612">
        <v>25</v>
      </c>
      <c r="C5" s="3543"/>
      <c r="D5" s="3542"/>
      <c r="E5" s="2028" t="s">
        <v>767</v>
      </c>
      <c r="F5" s="2374"/>
      <c r="G5" s="2374"/>
      <c r="H5" s="2374"/>
      <c r="I5" s="2243"/>
    </row>
    <row r="6" spans="1:12" ht="12.75">
      <c r="A6" s="3574"/>
      <c r="B6" s="3612"/>
      <c r="C6" s="3544"/>
      <c r="D6" s="3542"/>
      <c r="E6" s="2028" t="s">
        <v>768</v>
      </c>
      <c r="F6" s="2374"/>
      <c r="G6" s="2374"/>
      <c r="H6" s="2374"/>
      <c r="I6" s="2243"/>
    </row>
    <row r="7" spans="1:12" ht="12.75">
      <c r="A7" s="3574"/>
      <c r="B7" s="3612"/>
      <c r="C7" s="3545"/>
      <c r="D7" s="3542"/>
      <c r="E7" s="2028" t="s">
        <v>769</v>
      </c>
      <c r="F7" s="2374"/>
      <c r="G7" s="2374"/>
      <c r="H7" s="2374"/>
      <c r="I7" s="2243"/>
    </row>
    <row r="8" spans="1:12" ht="12.75">
      <c r="A8" s="3574" t="s">
        <v>770</v>
      </c>
      <c r="B8" s="3612">
        <v>15</v>
      </c>
      <c r="C8" s="3543"/>
      <c r="D8" s="3542"/>
      <c r="E8" s="2028" t="s">
        <v>771</v>
      </c>
      <c r="F8" s="2374"/>
      <c r="G8" s="2374"/>
      <c r="H8" s="2374"/>
      <c r="I8" s="2243"/>
    </row>
    <row r="9" spans="1:12" ht="12.75">
      <c r="A9" s="3574"/>
      <c r="B9" s="3612"/>
      <c r="C9" s="3545"/>
      <c r="D9" s="3542"/>
      <c r="E9" s="2028" t="s">
        <v>772</v>
      </c>
      <c r="F9" s="2374"/>
      <c r="G9" s="2374"/>
      <c r="H9" s="2374"/>
      <c r="I9" s="2243"/>
    </row>
    <row r="10" spans="1:12" ht="12.75">
      <c r="A10" s="3574" t="s">
        <v>773</v>
      </c>
      <c r="B10" s="3612">
        <v>15</v>
      </c>
      <c r="C10" s="3543"/>
      <c r="D10" s="3542"/>
      <c r="E10" s="2028" t="s">
        <v>774</v>
      </c>
      <c r="F10" s="2374"/>
      <c r="G10" s="2374"/>
      <c r="H10" s="2374"/>
      <c r="I10" s="2243"/>
    </row>
    <row r="11" spans="1:12" ht="12.75">
      <c r="A11" s="3574"/>
      <c r="B11" s="3612"/>
      <c r="C11" s="3545"/>
      <c r="D11" s="3542"/>
      <c r="E11" s="2028" t="s">
        <v>775</v>
      </c>
      <c r="F11" s="2374"/>
      <c r="G11" s="2374"/>
      <c r="H11" s="2374"/>
      <c r="I11" s="2243"/>
    </row>
    <row r="12" spans="1:12" ht="12.75">
      <c r="A12" s="3574" t="s">
        <v>776</v>
      </c>
      <c r="B12" s="3612">
        <v>15</v>
      </c>
      <c r="C12" s="3543"/>
      <c r="D12" s="3542"/>
      <c r="E12" s="2028" t="s">
        <v>777</v>
      </c>
      <c r="F12" s="2374"/>
      <c r="G12" s="2374"/>
      <c r="H12" s="2374"/>
      <c r="I12" s="2243"/>
    </row>
    <row r="13" spans="1:12" ht="12.75">
      <c r="A13" s="3574"/>
      <c r="B13" s="3612"/>
      <c r="C13" s="3545"/>
      <c r="D13" s="3542"/>
      <c r="E13" s="2028" t="s">
        <v>778</v>
      </c>
      <c r="F13" s="2374"/>
      <c r="G13" s="2374"/>
      <c r="H13" s="2374"/>
      <c r="I13" s="2243"/>
    </row>
    <row r="14" spans="1:12" ht="12.75">
      <c r="A14" s="3574" t="s">
        <v>779</v>
      </c>
      <c r="B14" s="3612">
        <v>30</v>
      </c>
      <c r="C14" s="3543">
        <v>8</v>
      </c>
      <c r="D14" s="3542">
        <f>10-C14</f>
        <v>2</v>
      </c>
      <c r="E14" s="2028" t="s">
        <v>780</v>
      </c>
      <c r="F14" s="2374"/>
      <c r="G14" s="2374"/>
      <c r="H14" s="2374"/>
      <c r="I14" s="2243"/>
    </row>
    <row r="15" spans="1:12" ht="12.75">
      <c r="A15" s="3574"/>
      <c r="B15" s="3612"/>
      <c r="C15" s="3544"/>
      <c r="D15" s="3542"/>
      <c r="E15" s="2028" t="s">
        <v>781</v>
      </c>
      <c r="F15" s="2374"/>
      <c r="G15" s="2374"/>
      <c r="H15" s="2374"/>
      <c r="I15" s="2243"/>
    </row>
    <row r="16" spans="1:12" ht="12.75">
      <c r="A16" s="3574"/>
      <c r="B16" s="3612"/>
      <c r="C16" s="3545"/>
      <c r="D16" s="3542"/>
      <c r="E16" s="2028" t="s">
        <v>782</v>
      </c>
      <c r="F16" s="2374"/>
      <c r="G16" s="2374"/>
      <c r="H16" s="2374"/>
      <c r="I16" s="2243"/>
    </row>
    <row r="17" spans="1:36" ht="15">
      <c r="A17" s="2375" t="s">
        <v>783</v>
      </c>
      <c r="B17" s="2376"/>
      <c r="C17" s="2377">
        <f>SUM(C5:C16)</f>
        <v>8</v>
      </c>
      <c r="D17" s="2377">
        <f>SUM(D5:D16)</f>
        <v>2</v>
      </c>
      <c r="E17" s="1324"/>
      <c r="F17" s="1324"/>
      <c r="G17" s="1324"/>
      <c r="H17" s="1324"/>
      <c r="I17" s="1324"/>
      <c r="K17" s="1988"/>
      <c r="L17" s="1988" t="s">
        <v>784</v>
      </c>
      <c r="M17" s="1988" t="s">
        <v>785</v>
      </c>
    </row>
    <row r="18" spans="1:36" ht="31.9" customHeight="1">
      <c r="A18" s="2378" t="s">
        <v>786</v>
      </c>
      <c r="B18" s="2379"/>
      <c r="C18" s="2380">
        <f>ROUND(C17/SUM(C17:D17),2)</f>
        <v>0.8</v>
      </c>
      <c r="D18" s="2380">
        <f>1-C18</f>
        <v>0.19999999999999996</v>
      </c>
      <c r="E18" s="3531" t="s">
        <v>787</v>
      </c>
      <c r="F18" s="3532"/>
      <c r="G18" s="3532"/>
      <c r="H18" s="3532"/>
      <c r="I18" s="3532"/>
      <c r="K18" s="1988" t="s">
        <v>456</v>
      </c>
      <c r="L18" s="1988">
        <f>IF(C1="",'数据-汇总表'!E3,SUMIF(项目类型,C1,'数据-汇总表'!E17:E26)+SUMIF(项目类型,C1,'数据-汇总表'!I17:I26))</f>
        <v>1105.3800000000001</v>
      </c>
      <c r="M18" s="1988">
        <f>IF(C1="",'数据-汇总表'!E3,SUMIF(项目类型,C1,'数据-汇总表'!E17:E26))</f>
        <v>1105.3800000000001</v>
      </c>
    </row>
    <row r="19" spans="1:36" ht="15">
      <c r="A19" s="2381" t="s">
        <v>788</v>
      </c>
      <c r="B19" s="2382" t="s">
        <v>789</v>
      </c>
      <c r="C19" s="2383">
        <f ca="1">SUMIF(INDIRECT("'"&amp;C4&amp;"'"&amp;"!A:A"),结果表!B19,INDIRECT("'"&amp;C4&amp;"'"&amp;"!B:B"))</f>
        <v>2257.5958000000001</v>
      </c>
      <c r="D19" s="1535">
        <f ca="1">SUMIF(INDIRECT("'"&amp;D4&amp;"'"&amp;"!A:A"),结果表!B19,INDIRECT("'"&amp;D4&amp;"'"&amp;"!B:B"))</f>
        <v>859.65620000000001</v>
      </c>
      <c r="E19" s="2381" t="s">
        <v>790</v>
      </c>
      <c r="F19" s="2382" t="s">
        <v>789</v>
      </c>
      <c r="G19" s="2384">
        <f ca="1">ROUND(C19*$C$18+D19*$D$18,0)</f>
        <v>1978</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20424</v>
      </c>
      <c r="D20" s="1725">
        <f ca="1">SUMIF(INDIRECT("'"&amp;D4&amp;"'"&amp;"!A:A"),结果表!B20,INDIRECT("'"&amp;D4&amp;"'"&amp;"!B:B"))</f>
        <v>7777</v>
      </c>
      <c r="E20" s="2386"/>
      <c r="F20" s="2387" t="s">
        <v>792</v>
      </c>
      <c r="G20" s="2388">
        <f ca="1">ROUND(C20*$C$18+D20*$D$18,0)</f>
        <v>17895</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1.6261612491133084</v>
      </c>
      <c r="E22" s="1324"/>
      <c r="F22" s="1324"/>
      <c r="G22" s="1324"/>
      <c r="H22" s="1324"/>
      <c r="I22" s="1324"/>
    </row>
    <row r="23" spans="1:36" ht="12.75">
      <c r="A23" s="2362"/>
      <c r="B23" s="2362"/>
      <c r="C23" s="2362"/>
      <c r="D23" s="2362"/>
      <c r="E23" s="1324"/>
      <c r="F23" s="1324"/>
      <c r="G23" s="1324"/>
      <c r="H23" s="1324"/>
      <c r="I23" s="1324"/>
    </row>
    <row r="24" spans="1:36" ht="14.25">
      <c r="A24" s="3605" t="s">
        <v>796</v>
      </c>
      <c r="B24" s="2382" t="s">
        <v>789</v>
      </c>
      <c r="C24" s="2384">
        <f>IF(B30=0,0,D30)</f>
        <v>0</v>
      </c>
      <c r="D24" s="2398"/>
      <c r="E24" s="1324"/>
      <c r="F24" s="1324"/>
      <c r="G24" s="1324"/>
      <c r="H24" s="1324"/>
      <c r="I24" s="1324"/>
    </row>
    <row r="25" spans="1:36" ht="14.25">
      <c r="A25" s="360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17895</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607" t="s">
        <v>813</v>
      </c>
      <c r="B36" s="2428" t="s">
        <v>814</v>
      </c>
      <c r="C36" s="2429"/>
      <c r="D36" s="2430" t="s">
        <v>2783</v>
      </c>
      <c r="E36" s="2431"/>
      <c r="F36" s="2432"/>
      <c r="G36" s="1324"/>
      <c r="H36" s="1324"/>
      <c r="I36" s="1324"/>
    </row>
    <row r="37" spans="1:15" ht="15">
      <c r="A37" s="3608"/>
      <c r="B37" s="2433" t="s">
        <v>815</v>
      </c>
      <c r="C37" s="2434"/>
      <c r="D37" s="2435"/>
      <c r="E37" s="2435"/>
      <c r="F37" s="2432"/>
      <c r="G37" s="1324"/>
      <c r="H37" s="1324"/>
      <c r="I37" s="1324"/>
    </row>
    <row r="38" spans="1:15" ht="15">
      <c r="A38" s="360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533" t="s">
        <v>824</v>
      </c>
      <c r="B45" s="3534"/>
      <c r="C45" s="3535"/>
      <c r="D45" s="1987">
        <f ca="1">ROUND(H101*F45,0)</f>
        <v>1978</v>
      </c>
      <c r="E45" s="2454" t="s">
        <v>825</v>
      </c>
      <c r="F45" s="2455">
        <v>1</v>
      </c>
      <c r="G45" s="2456" t="s">
        <v>826</v>
      </c>
      <c r="H45" s="1324"/>
      <c r="I45" s="1324"/>
      <c r="J45" s="3536" t="s">
        <v>827</v>
      </c>
      <c r="K45" s="3536"/>
      <c r="L45" s="3536"/>
      <c r="M45" s="3536"/>
      <c r="N45" s="3536"/>
      <c r="O45" s="3536"/>
    </row>
    <row r="46" spans="1:15" ht="14.25" customHeight="1">
      <c r="A46" s="3537" t="s">
        <v>828</v>
      </c>
      <c r="B46" s="3538"/>
      <c r="C46" s="3538"/>
      <c r="D46" s="3538"/>
      <c r="E46" s="3538"/>
      <c r="F46" s="3538"/>
      <c r="G46" s="3539"/>
      <c r="H46" s="2457"/>
      <c r="I46" s="1325"/>
      <c r="J46" s="954">
        <v>1</v>
      </c>
      <c r="K46" s="3540" t="s">
        <v>829</v>
      </c>
      <c r="L46" s="3540"/>
      <c r="M46" s="3541"/>
      <c r="N46" s="3541"/>
      <c r="O46" s="3541"/>
    </row>
    <row r="47" spans="1:15" ht="12" customHeight="1">
      <c r="A47" s="2458" t="s">
        <v>830</v>
      </c>
      <c r="B47" s="2459"/>
      <c r="C47" s="2460"/>
      <c r="D47" s="2038" t="s">
        <v>831</v>
      </c>
      <c r="E47" s="1988" t="s">
        <v>832</v>
      </c>
      <c r="F47" s="2461" t="s">
        <v>833</v>
      </c>
      <c r="G47" s="2462" t="s">
        <v>834</v>
      </c>
      <c r="H47" s="2463"/>
      <c r="I47" s="1325"/>
      <c r="J47" s="891">
        <v>2</v>
      </c>
      <c r="K47" s="3546" t="s">
        <v>2769</v>
      </c>
      <c r="L47" s="3546"/>
      <c r="M47" s="3547">
        <f>'数据-取费表'!B2</f>
        <v>45359</v>
      </c>
      <c r="N47" s="3547"/>
      <c r="O47" s="3547"/>
    </row>
    <row r="48" spans="1:15" ht="25.5">
      <c r="A48" s="3548" t="s">
        <v>835</v>
      </c>
      <c r="B48" s="3549"/>
      <c r="C48" s="3549"/>
      <c r="D48" s="2143">
        <f ca="1">IF(H48="情况1",0,IF(H48="情况2",D52,IF(H48="情况3",D53,IF(H48="情况4",D54))))</f>
        <v>13</v>
      </c>
      <c r="E48" s="2042" t="str">
        <f>IF(H48="情况4","(销售额-原购置价)×税（费）率","销售额×税（费）率")</f>
        <v>(销售额-原购置价)×税（费）率</v>
      </c>
      <c r="F48" s="2465">
        <f>IF(H48="情况1","免征",'数据-取费表'!B41)</f>
        <v>5.6000000000000001E-2</v>
      </c>
      <c r="G48" s="2466" t="s">
        <v>836</v>
      </c>
      <c r="H48" s="2467" t="s">
        <v>2764</v>
      </c>
      <c r="I48" s="2457"/>
      <c r="J48" s="891">
        <v>3</v>
      </c>
      <c r="K48" s="3546" t="s">
        <v>2770</v>
      </c>
      <c r="L48" s="3546"/>
      <c r="M48" s="3550">
        <f ca="1">H101</f>
        <v>1978</v>
      </c>
      <c r="N48" s="3550"/>
      <c r="O48" s="3550"/>
    </row>
    <row r="49" spans="1:35" ht="25.5" customHeight="1">
      <c r="A49" s="2464" t="s">
        <v>837</v>
      </c>
      <c r="B49" s="3551" t="s">
        <v>838</v>
      </c>
      <c r="C49" s="3551"/>
      <c r="D49" s="2468">
        <v>0</v>
      </c>
      <c r="E49" s="2048" t="s">
        <v>839</v>
      </c>
      <c r="F49" s="2469" t="s">
        <v>124</v>
      </c>
      <c r="G49" s="3557"/>
      <c r="H49" s="2470" t="s">
        <v>840</v>
      </c>
      <c r="I49" s="2506"/>
      <c r="J49" s="891">
        <v>4</v>
      </c>
      <c r="K49" s="3546" t="str">
        <f>IF(项目基本情况!E8="房地产抵押价值","房地产抵押价值","抵押担保权已注销时的房地产抵押价值")</f>
        <v>抵押担保权已注销时的房地产抵押价值</v>
      </c>
      <c r="L49" s="3546"/>
      <c r="M49" s="3550">
        <f ca="1">IF(项目基本情况!E8="房地产抵押价值",H107,H109)</f>
        <v>1978</v>
      </c>
      <c r="N49" s="3550"/>
      <c r="O49" s="3550"/>
    </row>
    <row r="50" spans="1:35" ht="25.5" customHeight="1">
      <c r="A50" s="2471"/>
      <c r="B50" s="3551" t="s">
        <v>841</v>
      </c>
      <c r="C50" s="3551"/>
      <c r="D50" s="2472"/>
      <c r="E50" s="2064"/>
      <c r="F50" s="2469"/>
      <c r="G50" s="3558"/>
      <c r="H50" s="2473" t="s">
        <v>842</v>
      </c>
      <c r="I50" s="2506"/>
      <c r="J50" s="3550" t="s">
        <v>2771</v>
      </c>
      <c r="K50" s="3550"/>
      <c r="L50" s="3550"/>
      <c r="M50" s="3550"/>
      <c r="N50" s="3550"/>
      <c r="O50" s="3550"/>
    </row>
    <row r="51" spans="1:35" ht="20.45" customHeight="1">
      <c r="A51" s="2474"/>
      <c r="B51" s="3551" t="s">
        <v>843</v>
      </c>
      <c r="C51" s="3551"/>
      <c r="D51" s="2038"/>
      <c r="E51" s="2052"/>
      <c r="F51" s="2469"/>
      <c r="G51" s="3559"/>
      <c r="H51" s="2473" t="s">
        <v>844</v>
      </c>
      <c r="I51" s="2506"/>
      <c r="J51" s="2515" t="s">
        <v>1439</v>
      </c>
      <c r="K51" s="3546" t="s">
        <v>2772</v>
      </c>
      <c r="L51" s="3546"/>
      <c r="M51" s="2515" t="s">
        <v>2773</v>
      </c>
      <c r="N51" s="2515" t="s">
        <v>2774</v>
      </c>
      <c r="O51" s="2515" t="s">
        <v>2775</v>
      </c>
    </row>
    <row r="52" spans="1:35" ht="24" customHeight="1">
      <c r="A52" s="2475" t="s">
        <v>845</v>
      </c>
      <c r="B52" s="3551" t="s">
        <v>846</v>
      </c>
      <c r="C52" s="3551"/>
      <c r="D52" s="2038">
        <f ca="1">ROUND(D45*'数据-取费表'!B41/(1+'数据-取费表'!C42),0)</f>
        <v>105</v>
      </c>
      <c r="E52" s="2042" t="s">
        <v>847</v>
      </c>
      <c r="F52" s="2476">
        <f>'数据-取费表'!B41</f>
        <v>5.6000000000000001E-2</v>
      </c>
      <c r="G52" s="2477"/>
      <c r="H52" s="2158"/>
      <c r="I52" s="2507"/>
      <c r="J52" s="891">
        <v>1</v>
      </c>
      <c r="K52" s="3553" t="s">
        <v>2776</v>
      </c>
      <c r="L52" s="3553"/>
      <c r="M52" s="891">
        <f ca="1">D48</f>
        <v>13</v>
      </c>
      <c r="N52" s="891" t="str">
        <f>E48</f>
        <v>(销售额-原购置价)×税（费）率</v>
      </c>
      <c r="O52" s="3421">
        <f>F48</f>
        <v>5.6000000000000001E-2</v>
      </c>
    </row>
    <row r="53" spans="1:35" ht="12" customHeight="1">
      <c r="A53" s="2475" t="s">
        <v>848</v>
      </c>
      <c r="B53" s="3554" t="s">
        <v>849</v>
      </c>
      <c r="C53" s="3555"/>
      <c r="D53" s="2038">
        <f ca="1">ROUND(D45*'数据-取费表'!B41/(1+'数据-取费表'!C42),0)</f>
        <v>105</v>
      </c>
      <c r="E53" s="2042" t="s">
        <v>847</v>
      </c>
      <c r="F53" s="2476">
        <f>'数据-取费表'!B41</f>
        <v>5.6000000000000001E-2</v>
      </c>
      <c r="G53" s="2477"/>
      <c r="H53" s="2158"/>
      <c r="I53" s="2507"/>
      <c r="J53" s="891">
        <v>2</v>
      </c>
      <c r="K53" s="3553" t="s">
        <v>2777</v>
      </c>
      <c r="L53" s="3553"/>
      <c r="M53" s="891">
        <f t="shared" ref="M53:O54" ca="1" si="0">D55</f>
        <v>1</v>
      </c>
      <c r="N53" s="891" t="str">
        <f t="shared" si="0"/>
        <v>销售额×税（费）率</v>
      </c>
      <c r="O53" s="3421">
        <f t="shared" si="0"/>
        <v>5.0000000000000001E-4</v>
      </c>
    </row>
    <row r="54" spans="1:35" ht="12" customHeight="1">
      <c r="A54" s="2475" t="s">
        <v>850</v>
      </c>
      <c r="B54" s="3554" t="s">
        <v>851</v>
      </c>
      <c r="C54" s="3555"/>
      <c r="D54" s="2038">
        <f ca="1">C68</f>
        <v>13</v>
      </c>
      <c r="E54" s="2052" t="s">
        <v>852</v>
      </c>
      <c r="F54" s="2476">
        <f>'数据-取费表'!B41</f>
        <v>5.6000000000000001E-2</v>
      </c>
      <c r="G54" s="2477"/>
      <c r="H54" s="2478"/>
      <c r="I54" s="2507"/>
      <c r="J54" s="891">
        <v>3</v>
      </c>
      <c r="K54" s="3553" t="s">
        <v>2778</v>
      </c>
      <c r="L54" s="3553"/>
      <c r="M54" s="891">
        <f t="shared" ca="1" si="0"/>
        <v>25</v>
      </c>
      <c r="N54" s="891" t="str">
        <f t="shared" si="0"/>
        <v>增值额×税（费）率</v>
      </c>
      <c r="O54" s="3422" t="str">
        <f t="shared" si="0"/>
        <v>——</v>
      </c>
    </row>
    <row r="55" spans="1:35" ht="24" customHeight="1">
      <c r="A55" s="3556" t="s">
        <v>853</v>
      </c>
      <c r="B55" s="3549"/>
      <c r="C55" s="3549"/>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53" t="str">
        <f>IF(H59="非个人房产","——","个人所得税")</f>
        <v>——</v>
      </c>
      <c r="L55" s="3553"/>
      <c r="M55" s="920" t="str">
        <f>D59</f>
        <v>——</v>
      </c>
      <c r="N55" s="920" t="str">
        <f>E59</f>
        <v>——</v>
      </c>
      <c r="O55" s="3423" t="str">
        <f>F59</f>
        <v>——</v>
      </c>
    </row>
    <row r="56" spans="1:35" ht="24.75">
      <c r="A56" s="3556" t="s">
        <v>855</v>
      </c>
      <c r="B56" s="3549"/>
      <c r="C56" s="3549"/>
      <c r="D56" s="2143">
        <f ca="1">IF(H56="个人住宅",D57,D58)</f>
        <v>25</v>
      </c>
      <c r="E56" s="2042" t="s">
        <v>856</v>
      </c>
      <c r="F56" s="2476" t="str">
        <f>IF(H56="正常",F58,"免征")</f>
        <v>——</v>
      </c>
      <c r="G56" s="2479" t="s">
        <v>857</v>
      </c>
      <c r="H56" s="2480" t="s">
        <v>1137</v>
      </c>
      <c r="I56" s="2489"/>
      <c r="J56" s="891" t="str">
        <f>IF(项目基本情况!K6="上海银行",IF(J55="",4,J55+1),"")</f>
        <v/>
      </c>
      <c r="K56" s="3560" t="str">
        <f>IF(项目基本情况!K6="上海银行","其他处置费用","")</f>
        <v/>
      </c>
      <c r="L56" s="3561"/>
      <c r="M56" s="891" t="str">
        <f>IF(项目基本情况!K6="上海银行",M69,"")</f>
        <v/>
      </c>
      <c r="N56" s="3560" t="str">
        <f>IF(项目基本情况!K6="上海银行","包含处置中涉及的律师、诉讼、拍卖、评估等费用","")</f>
        <v/>
      </c>
      <c r="O56" s="3562"/>
    </row>
    <row r="57" spans="1:35" ht="12.75">
      <c r="A57" s="2475" t="s">
        <v>837</v>
      </c>
      <c r="B57" s="3554" t="s">
        <v>858</v>
      </c>
      <c r="C57" s="3555"/>
      <c r="D57" s="2468">
        <v>0</v>
      </c>
      <c r="E57" s="2048" t="s">
        <v>839</v>
      </c>
      <c r="F57" s="1988"/>
      <c r="G57" s="2477"/>
      <c r="H57" s="2481"/>
      <c r="I57" s="2489"/>
      <c r="J57" s="3553">
        <f>IF(AND(J55="",J56=""),4,IF(项目基本情况!K6="上海银行",结果表!J56+1,结果表!J55+1))</f>
        <v>4</v>
      </c>
      <c r="K57" s="3553" t="s">
        <v>1819</v>
      </c>
      <c r="L57" s="2557" t="s">
        <v>2779</v>
      </c>
      <c r="M57" s="3424"/>
      <c r="N57" s="3425">
        <f ca="1">SUMIF(M52:M56,"&lt;9e307")</f>
        <v>39</v>
      </c>
      <c r="O57" s="3426"/>
      <c r="P57" s="2509">
        <f ca="1">N57/M49</f>
        <v>1.9716885743174924E-2</v>
      </c>
    </row>
    <row r="58" spans="1:35" ht="24.75">
      <c r="A58" s="2475" t="s">
        <v>845</v>
      </c>
      <c r="B58" s="3554" t="s">
        <v>859</v>
      </c>
      <c r="C58" s="3551"/>
      <c r="D58" s="2143">
        <f ca="1">IF(H58="转让取得",C81,C97)</f>
        <v>25</v>
      </c>
      <c r="E58" s="2042" t="s">
        <v>856</v>
      </c>
      <c r="F58" s="1988" t="s">
        <v>124</v>
      </c>
      <c r="G58" s="2477"/>
      <c r="H58" s="2480" t="s">
        <v>2765</v>
      </c>
      <c r="I58" s="2489"/>
      <c r="J58" s="3553"/>
      <c r="K58" s="3553"/>
      <c r="L58" s="2557" t="s">
        <v>2780</v>
      </c>
      <c r="M58" s="2557"/>
      <c r="N58" s="3427" t="str">
        <f ca="1">NUMBERSTRING(INT(N57*10000),2)&amp;"元整"</f>
        <v>叁拾玖万元整</v>
      </c>
      <c r="O58" s="1026"/>
    </row>
    <row r="59" spans="1:35" ht="24">
      <c r="A59" s="3563" t="s">
        <v>860</v>
      </c>
      <c r="B59" s="3564"/>
      <c r="C59" s="3564"/>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2766</v>
      </c>
      <c r="I59" s="2510" t="s">
        <v>861</v>
      </c>
      <c r="J59" s="3568">
        <f>J57+1</f>
        <v>5</v>
      </c>
      <c r="K59" s="3553" t="s">
        <v>2781</v>
      </c>
      <c r="L59" s="891" t="s">
        <v>2779</v>
      </c>
      <c r="M59" s="3428"/>
      <c r="N59" s="3429">
        <f ca="1">M49-N57</f>
        <v>1939</v>
      </c>
      <c r="O59" s="3430"/>
    </row>
    <row r="60" spans="1:35" ht="12" customHeight="1">
      <c r="A60" s="2487"/>
      <c r="B60" s="2362"/>
      <c r="C60" s="2362"/>
      <c r="D60" s="2362"/>
      <c r="E60" s="2488"/>
      <c r="F60" s="2489"/>
      <c r="G60" s="2489"/>
      <c r="H60" s="2490"/>
      <c r="I60" s="1324"/>
      <c r="J60" s="3569"/>
      <c r="K60" s="3553"/>
      <c r="L60" s="2557" t="s">
        <v>2780</v>
      </c>
      <c r="M60" s="2557"/>
      <c r="N60" s="3427" t="str">
        <f ca="1">NUMBERSTRING(INT(N59*10000),2)&amp;"元整"</f>
        <v>壹仟玖佰叁拾玖万元整</v>
      </c>
      <c r="O60" s="1026"/>
    </row>
    <row r="61" spans="1:35" ht="12.75">
      <c r="A61" s="3565" t="s">
        <v>862</v>
      </c>
      <c r="B61" s="3565"/>
      <c r="C61" s="3565"/>
      <c r="D61" s="3565"/>
      <c r="E61" s="3565"/>
      <c r="F61" s="2489"/>
      <c r="G61" s="2489"/>
      <c r="H61" s="2490"/>
      <c r="I61" s="1324"/>
      <c r="J61" s="891">
        <f>J59+1</f>
        <v>6</v>
      </c>
      <c r="K61" s="3553" t="s">
        <v>2782</v>
      </c>
      <c r="L61" s="3553"/>
      <c r="M61" s="3431"/>
      <c r="N61" s="3432">
        <f ca="1">ROUND(N59*10000/'数据-汇总表'!E3,0)</f>
        <v>17541</v>
      </c>
      <c r="O61" s="3433"/>
    </row>
    <row r="62" spans="1:35" ht="12.75">
      <c r="A62" s="3566" t="s">
        <v>863</v>
      </c>
      <c r="B62" s="3567"/>
      <c r="C62" s="905"/>
      <c r="D62" s="905" t="s">
        <v>864</v>
      </c>
      <c r="E62" s="2491" t="s">
        <v>834</v>
      </c>
      <c r="F62" s="2489"/>
      <c r="G62" s="2489"/>
      <c r="H62" s="2490"/>
      <c r="I62" s="1324"/>
    </row>
    <row r="63" spans="1:35" ht="12.75">
      <c r="A63" s="2492" t="s">
        <v>865</v>
      </c>
      <c r="B63" s="964" t="s">
        <v>866</v>
      </c>
      <c r="C63" s="2493">
        <f ca="1">ROUND((C64+C65)/(1+'数据-取费表'!C42),0)</f>
        <v>1884</v>
      </c>
      <c r="D63" s="964"/>
      <c r="E63" s="2494"/>
      <c r="F63" s="2489"/>
      <c r="G63" s="2489"/>
      <c r="H63" s="2490"/>
      <c r="I63" s="1324"/>
      <c r="J63" s="3552" t="s">
        <v>867</v>
      </c>
      <c r="K63" s="2511" t="s">
        <v>868</v>
      </c>
      <c r="L63" s="2511">
        <f ca="1">IF(M49&gt;10000,M49*0.5%,IF(AND(M49&gt;1000,M49&lt;=10000),M49*1%,IF(AND(M49&gt;100,M49&lt;=1000),M49*3%,IF(AND(M49&gt;10,M49&lt;=100),M49*5%,M49*8%))))</f>
        <v>19.78</v>
      </c>
      <c r="M63" s="1988">
        <f ca="1">ROUND(L63,1)</f>
        <v>19.8</v>
      </c>
      <c r="N63" s="2512"/>
      <c r="Z63" s="2359"/>
      <c r="AI63" s="2360"/>
    </row>
    <row r="64" spans="1:35" ht="14.25" customHeight="1">
      <c r="A64" s="2495" t="s">
        <v>869</v>
      </c>
      <c r="B64" s="891" t="s">
        <v>870</v>
      </c>
      <c r="C64" s="2496">
        <f ca="1">D45</f>
        <v>1978</v>
      </c>
      <c r="D64" s="891" t="s">
        <v>124</v>
      </c>
      <c r="E64" s="2497"/>
      <c r="F64" s="2489"/>
      <c r="G64" s="2489"/>
      <c r="H64" s="2490"/>
      <c r="I64" s="1324"/>
      <c r="J64" s="3552"/>
      <c r="K64" s="2511" t="s">
        <v>871</v>
      </c>
      <c r="L64" s="2511">
        <f ca="1">IF(M49&gt;2000,M49*0.5%,IF(AND(M49&gt;1000,M49&lt;=2000),M49*0.6%,IF(AND(M49&gt;500,M49&lt;=1000),M49*0.7%,IF(AND(M49&gt;200,M49&lt;=500),M49*0.8%,IF(AND(M49&gt;100,M49&lt;=200),M49*0.9%,IF(AND(M49&gt;50,M49&lt;=100),M49*1%,IF(AND(M49&gt;20,M49&lt;=50),M49*1.5%,IF(AND(M49&gt;10,M49&lt;=20),M49*2%,IF(AND(M49&gt;1,M49&lt;=10),M49*2.5%)))))))))</f>
        <v>11.868</v>
      </c>
      <c r="M64" s="1988">
        <f t="shared" ref="M64:M65" ca="1" si="1">ROUND(L64,1)</f>
        <v>11.9</v>
      </c>
      <c r="N64" s="2158" t="s">
        <v>872</v>
      </c>
      <c r="Z64" s="2359"/>
      <c r="AI64" s="2360"/>
    </row>
    <row r="65" spans="1:35" ht="14.25" customHeight="1">
      <c r="A65" s="2495" t="s">
        <v>873</v>
      </c>
      <c r="B65" s="891" t="s">
        <v>874</v>
      </c>
      <c r="C65" s="2514"/>
      <c r="D65" s="891"/>
      <c r="E65" s="2497"/>
      <c r="F65" s="2489"/>
      <c r="G65" s="2489"/>
      <c r="H65" s="2490"/>
      <c r="I65" s="1324"/>
      <c r="J65" s="3552"/>
      <c r="K65" s="2511" t="s">
        <v>875</v>
      </c>
      <c r="L65" s="2511">
        <f ca="1">IF(M49&gt;1000,M49*0.1%,IF(AND(M49&gt;500,M49&lt;=1000),M49*0.5%,IF(AND(M49&gt;50,M49&lt;=500),M49*1%,IF(AND(M49&gt;1,M49&lt;=50),M49*1.5%))))</f>
        <v>1.978</v>
      </c>
      <c r="M65" s="1988">
        <f t="shared" ca="1" si="1"/>
        <v>2</v>
      </c>
      <c r="N65" s="2158" t="s">
        <v>872</v>
      </c>
      <c r="Z65" s="2359"/>
      <c r="AI65" s="2360"/>
    </row>
    <row r="66" spans="1:35" ht="14.25" customHeight="1">
      <c r="A66" s="2492" t="s">
        <v>876</v>
      </c>
      <c r="B66" s="2515" t="s">
        <v>877</v>
      </c>
      <c r="C66" s="2516">
        <f>C75/1.05</f>
        <v>1652.8062857142857</v>
      </c>
      <c r="D66" s="2515" t="s">
        <v>124</v>
      </c>
      <c r="E66" s="2517" t="s">
        <v>878</v>
      </c>
      <c r="F66" s="2489"/>
      <c r="G66" s="2489"/>
      <c r="H66" s="2490"/>
      <c r="I66" s="1324"/>
      <c r="J66" s="3552"/>
      <c r="K66" s="2511" t="s">
        <v>879</v>
      </c>
      <c r="L66" s="2511">
        <f ca="1">M49*0.5%</f>
        <v>9.89</v>
      </c>
      <c r="M66" s="1988">
        <f ca="1">IF(L66&gt;0.5,0.5,ROUND(L66,0))</f>
        <v>0.5</v>
      </c>
      <c r="N66" s="2158" t="s">
        <v>880</v>
      </c>
      <c r="Z66" s="2359"/>
      <c r="AI66" s="2360"/>
    </row>
    <row r="67" spans="1:35" ht="14.25" customHeight="1">
      <c r="A67" s="2492" t="s">
        <v>881</v>
      </c>
      <c r="B67" s="2515" t="s">
        <v>882</v>
      </c>
      <c r="C67" s="2518">
        <f ca="1">C63-C66</f>
        <v>231.19371428571435</v>
      </c>
      <c r="D67" s="891" t="s">
        <v>124</v>
      </c>
      <c r="E67" s="2497"/>
      <c r="F67" s="2489"/>
      <c r="G67" s="2489"/>
      <c r="H67" s="2490"/>
      <c r="I67" s="1324"/>
      <c r="J67" s="3552"/>
      <c r="K67" s="2511" t="s">
        <v>883</v>
      </c>
      <c r="L67" s="2511">
        <f ca="1">IF(M49&gt;=10000,(8.25+(M49-10000)*0.01%),IF(AND(M49&gt;=8000,M49&lt;10000),(7.85+(M49-8000)*0.02%),IF(AND(M49&gt;=5000,M49&lt;8000),(6.65+(M49-5000)*0.04%),IF(AND(M49&gt;=2000,M49&lt;5000),(4.25+(PM49-2000)*0.08%),IF(AND(M49&gt;=1000,M49&lt;2000),(2.75+(M49-1000)*0.15%),IF(AND(M49&gt;=100,M49&lt;1000),(0.5+(M49-100)*0.25%),IF(AND(M49&gt;0,M49&lt;100),M49*0.5%)))))))</f>
        <v>4.2170000000000005</v>
      </c>
      <c r="M67" s="1988">
        <f ca="1">ROUND(L67*0.9,1)</f>
        <v>3.8</v>
      </c>
      <c r="N67" s="2512"/>
      <c r="Z67" s="2359"/>
      <c r="AI67" s="2360"/>
    </row>
    <row r="68" spans="1:35" ht="14.25" customHeight="1">
      <c r="A68" s="2519" t="s">
        <v>884</v>
      </c>
      <c r="B68" s="2520" t="s">
        <v>885</v>
      </c>
      <c r="C68" s="2521">
        <f ca="1">IF(C67&lt;=0,0,ROUND(C67*D68,0))</f>
        <v>13</v>
      </c>
      <c r="D68" s="1154">
        <f>'数据-取费表'!B41</f>
        <v>5.6000000000000001E-2</v>
      </c>
      <c r="E68" s="2522"/>
      <c r="F68" s="2489"/>
      <c r="G68" s="2489"/>
      <c r="H68" s="2490"/>
      <c r="I68" s="1324"/>
      <c r="J68" s="3552"/>
      <c r="K68" s="2511" t="s">
        <v>886</v>
      </c>
      <c r="L68" s="2511">
        <f ca="1">IF(M49&gt;10000,M49*0.5%,IF(AND(M49&gt;5000,M49&lt;=10000),M49*1%,IF(AND(M49&gt;1000,M49&lt;=5000),M49*2%,IF(AND(M49&gt;200,M49&lt;=1000),M49*3%,M49*5%))))</f>
        <v>39.56</v>
      </c>
      <c r="M68" s="1988">
        <f ca="1">ROUND(L68,1)</f>
        <v>39.6</v>
      </c>
      <c r="N68" s="2512"/>
      <c r="Z68" s="2359"/>
      <c r="AI68" s="2360"/>
    </row>
    <row r="69" spans="1:35" s="2357" customFormat="1" ht="16.5" customHeight="1">
      <c r="A69" s="2523"/>
      <c r="B69" s="2524"/>
      <c r="C69" s="2525"/>
      <c r="D69" s="1071"/>
      <c r="E69" s="2526"/>
      <c r="F69" s="2488"/>
      <c r="G69" s="2488"/>
      <c r="H69" s="2448"/>
      <c r="I69" s="2362"/>
      <c r="J69" s="3552"/>
      <c r="K69" s="2511" t="s">
        <v>887</v>
      </c>
      <c r="L69" s="2511"/>
      <c r="M69" s="1988">
        <f ca="1">ROUND(SUM(M63:M68),0)</f>
        <v>78</v>
      </c>
      <c r="N69" s="2589">
        <f ca="1">M69/M49</f>
        <v>3.9433771486349849E-2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90" t="s">
        <v>888</v>
      </c>
      <c r="B70" s="3591"/>
      <c r="C70" s="3591"/>
      <c r="D70" s="3591"/>
      <c r="E70" s="3591"/>
      <c r="F70" s="3591"/>
      <c r="G70" s="3591"/>
      <c r="H70" s="3591"/>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66" t="s">
        <v>863</v>
      </c>
      <c r="B71" s="3567"/>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1884</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1801</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1790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ROUND((10000000+7354466)/10000,4)</f>
        <v>1735.4466</v>
      </c>
      <c r="D75" s="891" t="s">
        <v>124</v>
      </c>
      <c r="E75" s="2532" t="s">
        <v>894</v>
      </c>
      <c r="F75" s="2533" t="s">
        <v>2767</v>
      </c>
      <c r="G75" s="2532" t="s">
        <v>895</v>
      </c>
      <c r="H75" s="2534">
        <v>1</v>
      </c>
      <c r="I75" s="1173"/>
      <c r="J75" s="2592">
        <f>C75*10000/L18</f>
        <v>15699.999999999998</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54" t="s">
        <v>898</v>
      </c>
      <c r="F76" s="3551"/>
      <c r="G76" s="3551"/>
      <c r="H76" s="3592"/>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50</v>
      </c>
      <c r="D77" s="2538">
        <f>'数据-取费表'!B48+'数据-取费表'!B49</f>
        <v>3.0499999999999999E-2</v>
      </c>
      <c r="E77" s="2143" t="s">
        <v>901</v>
      </c>
      <c r="F77" s="2539"/>
      <c r="G77" s="2540" t="s">
        <v>2768</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11</v>
      </c>
      <c r="D78" s="2542">
        <f>'数据-取费表'!B43</f>
        <v>6.0000000000000001E-3</v>
      </c>
      <c r="E78" s="3593" t="s">
        <v>903</v>
      </c>
      <c r="F78" s="3594"/>
      <c r="G78" s="3594"/>
      <c r="H78" s="3595"/>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83</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4.6085508051082733E-2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25</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90" t="s">
        <v>908</v>
      </c>
      <c r="B83" s="3591"/>
      <c r="C83" s="3591"/>
      <c r="D83" s="3591"/>
      <c r="E83" s="3591"/>
      <c r="F83" s="3591"/>
      <c r="G83" s="3591"/>
      <c r="H83" s="3591"/>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66" t="s">
        <v>863</v>
      </c>
      <c r="B84" s="3567"/>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1884</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11</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602" t="s">
        <v>916</v>
      </c>
      <c r="H90" s="3603"/>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93" t="s">
        <v>920</v>
      </c>
      <c r="F91" s="3594"/>
      <c r="G91" s="3594"/>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93" t="s">
        <v>923</v>
      </c>
      <c r="F92" s="3594"/>
      <c r="G92" s="3594"/>
      <c r="H92" s="3595"/>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11</v>
      </c>
      <c r="D93" s="2542">
        <f>'数据-取费表'!B43</f>
        <v>6.0000000000000001E-3</v>
      </c>
      <c r="E93" s="3593" t="s">
        <v>903</v>
      </c>
      <c r="F93" s="3594"/>
      <c r="G93" s="3594"/>
      <c r="H93" s="3595"/>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615" t="s">
        <v>928</v>
      </c>
      <c r="F94" s="3616"/>
      <c r="G94" s="3616"/>
      <c r="H94" s="3617"/>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1873</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170.27272727272728</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1120</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78"/>
      <c r="E100" s="3518" t="s">
        <v>931</v>
      </c>
      <c r="F100" s="3518"/>
      <c r="G100" s="3518"/>
      <c r="H100" s="3578"/>
      <c r="I100" s="1324"/>
    </row>
    <row r="101" spans="1:35" ht="18.75" customHeight="1">
      <c r="A101" s="3579" t="s">
        <v>932</v>
      </c>
      <c r="B101" s="3580"/>
      <c r="C101" s="2566" t="str">
        <f>C4</f>
        <v>成本法 (元)</v>
      </c>
      <c r="D101" s="2567" t="str">
        <f>D4</f>
        <v>收益法 (元)</v>
      </c>
      <c r="E101" s="3596" t="s">
        <v>933</v>
      </c>
      <c r="F101" s="3597"/>
      <c r="G101" s="2569" t="s">
        <v>934</v>
      </c>
      <c r="H101" s="2570">
        <f ca="1">H118</f>
        <v>1978</v>
      </c>
      <c r="I101" s="1324"/>
    </row>
    <row r="102" spans="1:35" ht="18.75" customHeight="1">
      <c r="A102" s="3610" t="s">
        <v>935</v>
      </c>
      <c r="B102" s="2571" t="s">
        <v>934</v>
      </c>
      <c r="C102" s="2566">
        <f ca="1">IF(D32="楼面单价",ROUND(C19,0),C19)</f>
        <v>2258</v>
      </c>
      <c r="D102" s="2567">
        <f ca="1">IF(D32="楼面单价",ROUND(D19,0),D19)</f>
        <v>860</v>
      </c>
      <c r="E102" s="3596"/>
      <c r="F102" s="3597"/>
      <c r="G102" s="2569" t="s">
        <v>99</v>
      </c>
      <c r="H102" s="2477">
        <f ca="1">I118</f>
        <v>17895</v>
      </c>
      <c r="I102" s="1324"/>
    </row>
    <row r="103" spans="1:35" ht="42.75" customHeight="1">
      <c r="A103" s="3610"/>
      <c r="B103" s="2571" t="s">
        <v>99</v>
      </c>
      <c r="C103" s="2572">
        <f ca="1">C20</f>
        <v>20424</v>
      </c>
      <c r="D103" s="2573">
        <f ca="1">D20</f>
        <v>7777</v>
      </c>
      <c r="E103" s="3581" t="s">
        <v>936</v>
      </c>
      <c r="F103" s="3582"/>
      <c r="G103" s="2574" t="s">
        <v>102</v>
      </c>
      <c r="H103" s="2570">
        <f>IF(D36="正常操作",H104+H105+H106,H105+H106)</f>
        <v>0</v>
      </c>
      <c r="I103" s="1324"/>
    </row>
    <row r="104" spans="1:35" ht="18.75" customHeight="1">
      <c r="A104" s="3610" t="s">
        <v>937</v>
      </c>
      <c r="B104" s="2575" t="s">
        <v>934</v>
      </c>
      <c r="C104" s="2576">
        <f ca="1">H118</f>
        <v>1978</v>
      </c>
      <c r="D104" s="2577"/>
      <c r="E104" s="2433" t="s">
        <v>938</v>
      </c>
      <c r="F104" s="2578"/>
      <c r="G104" s="2574" t="s">
        <v>102</v>
      </c>
      <c r="H104" s="2579">
        <f>IF(D36="同一抵押权人同一抵押物续贷",C36&amp;"（续贷，未扣减，详见特别提示）",C36)</f>
        <v>0</v>
      </c>
      <c r="I104" s="1324"/>
    </row>
    <row r="105" spans="1:35" ht="18.75" customHeight="1">
      <c r="A105" s="3611"/>
      <c r="B105" s="2580" t="s">
        <v>99</v>
      </c>
      <c r="C105" s="2581">
        <f ca="1">I118</f>
        <v>17895</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98" t="str">
        <f>IF(项目基本情况!E8="已注销","——","3.房地产抵押价值")</f>
        <v>——</v>
      </c>
      <c r="F107" s="3597"/>
      <c r="G107" s="2569" t="s">
        <v>934</v>
      </c>
      <c r="H107" s="2570" t="str">
        <f>IF(E107="——","——",H101-H103)</f>
        <v>——</v>
      </c>
      <c r="I107" s="1324"/>
    </row>
    <row r="108" spans="1:35" ht="18.75" customHeight="1">
      <c r="A108" s="1324"/>
      <c r="B108" s="1324"/>
      <c r="C108" s="1324"/>
      <c r="D108" s="1324"/>
      <c r="E108" s="3598"/>
      <c r="F108" s="3597"/>
      <c r="G108" s="2569" t="s">
        <v>99</v>
      </c>
      <c r="H108" s="2477" t="e">
        <f ca="1">IF(H107=H101,H102,ROUND(H107*10000/'数据-汇总表'!E3,0))</f>
        <v>#VALUE!</v>
      </c>
      <c r="I108" s="1324"/>
    </row>
    <row r="109" spans="1:35" ht="18.75" customHeight="1">
      <c r="A109" s="1324"/>
      <c r="B109" s="1324"/>
      <c r="C109" s="1324"/>
      <c r="D109" s="1324"/>
      <c r="E109" s="3598" t="str">
        <f>IF(项目基本情况!E8="已注销及未注销","4.抵押担保权已注销时的房地产抵押价值",IF(项目基本情况!E8="已注销","3.抵押担保权已注销时的房地产抵押价值","——"))</f>
        <v>3.抵押担保权已注销时的房地产抵押价值</v>
      </c>
      <c r="F109" s="3597"/>
      <c r="G109" s="2569" t="s">
        <v>934</v>
      </c>
      <c r="H109" s="2585">
        <f ca="1">IF(E109="——","——",H101-H105-H106)</f>
        <v>1978</v>
      </c>
      <c r="I109" s="1324"/>
    </row>
    <row r="110" spans="1:35" ht="18.75" customHeight="1">
      <c r="A110" s="1324"/>
      <c r="B110" s="1324"/>
      <c r="C110" s="1324"/>
      <c r="D110" s="1324"/>
      <c r="E110" s="3598"/>
      <c r="F110" s="3597"/>
      <c r="G110" s="2569" t="s">
        <v>99</v>
      </c>
      <c r="H110" s="2477">
        <f ca="1">IF(H109="——","——",ROUND(H109*10000/'数据-汇总表'!E3,0))</f>
        <v>17894</v>
      </c>
      <c r="I110" s="1324"/>
    </row>
    <row r="111" spans="1:35" ht="18.75" customHeight="1">
      <c r="A111" s="1324"/>
      <c r="B111" s="1324"/>
      <c r="C111" s="1324"/>
      <c r="D111" s="1324"/>
      <c r="E111" s="3599" t="str">
        <f>IF(项目基本情况!E9="抵押净值",IF(OR(项目基本情况!E8="已注销",项目基本情况!E8="房地产抵押价值"),"4.抵押净值","5.抵押净值"),"——")</f>
        <v>4.抵押净值</v>
      </c>
      <c r="F111" s="3570"/>
      <c r="G111" s="2569" t="s">
        <v>934</v>
      </c>
      <c r="H111" s="2570">
        <f ca="1">IF(E111="——","——",N59)</f>
        <v>1939</v>
      </c>
      <c r="I111" s="1324"/>
    </row>
    <row r="112" spans="1:35" ht="18.75" customHeight="1">
      <c r="A112" s="1324"/>
      <c r="B112" s="1324"/>
      <c r="C112" s="1324"/>
      <c r="D112" s="1324"/>
      <c r="E112" s="3600"/>
      <c r="F112" s="3601"/>
      <c r="G112" s="2586" t="s">
        <v>99</v>
      </c>
      <c r="H112" s="2587">
        <f ca="1">IF(E111="——","——",N61)</f>
        <v>17541</v>
      </c>
      <c r="I112" s="1324"/>
    </row>
    <row r="113" spans="1:27" ht="18.75" customHeight="1">
      <c r="A113" s="1324"/>
      <c r="B113" s="1324"/>
      <c r="C113" s="1324"/>
      <c r="D113" s="1324"/>
      <c r="E113" s="3583" t="s">
        <v>940</v>
      </c>
      <c r="F113" s="3583"/>
      <c r="G113" s="3583"/>
      <c r="H113" s="3583"/>
      <c r="I113" s="1324"/>
    </row>
    <row r="114" spans="1:27" ht="3.75" customHeight="1">
      <c r="A114" s="2362"/>
      <c r="B114" s="2362"/>
      <c r="C114" s="2362"/>
      <c r="D114" s="2362"/>
      <c r="E114" s="2487"/>
      <c r="F114" s="2487"/>
      <c r="G114" s="2487"/>
      <c r="H114" s="2487"/>
      <c r="I114" s="2362"/>
    </row>
    <row r="115" spans="1:27" ht="18.75" customHeight="1">
      <c r="A115" s="3584" t="s">
        <v>942</v>
      </c>
      <c r="B115" s="3585"/>
      <c r="C115" s="3585"/>
      <c r="D115" s="3585"/>
      <c r="E115" s="3585"/>
      <c r="F115" s="3585"/>
      <c r="G115" s="3585"/>
      <c r="H115" s="3585"/>
      <c r="I115" s="3586"/>
    </row>
    <row r="116" spans="1:27" ht="27" customHeight="1">
      <c r="A116" s="3574" t="s">
        <v>943</v>
      </c>
      <c r="B116" s="3613" t="s">
        <v>944</v>
      </c>
      <c r="C116" s="3613" t="s">
        <v>945</v>
      </c>
      <c r="D116" s="3587" t="s">
        <v>946</v>
      </c>
      <c r="E116" s="3588"/>
      <c r="F116" s="3589" t="s">
        <v>947</v>
      </c>
      <c r="G116" s="3589"/>
      <c r="H116" s="3574" t="s">
        <v>948</v>
      </c>
      <c r="I116" s="3574"/>
    </row>
    <row r="117" spans="1:27" ht="18.75" customHeight="1">
      <c r="A117" s="3574"/>
      <c r="B117" s="3614"/>
      <c r="C117" s="361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1105.3800000000001</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1978</v>
      </c>
      <c r="I118" s="2372">
        <f ca="1">ROUND(IF(D32="楼面单价",C32,H118*10000/B118),0)</f>
        <v>17895</v>
      </c>
    </row>
    <row r="119" spans="1:27" ht="18.75" customHeight="1">
      <c r="A119" s="3574" t="s">
        <v>950</v>
      </c>
      <c r="B119" s="3574"/>
      <c r="C119" s="3574"/>
      <c r="D119" s="3575" t="str">
        <f>NUMBERSTRING(INT(D118*10000),2)&amp;"元整"</f>
        <v>零元整</v>
      </c>
      <c r="E119" s="3577"/>
      <c r="F119" s="3575" t="str">
        <f>NUMBERSTRING(INT(F118*10000),2)&amp;"元整"</f>
        <v>零元整</v>
      </c>
      <c r="G119" s="3577"/>
      <c r="H119" s="3575" t="str">
        <f ca="1">NUMBERSTRING(INT(H118*10000),2)&amp;"元整"</f>
        <v>壹仟玖佰柒拾捌万元整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75" t="s">
        <v>950</v>
      </c>
      <c r="B121" s="3576"/>
      <c r="C121" s="3577"/>
      <c r="D121" s="3575" t="str">
        <f>IF(D120=0,"零元整",NUMBERSTRING(INT(D120*10000),2)&amp;"元整")</f>
        <v>零元整</v>
      </c>
      <c r="E121" s="3576"/>
      <c r="F121" s="3576"/>
      <c r="G121" s="3576"/>
      <c r="H121" s="3576"/>
      <c r="I121" s="3577"/>
      <c r="AA121" s="1282"/>
    </row>
    <row r="122" spans="1:27" ht="18.75" customHeight="1">
      <c r="A122" s="3570" t="str">
        <f>IF(项目基本情况!B9="房地产市场价值","",MID(E107,3,LEN(E107)-2))</f>
        <v/>
      </c>
      <c r="B122" s="3570"/>
      <c r="C122" s="3570"/>
      <c r="D122" s="3571" t="str">
        <f>H107</f>
        <v>——</v>
      </c>
      <c r="E122" s="3572"/>
      <c r="F122" s="3572"/>
      <c r="G122" s="3572"/>
      <c r="H122" s="3572"/>
      <c r="I122" s="3573"/>
      <c r="AA122" s="1282"/>
    </row>
    <row r="123" spans="1:27" ht="18.75" customHeight="1">
      <c r="A123" s="3574" t="s">
        <v>950</v>
      </c>
      <c r="B123" s="3574"/>
      <c r="C123" s="3574"/>
      <c r="D123" s="3575" t="e">
        <f>NUMBERSTRING(INT(D122*10000),2)&amp;"元整"</f>
        <v>#VALUE!</v>
      </c>
      <c r="E123" s="3576"/>
      <c r="F123" s="3576"/>
      <c r="G123" s="3576"/>
      <c r="H123" s="3576"/>
      <c r="I123" s="3577"/>
      <c r="AA123" s="1282"/>
    </row>
    <row r="124" spans="1:27" ht="18.75" customHeight="1">
      <c r="A124" s="3570" t="str">
        <f>IF(项目基本情况!B9="房地产市场价值","",MID(E109,3,LEN(E109)-2))</f>
        <v>抵押担保权已注销时的房地产抵押价值</v>
      </c>
      <c r="B124" s="3570"/>
      <c r="C124" s="3570"/>
      <c r="D124" s="3571">
        <f ca="1">H109</f>
        <v>1978</v>
      </c>
      <c r="E124" s="3572"/>
      <c r="F124" s="3572"/>
      <c r="G124" s="3572"/>
      <c r="H124" s="3572"/>
      <c r="I124" s="3573"/>
      <c r="AA124" s="1282"/>
    </row>
    <row r="125" spans="1:27" ht="18.75" customHeight="1">
      <c r="A125" s="3574" t="s">
        <v>950</v>
      </c>
      <c r="B125" s="3574"/>
      <c r="C125" s="3574"/>
      <c r="D125" s="3575" t="str">
        <f ca="1">NUMBERSTRING(INT(D124*10000),2)&amp;"元整"</f>
        <v>壹仟玖佰柒拾捌万元整</v>
      </c>
      <c r="E125" s="3576"/>
      <c r="F125" s="3576"/>
      <c r="G125" s="3576"/>
      <c r="H125" s="3576"/>
      <c r="I125" s="3577"/>
      <c r="AA125" s="1282"/>
    </row>
    <row r="126" spans="1:27" ht="18.75" customHeight="1">
      <c r="A126" s="3570" t="str">
        <f>IF(项目基本情况!B9="房地产市场价值","",MID(E111,3,LEN(E111)-2))</f>
        <v>抵押净值</v>
      </c>
      <c r="B126" s="3570"/>
      <c r="C126" s="3570"/>
      <c r="D126" s="3571">
        <f ca="1">H111</f>
        <v>1939</v>
      </c>
      <c r="E126" s="3572"/>
      <c r="F126" s="3572"/>
      <c r="G126" s="3572"/>
      <c r="H126" s="3572"/>
      <c r="I126" s="3573"/>
      <c r="AA126" s="1282"/>
    </row>
    <row r="127" spans="1:27" ht="18.75" customHeight="1">
      <c r="A127" s="3574" t="s">
        <v>950</v>
      </c>
      <c r="B127" s="3574"/>
      <c r="C127" s="3574"/>
      <c r="D127" s="3575" t="str">
        <f ca="1">NUMBERSTRING(INT(D126*10000),2)&amp;"元整"</f>
        <v>壹仟玖佰叁拾玖万元整</v>
      </c>
      <c r="E127" s="3576"/>
      <c r="F127" s="3576"/>
      <c r="G127" s="3576"/>
      <c r="H127" s="3576"/>
      <c r="I127" s="3577"/>
      <c r="AA127" s="1282"/>
    </row>
    <row r="128" spans="1:27" ht="21.75" customHeight="1">
      <c r="A128" s="3604" t="s">
        <v>113</v>
      </c>
      <c r="B128" s="3604"/>
      <c r="C128" s="3604"/>
      <c r="D128" s="3604"/>
      <c r="E128" s="3604"/>
      <c r="F128" s="3604"/>
      <c r="G128" s="3604"/>
      <c r="H128" s="3604"/>
      <c r="I128" s="3604"/>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720</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6514</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22.107600000000001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22.107600000000001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1105.3800000000001</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1105.3800000000001</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61</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541</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497</v>
      </c>
      <c r="D34" s="393"/>
      <c r="E34" s="396"/>
      <c r="F34" s="442">
        <f ca="1">IF('数据-取费表'!B24=0,1,IF(B1="",'数据-取费表'!N16,INDIRECT("'数据-取费表'!n"&amp;$G$1)))</f>
        <v>1</v>
      </c>
      <c r="G34" s="395" t="s">
        <v>1027</v>
      </c>
    </row>
    <row r="35" spans="1:7" ht="13.5" customHeight="1">
      <c r="A35" s="421" t="s">
        <v>970</v>
      </c>
      <c r="B35" s="391" t="s">
        <v>1028</v>
      </c>
      <c r="C35" s="396">
        <f ca="1">ROUND(C34*F35,0)</f>
        <v>15</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1105.3800000000001</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19</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19</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83</v>
      </c>
      <c r="D45" s="416">
        <f ca="1">C47</f>
        <v>3.0000000000000001E-3</v>
      </c>
      <c r="E45" s="417" t="s">
        <v>1036</v>
      </c>
      <c r="F45" s="431">
        <f ca="1">F27</f>
        <v>0.15</v>
      </c>
      <c r="G45" s="432" t="s">
        <v>1039</v>
      </c>
    </row>
    <row r="46" spans="1:7" s="367" customFormat="1" ht="13.5" customHeight="1">
      <c r="A46" s="421" t="s">
        <v>968</v>
      </c>
      <c r="B46" s="433" t="s">
        <v>1040</v>
      </c>
      <c r="C46" s="434">
        <f ca="1">ROUND((C33+C39)*F27,0)</f>
        <v>83</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709</v>
      </c>
      <c r="D49" s="413"/>
      <c r="E49" s="413"/>
      <c r="F49" s="448"/>
      <c r="G49" s="418" t="s">
        <v>1044</v>
      </c>
    </row>
    <row r="50" spans="1:7" s="369" customFormat="1" ht="24">
      <c r="A50" s="385" t="s">
        <v>1045</v>
      </c>
      <c r="B50" s="386" t="s">
        <v>1046</v>
      </c>
      <c r="C50" s="413"/>
      <c r="D50" s="413"/>
      <c r="E50" s="413"/>
      <c r="F50" s="448">
        <f>IF('数据-取费表'!B24=0,'数据-取费表'!N16,1)</f>
        <v>0.93</v>
      </c>
      <c r="G50" s="432" t="s">
        <v>1047</v>
      </c>
    </row>
    <row r="51" spans="1:7" ht="16.5" customHeight="1">
      <c r="A51" s="385" t="s">
        <v>1048</v>
      </c>
      <c r="B51" s="386" t="s">
        <v>1049</v>
      </c>
      <c r="C51" s="413">
        <f ca="1">ROUND(C49*F50,0)</f>
        <v>659</v>
      </c>
      <c r="D51" s="413"/>
      <c r="E51" s="413"/>
      <c r="F51" s="448"/>
      <c r="G51" s="418" t="s">
        <v>1050</v>
      </c>
    </row>
    <row r="52" spans="1:7" s="366" customFormat="1" ht="15.75">
      <c r="A52" s="449" t="s">
        <v>1051</v>
      </c>
      <c r="B52" s="450"/>
      <c r="C52" s="451">
        <f ca="1">C31+C51</f>
        <v>720</v>
      </c>
      <c r="D52" s="450"/>
      <c r="E52" s="450"/>
      <c r="F52" s="450"/>
      <c r="G52" s="452"/>
    </row>
    <row r="55" spans="1:7" ht="15">
      <c r="B55" s="453" t="s">
        <v>1052</v>
      </c>
      <c r="C55" s="454"/>
    </row>
    <row r="56" spans="1:7">
      <c r="B56" s="455" t="s">
        <v>1053</v>
      </c>
      <c r="C56" s="457">
        <f ca="1">1-C57</f>
        <v>8.4999999999999964E-2</v>
      </c>
    </row>
    <row r="57" spans="1:7">
      <c r="B57" s="455" t="s">
        <v>1054</v>
      </c>
      <c r="C57" s="456">
        <f ca="1">ROUND(C51/C52,3)</f>
        <v>0.91500000000000004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1105.3800000000001</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1105.3800000000001</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-0.10760000000000147</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1105.3800000000001</v>
      </c>
      <c r="E20" s="1335">
        <f>'数据-取费表'!B28</f>
        <v>200</v>
      </c>
      <c r="F20" s="2285"/>
      <c r="G20" s="2143"/>
      <c r="H20" s="2292"/>
      <c r="I20" s="2292"/>
      <c r="J20" s="2292"/>
      <c r="K20" s="2337"/>
    </row>
    <row r="21" spans="1:33" s="2250" customFormat="1" ht="13.5" customHeight="1">
      <c r="A21" s="2268" t="s">
        <v>869</v>
      </c>
      <c r="B21" s="2293" t="s">
        <v>1093</v>
      </c>
      <c r="C21" s="2294">
        <f ca="1">C16+C17+C18</f>
        <v>-0.10760000000000147</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F49" sqref="F49"/>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859.65620000000001</v>
      </c>
      <c r="C2" s="1966" t="s">
        <v>1210</v>
      </c>
      <c r="D2" s="1967">
        <f ca="1">C40+J29+L46</f>
        <v>8596562</v>
      </c>
      <c r="E2" s="1968" t="s">
        <v>1397</v>
      </c>
      <c r="F2" s="1969"/>
      <c r="G2" s="1970"/>
      <c r="H2" s="1971"/>
      <c r="I2" s="1971"/>
      <c r="J2" s="1971"/>
      <c r="K2" s="2131"/>
      <c r="L2" s="1971"/>
      <c r="M2" s="1971"/>
    </row>
    <row r="3" spans="1:37" ht="18" customHeight="1">
      <c r="A3" s="1972" t="s">
        <v>1211</v>
      </c>
      <c r="B3" s="1973">
        <f ca="1">IF(ISERROR(D2/F43),0,ROUND(D2/F43,0))</f>
        <v>7777</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605952</v>
      </c>
      <c r="D5" s="1982" t="s">
        <v>1220</v>
      </c>
      <c r="E5" s="1983"/>
      <c r="F5" s="1984"/>
      <c r="G5" s="1094"/>
      <c r="H5" s="1979">
        <v>1</v>
      </c>
      <c r="I5" s="1980" t="s">
        <v>1219</v>
      </c>
      <c r="J5" s="1981">
        <f ca="1">J6+J10+J12</f>
        <v>654428</v>
      </c>
      <c r="K5" s="1982" t="s">
        <v>1220</v>
      </c>
      <c r="L5" s="1983"/>
      <c r="M5" s="1984"/>
    </row>
    <row r="6" spans="1:37" ht="18" customHeight="1">
      <c r="A6" s="1985" t="s">
        <v>869</v>
      </c>
      <c r="B6" s="3623" t="s">
        <v>1221</v>
      </c>
      <c r="C6" s="1986">
        <f ca="1">ROUND(F6*F8*F7*(1-F9),0)</f>
        <v>605196</v>
      </c>
      <c r="D6" s="1987" t="s">
        <v>1398</v>
      </c>
      <c r="E6" s="1988" t="s">
        <v>1223</v>
      </c>
      <c r="F6" s="1989">
        <f ca="1">INDIRECT("'数据-取费表'!u"&amp;$G$1)</f>
        <v>1.5</v>
      </c>
      <c r="G6" s="1094"/>
      <c r="H6" s="1985" t="s">
        <v>869</v>
      </c>
      <c r="I6" s="3623" t="s">
        <v>1221</v>
      </c>
      <c r="J6" s="2061">
        <f ca="1">ROUND(M6*M8*M7*(1-M9),0)</f>
        <v>653611</v>
      </c>
      <c r="K6" s="2134" t="s">
        <v>1399</v>
      </c>
      <c r="L6" s="1988" t="s">
        <v>1223</v>
      </c>
      <c r="M6" s="1989">
        <f ca="1">INDIRECT("'数据-取费表'!z"&amp;$G$1)</f>
        <v>1.8</v>
      </c>
    </row>
    <row r="7" spans="1:37" ht="18" customHeight="1">
      <c r="A7" s="1990"/>
      <c r="B7" s="3624"/>
      <c r="C7" s="1991"/>
      <c r="D7" s="1992"/>
      <c r="E7" s="1993" t="s">
        <v>1225</v>
      </c>
      <c r="F7" s="1989">
        <f ca="1">IF(INDIRECT("'数据-取费表'!ah"&amp;$G$1)="",INDIRECT("'数据-取费表'!k"&amp;$G$1),INDIRECT("'数据-取费表'!ah"&amp;$G$1))</f>
        <v>1105.3800000000001</v>
      </c>
      <c r="G7" s="1094"/>
      <c r="H7" s="1994"/>
      <c r="I7" s="3624"/>
      <c r="J7" s="1995"/>
      <c r="K7" s="1992"/>
      <c r="L7" s="1988" t="s">
        <v>1225</v>
      </c>
      <c r="M7" s="1989">
        <f ca="1">F7</f>
        <v>1105.3800000000001</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v>
      </c>
      <c r="G9" s="1094"/>
      <c r="H9" s="1994"/>
      <c r="I9" s="3625"/>
      <c r="J9" s="1995"/>
      <c r="K9" s="1992"/>
      <c r="L9" s="1999" t="s">
        <v>1227</v>
      </c>
      <c r="M9" s="2004">
        <f ca="1">INDIRECT("'数据-取费表'!ab"&amp;$G$1)</f>
        <v>0.1</v>
      </c>
    </row>
    <row r="10" spans="1:37" ht="18" customHeight="1">
      <c r="A10" s="1985" t="s">
        <v>873</v>
      </c>
      <c r="B10" s="1997" t="s">
        <v>1228</v>
      </c>
      <c r="C10" s="1334">
        <f ca="1">ROUND(IF(F10="押一",C6/12*F11,IF(F10="押二",C6/12*2*F11,IF(F10="押三",C6/12*3*F11,C11*F11))),0)</f>
        <v>756</v>
      </c>
      <c r="D10" s="1998" t="s">
        <v>1229</v>
      </c>
      <c r="E10" s="1999" t="s">
        <v>1230</v>
      </c>
      <c r="F10" s="2000" t="s">
        <v>1231</v>
      </c>
      <c r="G10" s="1094"/>
      <c r="H10" s="1985" t="s">
        <v>873</v>
      </c>
      <c r="I10" s="1997" t="s">
        <v>1228</v>
      </c>
      <c r="J10" s="2061">
        <f ca="1">ROUND(IF(M10="押一",J6/12*M11,IF(M10="押二",J6/12*2*M11,IF(M10="押三",J6/12*3*M11,J11*M11))),0)</f>
        <v>817</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6596988</v>
      </c>
      <c r="D13" s="2015" t="s">
        <v>1236</v>
      </c>
      <c r="E13" s="2015" t="s">
        <v>1237</v>
      </c>
      <c r="F13" s="2016">
        <f ca="1">INDIRECT("'数据-取费表'!y"&amp;$G$1)</f>
        <v>0.93</v>
      </c>
      <c r="G13" s="1094"/>
      <c r="H13" s="2012">
        <v>2</v>
      </c>
      <c r="I13" s="2013" t="s">
        <v>1235</v>
      </c>
      <c r="J13" s="2140">
        <f ca="1">ROUND(J14*J15,0)</f>
        <v>5178281</v>
      </c>
      <c r="K13" s="2038" t="s">
        <v>1236</v>
      </c>
      <c r="L13" s="2141"/>
      <c r="M13" s="2142"/>
    </row>
    <row r="14" spans="1:37" ht="18" customHeight="1">
      <c r="A14" s="2017" t="s">
        <v>892</v>
      </c>
      <c r="B14" s="1988" t="s">
        <v>1238</v>
      </c>
      <c r="C14" s="2018">
        <f ca="1">ROUND(INDIRECT("'数据-取费表'!l"&amp;$G$1)*F43+'数据-取费表'!L14*INDIRECT("'数据-取费表'!S"&amp;$G$1),0)</f>
        <v>4974210</v>
      </c>
      <c r="D14" s="2019" t="s">
        <v>1239</v>
      </c>
      <c r="E14" s="2020"/>
      <c r="F14" s="2021"/>
      <c r="G14" s="1094"/>
      <c r="H14" s="2017" t="s">
        <v>869</v>
      </c>
      <c r="I14" s="1988" t="s">
        <v>1240</v>
      </c>
      <c r="J14" s="1335">
        <f ca="1">C29</f>
        <v>7093535</v>
      </c>
      <c r="K14" s="2143"/>
      <c r="L14" s="2144"/>
      <c r="M14" s="2145"/>
    </row>
    <row r="15" spans="1:37" s="1956" customFormat="1" ht="18" customHeight="1">
      <c r="A15" s="2017" t="s">
        <v>896</v>
      </c>
      <c r="B15" s="1988" t="s">
        <v>1075</v>
      </c>
      <c r="C15" s="1335">
        <f ca="1">ROUND(C14*F15,0)</f>
        <v>149226</v>
      </c>
      <c r="D15" s="2022" t="s">
        <v>1241</v>
      </c>
      <c r="E15" s="2022" t="s">
        <v>1242</v>
      </c>
      <c r="F15" s="2023">
        <f>'数据-取费表'!B33</f>
        <v>0.03</v>
      </c>
      <c r="G15" s="2024"/>
      <c r="H15" s="2025" t="s">
        <v>873</v>
      </c>
      <c r="I15" s="2010" t="s">
        <v>1237</v>
      </c>
      <c r="J15" s="2139">
        <f ca="1">INDIRECT("'数据-取费表'!ad"&amp;$G$1)</f>
        <v>0.73</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148970</v>
      </c>
      <c r="K16" s="2038" t="s">
        <v>1245</v>
      </c>
      <c r="L16" s="2039"/>
      <c r="M16" s="1984"/>
    </row>
    <row r="17" spans="1:37" s="1956" customFormat="1" ht="18" customHeight="1">
      <c r="A17" s="2017" t="s">
        <v>1246</v>
      </c>
      <c r="B17" s="1988" t="s">
        <v>1247</v>
      </c>
      <c r="C17" s="1335">
        <f ca="1">ROUND(F17*(F43+INDIRECT("'数据-取费表'!S"&amp;$G$1)),0)</f>
        <v>221076</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109557</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74613</v>
      </c>
      <c r="D18" s="1988" t="s">
        <v>1241</v>
      </c>
      <c r="E18" s="1988" t="s">
        <v>1242</v>
      </c>
      <c r="F18" s="2026">
        <f>'数据-取费表'!B36</f>
        <v>1.4999999999999999E-2</v>
      </c>
      <c r="G18" s="2024"/>
      <c r="H18" s="2017" t="s">
        <v>892</v>
      </c>
      <c r="I18" s="1988" t="s">
        <v>1254</v>
      </c>
      <c r="J18" s="1335">
        <f ca="1">ROUND(J6*M18/(1+'数据-取费表'!C42),0)</f>
        <v>34859</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5419125</v>
      </c>
      <c r="D19" s="2028" t="s">
        <v>1257</v>
      </c>
      <c r="E19" s="1337"/>
      <c r="F19" s="2027"/>
      <c r="G19" s="1094"/>
      <c r="H19" s="2017" t="s">
        <v>896</v>
      </c>
      <c r="I19" s="1988" t="s">
        <v>1258</v>
      </c>
      <c r="J19" s="1335">
        <f ca="1">IF(K19="按租金收入计税",ROUND(J6*M19/(1+'数据-取费表'!C42),0),ROUND(C29*M19*0.7,0))</f>
        <v>74698</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108383</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28374</v>
      </c>
      <c r="K22" s="2042" t="s">
        <v>1271</v>
      </c>
      <c r="L22" s="1988" t="s">
        <v>1242</v>
      </c>
      <c r="M22" s="2055">
        <f ca="1">INDIRECT("'数据-取费表'!Ak"&amp;$G$1)</f>
        <v>4.0000000000000001E-3</v>
      </c>
    </row>
    <row r="23" spans="1:37" s="1956" customFormat="1" ht="18" customHeight="1">
      <c r="A23" s="2017" t="s">
        <v>892</v>
      </c>
      <c r="B23" s="1988" t="s">
        <v>1272</v>
      </c>
      <c r="C23" s="1335">
        <f ca="1">IF('数据-取费表'!B22&lt;=1,ROUND(C19*F24*F23/2,0)+ROUND(C20*F24*F23/2,0),ROUND(C19*(POWER((1+F24),F23/2)-1),0)+ROUND(C20*(POWER((1+F24),F23/2)-1),0))</f>
        <v>190699</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7767</v>
      </c>
      <c r="K23" s="2042" t="s">
        <v>1275</v>
      </c>
      <c r="L23" s="1988" t="s">
        <v>1242</v>
      </c>
      <c r="M23" s="2056">
        <f ca="1">INDIRECT("'数据-取费表'!Al"&amp;$G$1)</f>
        <v>1.5E-3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3272</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505458</v>
      </c>
      <c r="K25" s="2058" t="s">
        <v>1283</v>
      </c>
      <c r="L25" s="2059"/>
      <c r="M25" s="2060"/>
    </row>
    <row r="26" spans="1:37" ht="18" customHeight="1">
      <c r="A26" s="2017" t="s">
        <v>892</v>
      </c>
      <c r="B26" s="1988" t="s">
        <v>1284</v>
      </c>
      <c r="C26" s="1335">
        <f ca="1">ROUND((C19+C20)*F26,0)</f>
        <v>829126</v>
      </c>
      <c r="D26" s="2029" t="s">
        <v>1285</v>
      </c>
      <c r="E26" s="1999" t="s">
        <v>1286</v>
      </c>
      <c r="F26" s="1996">
        <f ca="1">INDIRECT("'数据-取费表'!q"&amp;$G$1)</f>
        <v>0.15</v>
      </c>
      <c r="G26" s="1094"/>
      <c r="H26" s="1979" t="s">
        <v>1287</v>
      </c>
      <c r="I26" s="1980" t="s">
        <v>1288</v>
      </c>
      <c r="J26" s="2061">
        <f ca="1">IF(J5&lt;&gt;0,ROUND(J25*(1-((1+M28)/(1+M26))^M27)/(M26-M28),0),0)</f>
        <v>7270619</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20.750000000000004</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0.02</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7093535</v>
      </c>
      <c r="D29" s="2035"/>
      <c r="E29" s="2010"/>
      <c r="F29" s="2036"/>
      <c r="G29" s="2024"/>
      <c r="H29" s="2037" t="s">
        <v>1299</v>
      </c>
      <c r="I29" s="2068" t="s">
        <v>1300</v>
      </c>
      <c r="J29" s="2069">
        <f ca="1">ROUND(J26/(1+F40)^F41,0)</f>
        <v>2595339</v>
      </c>
      <c r="K29" s="2070" t="s">
        <v>1301</v>
      </c>
      <c r="L29" s="2071"/>
      <c r="M29" s="2072">
        <f ca="1">INDIRECT("'数据-取费表'!k"&amp;$G$1)</f>
        <v>1105.3800000000001</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142741</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101442</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32277</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69165</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0.76539005545310945</v>
      </c>
      <c r="I35" s="2150"/>
      <c r="J35" s="2151"/>
      <c r="K35" s="2155"/>
      <c r="L35" s="2046"/>
      <c r="M35" s="2046"/>
    </row>
    <row r="36" spans="1:18" ht="18" customHeight="1">
      <c r="A36" s="2054" t="s">
        <v>873</v>
      </c>
      <c r="B36" s="1988" t="s">
        <v>1270</v>
      </c>
      <c r="C36" s="1335">
        <f ca="1">ROUND(C29*F36,0)</f>
        <v>28374</v>
      </c>
      <c r="D36" s="2042" t="s">
        <v>1303</v>
      </c>
      <c r="E36" s="1988" t="s">
        <v>1242</v>
      </c>
      <c r="F36" s="2055">
        <f ca="1">INDIRECT("'数据-取费表'!Ak"&amp;$G$1)</f>
        <v>4.0000000000000001E-3</v>
      </c>
      <c r="G36" s="1094"/>
      <c r="H36" s="2046"/>
      <c r="I36" s="2150"/>
      <c r="J36" s="2151"/>
      <c r="K36" s="2158"/>
      <c r="L36" s="2046"/>
      <c r="M36" s="2046"/>
    </row>
    <row r="37" spans="1:18" ht="18" customHeight="1">
      <c r="A37" s="2017" t="s">
        <v>918</v>
      </c>
      <c r="B37" s="1988" t="s">
        <v>1274</v>
      </c>
      <c r="C37" s="1335">
        <f ca="1">ROUND(C13*F37,0)</f>
        <v>9895</v>
      </c>
      <c r="D37" s="2042" t="s">
        <v>1275</v>
      </c>
      <c r="E37" s="1988" t="s">
        <v>1242</v>
      </c>
      <c r="F37" s="2056">
        <f ca="1">INDIRECT("'数据-取费表'!Al"&amp;$G$1)</f>
        <v>1.5E-3</v>
      </c>
      <c r="G37" s="1094"/>
      <c r="H37" s="2046"/>
      <c r="I37" s="2150"/>
      <c r="J37" s="2151"/>
      <c r="K37" s="2158"/>
      <c r="L37" s="2046"/>
      <c r="M37" s="2046"/>
    </row>
    <row r="38" spans="1:18" ht="18" customHeight="1">
      <c r="A38" s="2025" t="s">
        <v>921</v>
      </c>
      <c r="B38" s="2010" t="s">
        <v>1260</v>
      </c>
      <c r="C38" s="2034">
        <f ca="1">ROUND(C5*F38,0)</f>
        <v>3030</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463211</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5843862</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19.239999999999998</v>
      </c>
      <c r="G41" s="1094"/>
      <c r="H41" s="2066"/>
      <c r="I41" s="2150"/>
      <c r="J41" s="2151"/>
      <c r="K41" s="2158"/>
      <c r="L41" s="2066"/>
      <c r="M41" s="2066"/>
    </row>
    <row r="42" spans="1:18" ht="18" customHeight="1">
      <c r="A42" s="2001"/>
      <c r="B42" s="2067"/>
      <c r="C42" s="2014"/>
      <c r="D42" s="2052"/>
      <c r="E42" s="1988" t="s">
        <v>1297</v>
      </c>
      <c r="F42" s="1996">
        <f ca="1">INDIRECT("'数据-取费表'!v"&amp;$G$1)</f>
        <v>0.01</v>
      </c>
      <c r="G42" s="1094"/>
      <c r="H42" s="2066"/>
      <c r="I42" s="2150"/>
      <c r="J42" s="2151"/>
      <c r="K42" s="2158"/>
      <c r="L42" s="2066"/>
      <c r="M42" s="2066"/>
    </row>
    <row r="43" spans="1:18" ht="18" customHeight="1">
      <c r="A43" s="2037" t="s">
        <v>1299</v>
      </c>
      <c r="B43" s="2068" t="s">
        <v>1305</v>
      </c>
      <c r="C43" s="2069">
        <f ca="1">ROUND(C40/F43,0)</f>
        <v>5287</v>
      </c>
      <c r="D43" s="2070" t="s">
        <v>1306</v>
      </c>
      <c r="E43" s="2071" t="s">
        <v>1307</v>
      </c>
      <c r="F43" s="2072">
        <f ca="1">INDIRECT("'数据-取费表'!k"&amp;$G$1)</f>
        <v>1105.3800000000001</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-629.12869999999998</v>
      </c>
      <c r="D45" s="2077" t="s">
        <v>1404</v>
      </c>
      <c r="E45" s="2073"/>
      <c r="F45" s="2073"/>
      <c r="O45" s="2161" t="s">
        <v>1308</v>
      </c>
      <c r="P45" s="2062"/>
      <c r="Q45" s="2062"/>
      <c r="R45" s="2062"/>
    </row>
    <row r="46" spans="1:18" s="1094" customFormat="1">
      <c r="A46" s="2078" t="s">
        <v>1309</v>
      </c>
      <c r="C46" s="2079">
        <f ca="1">ROUND(C45,0)</f>
        <v>-629</v>
      </c>
      <c r="D46" s="2080" t="str">
        <f>C2</f>
        <v>万元</v>
      </c>
      <c r="I46" s="2162" t="s">
        <v>1310</v>
      </c>
      <c r="J46" s="2163"/>
      <c r="K46" s="2164"/>
      <c r="L46" s="2165">
        <f ca="1">IF(M47="住宅",0,IF(L48&gt;J51,L60,J60))</f>
        <v>157361</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8439201</v>
      </c>
      <c r="R47" s="2213" t="s">
        <v>1318</v>
      </c>
    </row>
    <row r="48" spans="1:18" s="1094" customFormat="1" ht="27.75">
      <c r="A48" s="2085" t="s">
        <v>1319</v>
      </c>
      <c r="B48" s="1980" t="s">
        <v>1219</v>
      </c>
      <c r="C48" s="1336">
        <f ca="1">C49+C53+C55</f>
        <v>0</v>
      </c>
      <c r="D48" s="2086"/>
      <c r="E48" s="2087"/>
      <c r="F48" s="2088"/>
      <c r="G48" s="2084"/>
      <c r="H48" s="2089"/>
      <c r="I48" s="2175" t="s">
        <v>1320</v>
      </c>
      <c r="J48" s="2176" t="s">
        <v>1321</v>
      </c>
      <c r="K48" s="2177" t="s">
        <v>1322</v>
      </c>
      <c r="L48" s="2178">
        <f ca="1">INDIRECT("'数据-取费表'!f"&amp;$G$1)</f>
        <v>39.99</v>
      </c>
      <c r="O48" s="2173" t="s">
        <v>977</v>
      </c>
      <c r="P48" s="2174" t="s">
        <v>1323</v>
      </c>
      <c r="Q48" s="2213">
        <f ca="1">J60</f>
        <v>157361</v>
      </c>
      <c r="R48" s="2213" t="s">
        <v>1324</v>
      </c>
    </row>
    <row r="49" spans="1:18" s="1094" customFormat="1">
      <c r="A49" s="2090" t="s">
        <v>1325</v>
      </c>
      <c r="B49" s="2091" t="s">
        <v>1326</v>
      </c>
      <c r="C49" s="2092">
        <f ca="1">ROUND(F49*F51*F50*(1-F52),0)</f>
        <v>0</v>
      </c>
      <c r="D49" s="2093" t="s">
        <v>1405</v>
      </c>
      <c r="E49" s="2094" t="s">
        <v>1327</v>
      </c>
      <c r="F49" s="2095"/>
      <c r="G49" s="2096"/>
      <c r="H49" s="2089"/>
      <c r="I49" s="2175" t="s">
        <v>1328</v>
      </c>
      <c r="J49" s="2179">
        <v>2020</v>
      </c>
      <c r="K49" s="2177" t="s">
        <v>1329</v>
      </c>
      <c r="L49" s="2180"/>
      <c r="O49" s="2181" t="s">
        <v>1330</v>
      </c>
      <c r="P49" s="2174" t="s">
        <v>1331</v>
      </c>
      <c r="Q49" s="2213">
        <f ca="1">C29</f>
        <v>7093535</v>
      </c>
      <c r="R49" s="2213" t="s">
        <v>1318</v>
      </c>
    </row>
    <row r="50" spans="1:18" s="1094" customFormat="1">
      <c r="A50" s="2097"/>
      <c r="B50" s="2098"/>
      <c r="C50" s="2099"/>
      <c r="D50" s="2100"/>
      <c r="E50" s="2101" t="s">
        <v>1225</v>
      </c>
      <c r="F50" s="2102">
        <f ca="1">F7</f>
        <v>1105.3800000000001</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26586</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0</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8596562</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6596988</v>
      </c>
      <c r="D56" s="2112"/>
      <c r="E56" s="2113"/>
      <c r="F56" s="2109"/>
      <c r="I56" s="2200" t="s">
        <v>1353</v>
      </c>
      <c r="J56" s="2201" t="s">
        <v>1354</v>
      </c>
      <c r="K56" s="2175" t="s">
        <v>1355</v>
      </c>
      <c r="L56" s="2178" t="str">
        <f ca="1">IF(L48&lt;J51,"——",L48-J51)</f>
        <v>——</v>
      </c>
      <c r="O56" s="2173" t="s">
        <v>974</v>
      </c>
      <c r="P56" s="2174" t="s">
        <v>1317</v>
      </c>
      <c r="Q56" s="2213">
        <f ca="1">C40+J29</f>
        <v>8439201</v>
      </c>
      <c r="R56" s="2213" t="s">
        <v>1318</v>
      </c>
    </row>
    <row r="57" spans="1:18" s="1094" customFormat="1" ht="24">
      <c r="A57" s="2114"/>
      <c r="B57" s="2115" t="s">
        <v>1298</v>
      </c>
      <c r="C57" s="423">
        <f ca="1">C29</f>
        <v>7093535</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38269</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0</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2837414</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0</v>
      </c>
      <c r="D60" s="2123" t="s">
        <v>1255</v>
      </c>
      <c r="E60" s="2115" t="s">
        <v>1242</v>
      </c>
      <c r="F60" s="2033">
        <f t="shared" ref="F60:F66" si="0">F32</f>
        <v>5.6000000000000001E-2</v>
      </c>
      <c r="I60" s="2205" t="s">
        <v>1365</v>
      </c>
      <c r="J60" s="2206">
        <f ca="1">IF(OR(M47="住宅",J51&lt;L48,J56="是"),"0",ROUND(J59/(1+J52)^J53,0))</f>
        <v>157361</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0</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8439201</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28374</v>
      </c>
      <c r="D64" s="2123" t="s">
        <v>1303</v>
      </c>
      <c r="E64" s="2115" t="s">
        <v>1242</v>
      </c>
      <c r="F64" s="2055">
        <f t="shared" ca="1" si="0"/>
        <v>4.0000000000000001E-3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9895</v>
      </c>
      <c r="D65" s="2123" t="s">
        <v>1275</v>
      </c>
      <c r="E65" s="2115" t="s">
        <v>1242</v>
      </c>
      <c r="F65" s="2056">
        <f t="shared" ca="1" si="0"/>
        <v>1.5E-3</v>
      </c>
      <c r="I65" s="2208" t="s">
        <v>1378</v>
      </c>
      <c r="J65" s="2209">
        <v>40</v>
      </c>
      <c r="K65" s="2209">
        <v>30</v>
      </c>
      <c r="L65" s="2209">
        <v>50</v>
      </c>
      <c r="M65" s="2211">
        <v>0.02</v>
      </c>
      <c r="O65" s="2173" t="s">
        <v>974</v>
      </c>
      <c r="P65" s="2174" t="s">
        <v>1317</v>
      </c>
      <c r="Q65" s="2213">
        <f ca="1">C40+J29</f>
        <v>8439201</v>
      </c>
      <c r="R65" s="2213" t="s">
        <v>1318</v>
      </c>
    </row>
    <row r="66" spans="1:18" s="1094" customFormat="1" ht="15.75">
      <c r="A66" s="2017" t="s">
        <v>921</v>
      </c>
      <c r="B66" s="2115" t="s">
        <v>1260</v>
      </c>
      <c r="C66" s="1335">
        <f ca="1">ROUND(C48*F66,0)</f>
        <v>0</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-38269</v>
      </c>
      <c r="D67" s="2122" t="s">
        <v>1283</v>
      </c>
      <c r="E67" s="2216"/>
      <c r="F67" s="2217"/>
      <c r="O67" s="2181" t="s">
        <v>1330</v>
      </c>
      <c r="P67" s="2174" t="s">
        <v>1362</v>
      </c>
      <c r="Q67" s="2237">
        <f ca="1">L51</f>
        <v>26586</v>
      </c>
      <c r="R67" s="2213" t="s">
        <v>1379</v>
      </c>
    </row>
    <row r="68" spans="1:18" s="1094" customFormat="1" ht="15.75">
      <c r="A68" s="2218" t="s">
        <v>1287</v>
      </c>
      <c r="B68" s="2219" t="s">
        <v>1304</v>
      </c>
      <c r="C68" s="2061">
        <f ca="1">ROUND(C67*(1-((1+F70)/(1+F68))^F69)/(F68-F70),0)</f>
        <v>-447425</v>
      </c>
      <c r="D68" s="2125" t="s">
        <v>1289</v>
      </c>
      <c r="E68" s="2115" t="s">
        <v>1290</v>
      </c>
      <c r="F68" s="1996">
        <f ca="1">F40</f>
        <v>5.5E-2</v>
      </c>
      <c r="O68" s="2181" t="s">
        <v>1334</v>
      </c>
      <c r="P68" s="2236" t="s">
        <v>1380</v>
      </c>
      <c r="Q68" s="2213">
        <f ca="1">ROUND(Q69-Q70*Q71,0)</f>
        <v>1422</v>
      </c>
      <c r="R68" s="2213" t="s">
        <v>1381</v>
      </c>
    </row>
    <row r="69" spans="1:18" s="1094" customFormat="1">
      <c r="A69" s="2220"/>
      <c r="B69" s="2221"/>
      <c r="C69" s="1995"/>
      <c r="D69" s="2222" t="s">
        <v>1293</v>
      </c>
      <c r="E69" s="2115" t="s">
        <v>1294</v>
      </c>
      <c r="F69" s="2065">
        <f ca="1">F41</f>
        <v>19.239999999999998</v>
      </c>
      <c r="O69" s="2181" t="s">
        <v>1382</v>
      </c>
      <c r="P69" s="2236" t="s">
        <v>1383</v>
      </c>
      <c r="Q69" s="2213">
        <f ca="1">C39</f>
        <v>463211</v>
      </c>
      <c r="R69" s="2213" t="s">
        <v>1318</v>
      </c>
    </row>
    <row r="70" spans="1:18" s="1094" customFormat="1">
      <c r="A70" s="2223"/>
      <c r="B70" s="2224"/>
      <c r="C70" s="2014"/>
      <c r="D70" s="2127"/>
      <c r="E70" s="2115" t="s">
        <v>1297</v>
      </c>
      <c r="F70" s="2105"/>
      <c r="O70" s="2181" t="s">
        <v>1384</v>
      </c>
      <c r="P70" s="2236" t="s">
        <v>1385</v>
      </c>
      <c r="Q70" s="2213">
        <f ca="1">C13</f>
        <v>6596988</v>
      </c>
      <c r="R70" s="2213" t="s">
        <v>1318</v>
      </c>
    </row>
    <row r="71" spans="1:18" s="1094" customFormat="1">
      <c r="A71" s="2225" t="s">
        <v>1299</v>
      </c>
      <c r="B71" s="2226" t="s">
        <v>1305</v>
      </c>
      <c r="C71" s="2069">
        <f ca="1">ROUND(C68/F71,0)</f>
        <v>-405</v>
      </c>
      <c r="D71" s="2227" t="s">
        <v>1306</v>
      </c>
      <c r="E71" s="2228" t="s">
        <v>1307</v>
      </c>
      <c r="F71" s="2072">
        <f ca="1">F43</f>
        <v>1105.3800000000001</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461789</v>
      </c>
      <c r="D75" s="1094"/>
      <c r="E75" s="1094"/>
      <c r="F75" s="1094"/>
      <c r="K75" s="2160"/>
      <c r="L75" s="1094"/>
      <c r="O75" s="2173" t="s">
        <v>1077</v>
      </c>
      <c r="P75" s="2174" t="s">
        <v>1348</v>
      </c>
      <c r="Q75" s="2213">
        <f ca="1">Q65+Q66</f>
        <v>8439201</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3.0000000000000027E-3</v>
      </c>
    </row>
    <row r="80" spans="1:18">
      <c r="B80" s="2230" t="s">
        <v>1395</v>
      </c>
      <c r="C80" s="456">
        <f ca="1">ROUND(C75/C39,3)</f>
        <v>0.997</v>
      </c>
    </row>
    <row r="81" spans="2:3">
      <c r="B81" s="453" t="s">
        <v>1396</v>
      </c>
      <c r="C81" s="423"/>
    </row>
    <row r="82" spans="2:3">
      <c r="B82" s="455" t="s">
        <v>1053</v>
      </c>
      <c r="C82" s="457">
        <f ca="1">1-C83</f>
        <v>-0.129</v>
      </c>
    </row>
    <row r="83" spans="2:3">
      <c r="B83" s="455" t="s">
        <v>1054</v>
      </c>
      <c r="C83" s="456">
        <f ca="1">ROUND(C13/C40,3)</f>
        <v>1.129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78" t="s">
        <v>1412</v>
      </c>
      <c r="K2" s="3679"/>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0" t="s">
        <v>1420</v>
      </c>
      <c r="K3" s="3681"/>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0" t="s">
        <v>1422</v>
      </c>
      <c r="K4" s="3681"/>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82" t="s">
        <v>1426</v>
      </c>
      <c r="B6" s="3683"/>
      <c r="C6" s="3684"/>
      <c r="D6" s="1806"/>
      <c r="E6" s="1807"/>
      <c r="F6" s="1808"/>
      <c r="G6" s="1809"/>
      <c r="H6" s="1797"/>
      <c r="I6" s="1894"/>
      <c r="J6" s="3691">
        <v>1</v>
      </c>
      <c r="K6" s="3694"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91"/>
      <c r="K7" s="3695"/>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85" t="s">
        <v>1440</v>
      </c>
      <c r="C8" s="3686"/>
      <c r="D8" s="1820" t="s">
        <v>1441</v>
      </c>
      <c r="E8" s="1821" t="s">
        <v>1442</v>
      </c>
      <c r="F8" s="1822" t="s">
        <v>1443</v>
      </c>
      <c r="G8" s="1823"/>
      <c r="H8" s="1797"/>
      <c r="I8" s="1894"/>
      <c r="J8" s="3691"/>
      <c r="K8" s="3695"/>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85" t="s">
        <v>1446</v>
      </c>
      <c r="C9" s="3686"/>
      <c r="D9" s="1820">
        <f>ROUND(D6*E9,0)</f>
        <v>0</v>
      </c>
      <c r="E9" s="1824"/>
      <c r="F9" s="1825" t="s">
        <v>1447</v>
      </c>
      <c r="G9" s="1809"/>
      <c r="H9" s="1797"/>
      <c r="I9" s="1894"/>
      <c r="J9" s="3691"/>
      <c r="K9" s="3695"/>
      <c r="L9" s="1904" t="s">
        <v>1448</v>
      </c>
      <c r="M9" s="1905"/>
      <c r="N9" s="1802"/>
      <c r="O9" s="1906"/>
      <c r="P9" s="1906"/>
      <c r="Q9" s="1835">
        <v>365</v>
      </c>
      <c r="R9" s="1940">
        <f t="shared" si="0"/>
        <v>0</v>
      </c>
      <c r="S9" s="1933"/>
      <c r="T9" s="1933"/>
      <c r="U9" s="1933"/>
      <c r="V9" s="1894"/>
    </row>
    <row r="10" spans="1:22" s="1778" customFormat="1" ht="13.15" customHeight="1">
      <c r="A10" s="1817">
        <v>2</v>
      </c>
      <c r="B10" s="3685" t="s">
        <v>1449</v>
      </c>
      <c r="C10" s="3686"/>
      <c r="D10" s="1820">
        <f>ROUND(D6*E10,0)</f>
        <v>0</v>
      </c>
      <c r="E10" s="1824"/>
      <c r="F10" s="1825" t="s">
        <v>1450</v>
      </c>
      <c r="G10" s="1809"/>
      <c r="H10" s="1797"/>
      <c r="I10" s="1894"/>
      <c r="J10" s="3691"/>
      <c r="K10" s="3695"/>
      <c r="L10" s="1904" t="s">
        <v>1451</v>
      </c>
      <c r="M10" s="1905"/>
      <c r="N10" s="1802"/>
      <c r="O10" s="1906"/>
      <c r="P10" s="1906"/>
      <c r="Q10" s="1835">
        <v>365</v>
      </c>
      <c r="R10" s="1940">
        <f t="shared" si="0"/>
        <v>0</v>
      </c>
      <c r="S10" s="1933"/>
      <c r="T10" s="1933"/>
      <c r="U10" s="1933"/>
      <c r="V10" s="1894"/>
    </row>
    <row r="11" spans="1:22" s="1778" customFormat="1" ht="13.15" customHeight="1">
      <c r="A11" s="1817">
        <v>3</v>
      </c>
      <c r="B11" s="3685" t="s">
        <v>1452</v>
      </c>
      <c r="C11" s="3686"/>
      <c r="D11" s="1820">
        <f>D12+D14+D15+D16</f>
        <v>0</v>
      </c>
      <c r="E11" s="1826" t="e">
        <f>D11/D6</f>
        <v>#DIV/0!</v>
      </c>
      <c r="F11" s="1822"/>
      <c r="G11" s="1823"/>
      <c r="H11" s="1797"/>
      <c r="I11" s="1894"/>
      <c r="J11" s="3691"/>
      <c r="K11" s="3695"/>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7" t="s">
        <v>1455</v>
      </c>
      <c r="C12" s="3688"/>
      <c r="D12" s="1830">
        <f>ROUND(D13*1.2%*(1-30%),0)</f>
        <v>0</v>
      </c>
      <c r="E12" s="1831">
        <v>1.2E-2</v>
      </c>
      <c r="F12" s="1822" t="s">
        <v>1456</v>
      </c>
      <c r="G12" s="1823"/>
      <c r="H12" s="1797"/>
      <c r="I12" s="1894"/>
      <c r="J12" s="3691"/>
      <c r="K12" s="3695"/>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91"/>
      <c r="K13" s="3695"/>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7" t="s">
        <v>1461</v>
      </c>
      <c r="C14" s="3688"/>
      <c r="D14" s="1830">
        <f>ROUND(E14*B5/10000,0)</f>
        <v>0</v>
      </c>
      <c r="E14" s="1835"/>
      <c r="F14" s="1822" t="s">
        <v>1462</v>
      </c>
      <c r="G14" s="1823"/>
      <c r="H14" s="1797"/>
      <c r="I14" s="1894"/>
      <c r="J14" s="3691"/>
      <c r="K14" s="3696"/>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7" t="s">
        <v>1465</v>
      </c>
      <c r="C15" s="3688"/>
      <c r="D15" s="1830">
        <f>ROUND(D6*E15,0)</f>
        <v>0</v>
      </c>
      <c r="E15" s="1831">
        <v>5.5E-2</v>
      </c>
      <c r="F15" s="1822" t="s">
        <v>1466</v>
      </c>
      <c r="G15" s="1809"/>
      <c r="H15" s="1797"/>
      <c r="I15" s="1894"/>
      <c r="J15" s="3691">
        <v>2</v>
      </c>
      <c r="K15" s="3694"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7" t="s">
        <v>1473</v>
      </c>
      <c r="C16" s="3688"/>
      <c r="D16" s="1836">
        <f>D6*E16</f>
        <v>0</v>
      </c>
      <c r="E16" s="1837"/>
      <c r="F16" s="1825" t="s">
        <v>1474</v>
      </c>
      <c r="G16" s="1809"/>
      <c r="H16" s="1797"/>
      <c r="I16" s="1894"/>
      <c r="J16" s="3691"/>
      <c r="K16" s="3695"/>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9" t="s">
        <v>1476</v>
      </c>
      <c r="C17" s="3690"/>
      <c r="D17" s="1839">
        <f>ROUND(D6*E17,0)</f>
        <v>0</v>
      </c>
      <c r="E17" s="1840"/>
      <c r="F17" s="1841" t="s">
        <v>1477</v>
      </c>
      <c r="G17" s="1809"/>
      <c r="H17" s="1797"/>
      <c r="I17" s="1894"/>
      <c r="J17" s="3691"/>
      <c r="K17" s="3695"/>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91"/>
      <c r="K18" s="3695"/>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91"/>
      <c r="K19" s="3696"/>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91">
        <v>3</v>
      </c>
      <c r="K20" s="3694"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91"/>
      <c r="K21" s="3695"/>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91"/>
      <c r="K22" s="3695"/>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91"/>
      <c r="K23" s="3695"/>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91"/>
      <c r="K24" s="3696"/>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92">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93"/>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78" t="s">
        <v>1412</v>
      </c>
      <c r="K32" s="3679"/>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0" t="s">
        <v>1420</v>
      </c>
      <c r="K33" s="3681"/>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0" t="s">
        <v>1422</v>
      </c>
      <c r="K34" s="3681"/>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91">
        <v>1</v>
      </c>
      <c r="K36" s="3694"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91"/>
      <c r="K37" s="3695"/>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91"/>
      <c r="K38" s="3695"/>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91"/>
      <c r="K39" s="3695"/>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91"/>
      <c r="K40" s="3696"/>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92">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93"/>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859.65620000000001</v>
      </c>
      <c r="C2" s="1761" t="s">
        <v>1523</v>
      </c>
      <c r="D2" s="1762" t="s">
        <v>1524</v>
      </c>
      <c r="E2" s="1763">
        <f>SUM(E6:E13)</f>
        <v>1105.3800000000001</v>
      </c>
      <c r="F2" s="1757"/>
      <c r="G2" s="1758"/>
      <c r="H2" s="1758"/>
      <c r="I2" s="1758"/>
      <c r="J2" s="1758"/>
      <c r="K2" s="1758"/>
      <c r="L2" s="1758"/>
      <c r="M2" s="1758"/>
      <c r="N2" s="1758"/>
      <c r="O2" s="1758"/>
      <c r="P2" s="1758"/>
      <c r="Q2" s="1758"/>
      <c r="R2" s="1758"/>
      <c r="S2" s="1758"/>
    </row>
    <row r="3" spans="1:22" ht="15.75">
      <c r="A3" s="1759" t="s">
        <v>961</v>
      </c>
      <c r="B3" s="1764">
        <f ca="1">ROUND(B2*10000/E2,0)</f>
        <v>7777</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859.65620000000001</v>
      </c>
      <c r="C6" s="1761" t="s">
        <v>1523</v>
      </c>
      <c r="D6" s="1765"/>
      <c r="E6" s="1773">
        <f>IF(OR(A6=0,F6="否"),0,'数据-取费表'!K6+'数据-取费表'!S6)</f>
        <v>1105.3800000000001</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1105.3800000000001</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26" t="s">
        <v>1122</v>
      </c>
      <c r="D4" s="3627"/>
      <c r="E4" s="3628" t="s">
        <v>1123</v>
      </c>
      <c r="F4" s="3629"/>
      <c r="G4" s="3626" t="s">
        <v>1124</v>
      </c>
      <c r="H4" s="3627"/>
      <c r="I4" s="3626" t="s">
        <v>1125</v>
      </c>
      <c r="J4" s="3627"/>
      <c r="K4" s="1689"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703" t="s">
        <v>1124</v>
      </c>
      <c r="AC4" s="3703" t="s">
        <v>1125</v>
      </c>
    </row>
    <row r="5" spans="1:29" ht="15">
      <c r="A5" s="570"/>
      <c r="B5" s="571"/>
      <c r="C5" s="3630" t="s">
        <v>1128</v>
      </c>
      <c r="D5" s="3631"/>
      <c r="E5" s="3699" t="s">
        <v>1532</v>
      </c>
      <c r="F5" s="3633"/>
      <c r="G5" s="3630" t="s">
        <v>1533</v>
      </c>
      <c r="H5" s="3631"/>
      <c r="I5" s="3630" t="s">
        <v>1534</v>
      </c>
      <c r="J5" s="3631"/>
      <c r="K5" s="1690"/>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1690"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46"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较好</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1413" t="str">
        <f>估价对象房地状况!C9</f>
        <v>较好</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47"/>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52"/>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47"/>
      <c r="Q26" s="764" t="str">
        <f t="shared" si="11"/>
        <v>朝向</v>
      </c>
      <c r="R26" s="765" t="s">
        <v>1135</v>
      </c>
      <c r="S26" s="766">
        <f t="shared" si="12"/>
        <v>100</v>
      </c>
      <c r="T26" s="765" t="s">
        <v>1135</v>
      </c>
      <c r="U26" s="766">
        <f t="shared" si="13"/>
        <v>100</v>
      </c>
      <c r="V26" s="765" t="s">
        <v>1135</v>
      </c>
      <c r="W26" s="766">
        <f t="shared" si="14"/>
        <v>100</v>
      </c>
      <c r="X26" s="758"/>
      <c r="Y26" s="3652"/>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47"/>
      <c r="Q27" s="763">
        <f t="shared" si="11"/>
        <v>111</v>
      </c>
      <c r="R27" s="759" t="s">
        <v>1135</v>
      </c>
      <c r="S27" s="760">
        <f t="shared" si="12"/>
        <v>100</v>
      </c>
      <c r="T27" s="759" t="s">
        <v>1135</v>
      </c>
      <c r="U27" s="760">
        <f t="shared" si="13"/>
        <v>100</v>
      </c>
      <c r="V27" s="759" t="s">
        <v>1135</v>
      </c>
      <c r="W27" s="760">
        <f t="shared" si="14"/>
        <v>100</v>
      </c>
      <c r="X27" s="761"/>
      <c r="Y27" s="3652"/>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47"/>
      <c r="Q28" s="764">
        <f t="shared" si="11"/>
        <v>111</v>
      </c>
      <c r="R28" s="765" t="s">
        <v>1135</v>
      </c>
      <c r="S28" s="766">
        <f t="shared" si="12"/>
        <v>100</v>
      </c>
      <c r="T28" s="765" t="s">
        <v>1135</v>
      </c>
      <c r="U28" s="766">
        <f t="shared" si="13"/>
        <v>100</v>
      </c>
      <c r="V28" s="765" t="s">
        <v>1135</v>
      </c>
      <c r="W28" s="766">
        <f t="shared" si="14"/>
        <v>100</v>
      </c>
      <c r="X28" s="758"/>
      <c r="Y28" s="3652"/>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48" t="s">
        <v>1164</v>
      </c>
      <c r="Q32" s="764" t="str">
        <f t="shared" si="11"/>
        <v>建筑类型</v>
      </c>
      <c r="R32" s="765" t="s">
        <v>1135</v>
      </c>
      <c r="S32" s="766">
        <f t="shared" si="12"/>
        <v>100</v>
      </c>
      <c r="T32" s="765" t="s">
        <v>1135</v>
      </c>
      <c r="U32" s="766">
        <f t="shared" si="13"/>
        <v>100</v>
      </c>
      <c r="V32" s="765" t="s">
        <v>1135</v>
      </c>
      <c r="W32" s="766">
        <f t="shared" si="14"/>
        <v>100</v>
      </c>
      <c r="X32" s="758"/>
      <c r="Y32" s="3653"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49"/>
      <c r="Q35" s="764" t="str">
        <f t="shared" si="11"/>
        <v>建筑品质</v>
      </c>
      <c r="R35" s="765" t="s">
        <v>1135</v>
      </c>
      <c r="S35" s="766">
        <f t="shared" si="12"/>
        <v>100</v>
      </c>
      <c r="T35" s="765" t="s">
        <v>1135</v>
      </c>
      <c r="U35" s="766">
        <f t="shared" si="13"/>
        <v>100</v>
      </c>
      <c r="V35" s="765" t="s">
        <v>1135</v>
      </c>
      <c r="W35" s="766">
        <f t="shared" si="14"/>
        <v>100</v>
      </c>
      <c r="X35" s="758"/>
      <c r="Y35" s="3653"/>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49"/>
      <c r="Q37" s="763" t="str">
        <f t="shared" si="11"/>
        <v>成新度</v>
      </c>
      <c r="R37" s="759" t="s">
        <v>1135</v>
      </c>
      <c r="S37" s="760" t="e">
        <f t="shared" si="12"/>
        <v>#N/A</v>
      </c>
      <c r="T37" s="759" t="s">
        <v>1135</v>
      </c>
      <c r="U37" s="760" t="e">
        <f t="shared" si="13"/>
        <v>#N/A</v>
      </c>
      <c r="V37" s="759" t="s">
        <v>1135</v>
      </c>
      <c r="W37" s="760" t="e">
        <f t="shared" si="14"/>
        <v>#N/A</v>
      </c>
      <c r="X37" s="761"/>
      <c r="Y37" s="3653"/>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49" t="s">
        <v>1164</v>
      </c>
      <c r="Q38" s="764" t="str">
        <f t="shared" si="11"/>
        <v>物业管理</v>
      </c>
      <c r="R38" s="765" t="s">
        <v>1135</v>
      </c>
      <c r="S38" s="766">
        <f t="shared" si="12"/>
        <v>100</v>
      </c>
      <c r="T38" s="765" t="s">
        <v>1135</v>
      </c>
      <c r="U38" s="766">
        <f t="shared" si="13"/>
        <v>100</v>
      </c>
      <c r="V38" s="765" t="s">
        <v>1135</v>
      </c>
      <c r="W38" s="766">
        <f t="shared" si="14"/>
        <v>100</v>
      </c>
      <c r="X38" s="758"/>
      <c r="Y38" s="3653"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49"/>
      <c r="Q39" s="764" t="str">
        <f t="shared" si="11"/>
        <v>市政基础设施</v>
      </c>
      <c r="R39" s="765" t="s">
        <v>1135</v>
      </c>
      <c r="S39" s="766">
        <f t="shared" si="12"/>
        <v>100</v>
      </c>
      <c r="T39" s="765" t="s">
        <v>1135</v>
      </c>
      <c r="U39" s="766">
        <f t="shared" si="13"/>
        <v>100</v>
      </c>
      <c r="V39" s="765" t="s">
        <v>1135</v>
      </c>
      <c r="W39" s="766">
        <f t="shared" si="14"/>
        <v>100</v>
      </c>
      <c r="X39" s="758"/>
      <c r="Y39" s="3653"/>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49"/>
      <c r="Q40" s="764" t="str">
        <f t="shared" si="11"/>
        <v>房型</v>
      </c>
      <c r="R40" s="765" t="s">
        <v>1135</v>
      </c>
      <c r="S40" s="766">
        <f t="shared" si="12"/>
        <v>100</v>
      </c>
      <c r="T40" s="765" t="s">
        <v>1135</v>
      </c>
      <c r="U40" s="766">
        <f t="shared" si="13"/>
        <v>100</v>
      </c>
      <c r="V40" s="765" t="s">
        <v>1135</v>
      </c>
      <c r="W40" s="766">
        <f t="shared" si="14"/>
        <v>100</v>
      </c>
      <c r="X40" s="758"/>
      <c r="Y40" s="3653"/>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49"/>
      <c r="Q41" s="767" t="str">
        <f t="shared" si="11"/>
        <v>单套/主力户型建筑面积</v>
      </c>
      <c r="R41" s="768" t="s">
        <v>1135</v>
      </c>
      <c r="S41" s="769">
        <f t="shared" si="12"/>
        <v>100</v>
      </c>
      <c r="T41" s="768" t="s">
        <v>1135</v>
      </c>
      <c r="U41" s="769">
        <f t="shared" si="13"/>
        <v>100</v>
      </c>
      <c r="V41" s="768" t="s">
        <v>1135</v>
      </c>
      <c r="W41" s="769">
        <f t="shared" si="14"/>
        <v>100</v>
      </c>
      <c r="X41" s="770"/>
      <c r="Y41" s="3653"/>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4" t="str">
        <f>A47</f>
        <v>成交单价（元/平方米）</v>
      </c>
      <c r="Q47" s="3644"/>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1105.3800000000001</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77"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77"/>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77"/>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46" t="s">
        <v>1150</v>
      </c>
      <c r="Q15" s="764" t="str">
        <f t="shared" si="6"/>
        <v>商业繁华度</v>
      </c>
      <c r="R15" s="765" t="s">
        <v>1135</v>
      </c>
      <c r="S15" s="766">
        <f t="shared" si="0"/>
        <v>100</v>
      </c>
      <c r="T15" s="765" t="s">
        <v>1135</v>
      </c>
      <c r="U15" s="766">
        <f t="shared" si="1"/>
        <v>100</v>
      </c>
      <c r="V15" s="765" t="s">
        <v>1135</v>
      </c>
      <c r="W15" s="766">
        <f t="shared" si="2"/>
        <v>100</v>
      </c>
      <c r="X15" s="758"/>
      <c r="Y15" s="3651"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较好</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997" t="str">
        <f>估价对象房地状况!C9</f>
        <v>较好</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47"/>
      <c r="Q25" s="764" t="str">
        <f t="shared" ref="Q25:Q46" si="11">B25</f>
        <v>临街状况</v>
      </c>
      <c r="R25" s="765" t="s">
        <v>1135</v>
      </c>
      <c r="S25" s="766">
        <f>F25</f>
        <v>100</v>
      </c>
      <c r="T25" s="765" t="s">
        <v>1135</v>
      </c>
      <c r="U25" s="766">
        <f>H25</f>
        <v>100</v>
      </c>
      <c r="V25" s="765" t="s">
        <v>1135</v>
      </c>
      <c r="W25" s="766">
        <f>J25</f>
        <v>100</v>
      </c>
      <c r="X25" s="758"/>
      <c r="Y25" s="3652"/>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47"/>
      <c r="Q26" s="764" t="str">
        <f t="shared" si="11"/>
        <v>平面位置/可视性</v>
      </c>
      <c r="R26" s="765" t="s">
        <v>1135</v>
      </c>
      <c r="S26" s="766">
        <f>F26</f>
        <v>100</v>
      </c>
      <c r="T26" s="765" t="s">
        <v>1135</v>
      </c>
      <c r="U26" s="766">
        <f>H26</f>
        <v>100</v>
      </c>
      <c r="V26" s="765" t="s">
        <v>1135</v>
      </c>
      <c r="W26" s="766">
        <f>J26</f>
        <v>100</v>
      </c>
      <c r="X26" s="758"/>
      <c r="Y26" s="3652"/>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47"/>
      <c r="Q27" s="763" t="str">
        <f t="shared" si="11"/>
        <v>人流量</v>
      </c>
      <c r="R27" s="759" t="s">
        <v>1135</v>
      </c>
      <c r="S27" s="760">
        <f>F27</f>
        <v>100</v>
      </c>
      <c r="T27" s="759" t="s">
        <v>1135</v>
      </c>
      <c r="U27" s="760">
        <f>H27</f>
        <v>100</v>
      </c>
      <c r="V27" s="759" t="s">
        <v>1135</v>
      </c>
      <c r="W27" s="760">
        <f>J27</f>
        <v>100</v>
      </c>
      <c r="X27" s="761"/>
      <c r="Y27" s="3652"/>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47"/>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52"/>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48" t="s">
        <v>1164</v>
      </c>
      <c r="Q32" s="764" t="str">
        <f t="shared" si="11"/>
        <v>商业类型</v>
      </c>
      <c r="R32" s="765" t="s">
        <v>1135</v>
      </c>
      <c r="S32" s="766">
        <f t="shared" si="12"/>
        <v>100</v>
      </c>
      <c r="T32" s="765" t="s">
        <v>1135</v>
      </c>
      <c r="U32" s="766">
        <f t="shared" si="13"/>
        <v>100</v>
      </c>
      <c r="V32" s="765" t="s">
        <v>1135</v>
      </c>
      <c r="W32" s="766">
        <f t="shared" si="14"/>
        <v>100</v>
      </c>
      <c r="X32" s="758"/>
      <c r="Y32" s="3653"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49"/>
      <c r="Q35" s="764" t="str">
        <f t="shared" si="11"/>
        <v>公共部分装修</v>
      </c>
      <c r="R35" s="765" t="s">
        <v>1135</v>
      </c>
      <c r="S35" s="766">
        <f t="shared" si="12"/>
        <v>100</v>
      </c>
      <c r="T35" s="765" t="s">
        <v>1135</v>
      </c>
      <c r="U35" s="766">
        <f t="shared" si="13"/>
        <v>100</v>
      </c>
      <c r="V35" s="765" t="s">
        <v>1135</v>
      </c>
      <c r="W35" s="766">
        <f t="shared" si="14"/>
        <v>100</v>
      </c>
      <c r="X35" s="758"/>
      <c r="Y35" s="3653"/>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49"/>
      <c r="Q36" s="764" t="str">
        <f t="shared" si="11"/>
        <v>成新度</v>
      </c>
      <c r="R36" s="765" t="s">
        <v>1135</v>
      </c>
      <c r="S36" s="766" t="e">
        <f t="shared" si="12"/>
        <v>#N/A</v>
      </c>
      <c r="T36" s="765" t="s">
        <v>1135</v>
      </c>
      <c r="U36" s="766" t="e">
        <f t="shared" si="13"/>
        <v>#N/A</v>
      </c>
      <c r="V36" s="765" t="s">
        <v>1135</v>
      </c>
      <c r="W36" s="766" t="e">
        <f t="shared" si="14"/>
        <v>#N/A</v>
      </c>
      <c r="X36" s="758"/>
      <c r="Y36" s="3653"/>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49"/>
      <c r="Q37" s="763" t="str">
        <f t="shared" si="11"/>
        <v>市政基础设施</v>
      </c>
      <c r="R37" s="759" t="s">
        <v>1135</v>
      </c>
      <c r="S37" s="760">
        <f t="shared" si="12"/>
        <v>100</v>
      </c>
      <c r="T37" s="759" t="s">
        <v>1135</v>
      </c>
      <c r="U37" s="760">
        <f t="shared" si="13"/>
        <v>100</v>
      </c>
      <c r="V37" s="759" t="s">
        <v>1135</v>
      </c>
      <c r="W37" s="760">
        <f t="shared" si="14"/>
        <v>100</v>
      </c>
      <c r="X37" s="761"/>
      <c r="Y37" s="3653"/>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49" t="s">
        <v>1164</v>
      </c>
      <c r="Q38" s="764" t="str">
        <f t="shared" si="11"/>
        <v>业态</v>
      </c>
      <c r="R38" s="765" t="s">
        <v>1135</v>
      </c>
      <c r="S38" s="766">
        <f t="shared" si="12"/>
        <v>100</v>
      </c>
      <c r="T38" s="765" t="s">
        <v>1135</v>
      </c>
      <c r="U38" s="766">
        <f t="shared" si="13"/>
        <v>100</v>
      </c>
      <c r="V38" s="765" t="s">
        <v>1135</v>
      </c>
      <c r="W38" s="766">
        <f t="shared" si="14"/>
        <v>100</v>
      </c>
      <c r="X38" s="758"/>
      <c r="Y38" s="3653"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49"/>
      <c r="Q39" s="764" t="str">
        <f t="shared" si="11"/>
        <v>层高</v>
      </c>
      <c r="R39" s="765" t="s">
        <v>1135</v>
      </c>
      <c r="S39" s="766">
        <f t="shared" si="12"/>
        <v>100</v>
      </c>
      <c r="T39" s="765" t="s">
        <v>1135</v>
      </c>
      <c r="U39" s="766">
        <f t="shared" si="13"/>
        <v>100</v>
      </c>
      <c r="V39" s="765" t="s">
        <v>1135</v>
      </c>
      <c r="W39" s="766">
        <f t="shared" si="14"/>
        <v>100</v>
      </c>
      <c r="X39" s="758"/>
      <c r="Y39" s="3653"/>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49"/>
      <c r="Q40" s="764" t="str">
        <f t="shared" si="11"/>
        <v>单套建筑面积</v>
      </c>
      <c r="R40" s="765" t="s">
        <v>1135</v>
      </c>
      <c r="S40" s="766">
        <f t="shared" si="12"/>
        <v>100</v>
      </c>
      <c r="T40" s="765" t="s">
        <v>1135</v>
      </c>
      <c r="U40" s="766">
        <f t="shared" si="13"/>
        <v>100</v>
      </c>
      <c r="V40" s="765" t="s">
        <v>1135</v>
      </c>
      <c r="W40" s="766">
        <f t="shared" si="14"/>
        <v>100</v>
      </c>
      <c r="X40" s="758"/>
      <c r="Y40" s="3653"/>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49"/>
      <c r="Q41" s="767" t="str">
        <f t="shared" si="11"/>
        <v>进深比</v>
      </c>
      <c r="R41" s="768" t="s">
        <v>1135</v>
      </c>
      <c r="S41" s="769">
        <f t="shared" si="12"/>
        <v>100</v>
      </c>
      <c r="T41" s="768" t="s">
        <v>1135</v>
      </c>
      <c r="U41" s="769">
        <f t="shared" si="13"/>
        <v>100</v>
      </c>
      <c r="V41" s="768" t="s">
        <v>1135</v>
      </c>
      <c r="W41" s="769">
        <f t="shared" si="14"/>
        <v>100</v>
      </c>
      <c r="X41" s="770"/>
      <c r="Y41" s="3653"/>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4" t="str">
        <f>A47</f>
        <v>成交单价（元/平方米）</v>
      </c>
      <c r="Q47" s="3644"/>
      <c r="R47" s="3677">
        <f>E47</f>
        <v>0</v>
      </c>
      <c r="S47" s="3677"/>
      <c r="T47" s="3677">
        <f>G47</f>
        <v>0</v>
      </c>
      <c r="U47" s="3677"/>
      <c r="V47" s="3677">
        <f>I47</f>
        <v>0</v>
      </c>
      <c r="W47" s="3677"/>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1105.3800000000001</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1615"/>
      <c r="M4" s="1616"/>
      <c r="N4" s="1616"/>
      <c r="O4" s="1616"/>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1615"/>
      <c r="M5" s="1616"/>
      <c r="N5" s="1616"/>
      <c r="O5" s="1616"/>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1615"/>
      <c r="M6" s="1616"/>
      <c r="N6" s="1616"/>
      <c r="O6" s="1616"/>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4"/>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52"/>
      <c r="Q16" s="764"/>
      <c r="R16" s="765"/>
      <c r="S16" s="766"/>
      <c r="T16" s="765"/>
      <c r="U16" s="766"/>
      <c r="V16" s="765"/>
      <c r="W16" s="766"/>
      <c r="X16" s="758"/>
      <c r="Y16" s="3652"/>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52"/>
      <c r="Q18" s="764"/>
      <c r="R18" s="765"/>
      <c r="S18" s="766"/>
      <c r="T18" s="765"/>
      <c r="U18" s="766"/>
      <c r="V18" s="765"/>
      <c r="W18" s="766"/>
      <c r="X18" s="758"/>
      <c r="Y18" s="3652"/>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52"/>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52"/>
      <c r="Q20" s="764"/>
      <c r="R20" s="765"/>
      <c r="S20" s="766"/>
      <c r="T20" s="765"/>
      <c r="U20" s="766"/>
      <c r="V20" s="765"/>
      <c r="W20" s="766"/>
      <c r="X20" s="758"/>
      <c r="Y20" s="3652"/>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52"/>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52"/>
      <c r="Q22" s="764"/>
      <c r="R22" s="765"/>
      <c r="S22" s="766"/>
      <c r="T22" s="765"/>
      <c r="U22" s="766"/>
      <c r="V22" s="765"/>
      <c r="W22" s="766"/>
      <c r="X22" s="758"/>
      <c r="Y22" s="3652"/>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52"/>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52"/>
      <c r="Q24" s="764"/>
      <c r="R24" s="765"/>
      <c r="S24" s="766"/>
      <c r="T24" s="765"/>
      <c r="U24" s="766"/>
      <c r="V24" s="765"/>
      <c r="W24" s="766"/>
      <c r="X24" s="758"/>
      <c r="Y24" s="3652"/>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52"/>
      <c r="Q25" s="764">
        <f>B25</f>
        <v>111</v>
      </c>
      <c r="R25" s="765" t="s">
        <v>1135</v>
      </c>
      <c r="S25" s="766">
        <f>F25</f>
        <v>100</v>
      </c>
      <c r="T25" s="765" t="s">
        <v>1135</v>
      </c>
      <c r="U25" s="766">
        <f>H25</f>
        <v>100</v>
      </c>
      <c r="V25" s="765" t="s">
        <v>1135</v>
      </c>
      <c r="W25" s="766">
        <f>J25</f>
        <v>100</v>
      </c>
      <c r="X25" s="758"/>
      <c r="Y25" s="3652"/>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52"/>
      <c r="Q26" s="764">
        <f t="shared" ref="Q26:Q40" si="11">B26</f>
        <v>111</v>
      </c>
      <c r="R26" s="765" t="s">
        <v>1135</v>
      </c>
      <c r="S26" s="766">
        <f>F26</f>
        <v>100</v>
      </c>
      <c r="T26" s="765" t="s">
        <v>1135</v>
      </c>
      <c r="U26" s="766">
        <f>H26</f>
        <v>100</v>
      </c>
      <c r="V26" s="765" t="s">
        <v>1135</v>
      </c>
      <c r="W26" s="766">
        <f>J26</f>
        <v>100</v>
      </c>
      <c r="X26" s="758"/>
      <c r="Y26" s="3652"/>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52"/>
      <c r="Q27" s="763">
        <f t="shared" si="11"/>
        <v>111</v>
      </c>
      <c r="R27" s="759" t="s">
        <v>1135</v>
      </c>
      <c r="S27" s="760">
        <f>F27</f>
        <v>100</v>
      </c>
      <c r="T27" s="759" t="s">
        <v>1135</v>
      </c>
      <c r="U27" s="760">
        <f>H27</f>
        <v>100</v>
      </c>
      <c r="V27" s="759" t="s">
        <v>1135</v>
      </c>
      <c r="W27" s="760">
        <f>J27</f>
        <v>100</v>
      </c>
      <c r="X27" s="761"/>
      <c r="Y27" s="3652"/>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52"/>
      <c r="Q28" s="764">
        <f t="shared" si="11"/>
        <v>111</v>
      </c>
      <c r="R28" s="765" t="s">
        <v>1135</v>
      </c>
      <c r="S28" s="766">
        <f t="shared" ref="S28:S40" si="12">F28</f>
        <v>100</v>
      </c>
      <c r="T28" s="765" t="s">
        <v>1135</v>
      </c>
      <c r="U28" s="766">
        <f t="shared" ref="U28:U40" si="13">H28</f>
        <v>100</v>
      </c>
      <c r="V28" s="765" t="s">
        <v>1135</v>
      </c>
      <c r="W28" s="766">
        <f t="shared" ref="W28:W40" si="14">J28</f>
        <v>100</v>
      </c>
      <c r="X28" s="758"/>
      <c r="Y28" s="3652"/>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53"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53"/>
      <c r="Q30" s="767" t="str">
        <f t="shared" si="11"/>
        <v>项目建筑规模</v>
      </c>
      <c r="R30" s="768" t="s">
        <v>1135</v>
      </c>
      <c r="S30" s="769" t="e">
        <f t="shared" si="12"/>
        <v>#N/A</v>
      </c>
      <c r="T30" s="768" t="s">
        <v>1135</v>
      </c>
      <c r="U30" s="769" t="e">
        <f t="shared" si="13"/>
        <v>#N/A</v>
      </c>
      <c r="V30" s="768" t="s">
        <v>1135</v>
      </c>
      <c r="W30" s="769" t="e">
        <f t="shared" si="14"/>
        <v>#N/A</v>
      </c>
      <c r="X30" s="770"/>
      <c r="Y30" s="3653"/>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53"/>
      <c r="Q31" s="764" t="str">
        <f t="shared" si="11"/>
        <v>建筑结构</v>
      </c>
      <c r="R31" s="765" t="s">
        <v>1135</v>
      </c>
      <c r="S31" s="766">
        <f t="shared" si="12"/>
        <v>100</v>
      </c>
      <c r="T31" s="765" t="s">
        <v>1135</v>
      </c>
      <c r="U31" s="766">
        <f t="shared" si="13"/>
        <v>100</v>
      </c>
      <c r="V31" s="765" t="s">
        <v>1135</v>
      </c>
      <c r="W31" s="766">
        <f t="shared" si="14"/>
        <v>100</v>
      </c>
      <c r="X31" s="758"/>
      <c r="Y31" s="3653"/>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53"/>
      <c r="Q32" s="764" t="str">
        <f t="shared" si="11"/>
        <v>公共部分装修</v>
      </c>
      <c r="R32" s="765" t="s">
        <v>1135</v>
      </c>
      <c r="S32" s="766">
        <f t="shared" si="12"/>
        <v>100</v>
      </c>
      <c r="T32" s="765" t="s">
        <v>1135</v>
      </c>
      <c r="U32" s="766">
        <f t="shared" si="13"/>
        <v>100</v>
      </c>
      <c r="V32" s="765" t="s">
        <v>1135</v>
      </c>
      <c r="W32" s="766">
        <f t="shared" si="14"/>
        <v>100</v>
      </c>
      <c r="X32" s="758"/>
      <c r="Y32" s="3653"/>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53"/>
      <c r="Q33" s="764" t="str">
        <f t="shared" si="11"/>
        <v>成新度</v>
      </c>
      <c r="R33" s="765" t="s">
        <v>1135</v>
      </c>
      <c r="S33" s="766" t="e">
        <f t="shared" si="12"/>
        <v>#N/A</v>
      </c>
      <c r="T33" s="765" t="s">
        <v>1135</v>
      </c>
      <c r="U33" s="766" t="e">
        <f t="shared" si="13"/>
        <v>#N/A</v>
      </c>
      <c r="V33" s="765" t="s">
        <v>1135</v>
      </c>
      <c r="W33" s="766" t="e">
        <f t="shared" si="14"/>
        <v>#N/A</v>
      </c>
      <c r="X33" s="758"/>
      <c r="Y33" s="3653"/>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53"/>
      <c r="Q34" s="763" t="str">
        <f t="shared" si="11"/>
        <v>物业管理</v>
      </c>
      <c r="R34" s="759" t="s">
        <v>1135</v>
      </c>
      <c r="S34" s="760">
        <f t="shared" si="12"/>
        <v>100</v>
      </c>
      <c r="T34" s="759" t="s">
        <v>1135</v>
      </c>
      <c r="U34" s="760">
        <f t="shared" si="13"/>
        <v>100</v>
      </c>
      <c r="V34" s="759" t="s">
        <v>1135</v>
      </c>
      <c r="W34" s="760">
        <f t="shared" si="14"/>
        <v>100</v>
      </c>
      <c r="X34" s="761"/>
      <c r="Y34" s="3653"/>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53" t="s">
        <v>1164</v>
      </c>
      <c r="Q35" s="764" t="str">
        <f t="shared" si="11"/>
        <v>市政基础设施</v>
      </c>
      <c r="R35" s="765" t="s">
        <v>1135</v>
      </c>
      <c r="S35" s="766">
        <f t="shared" si="12"/>
        <v>100</v>
      </c>
      <c r="T35" s="765" t="s">
        <v>1135</v>
      </c>
      <c r="U35" s="766">
        <f t="shared" si="13"/>
        <v>100</v>
      </c>
      <c r="V35" s="765" t="s">
        <v>1135</v>
      </c>
      <c r="W35" s="766">
        <f t="shared" si="14"/>
        <v>100</v>
      </c>
      <c r="X35" s="758"/>
      <c r="Y35" s="3653"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53"/>
      <c r="Q36" s="764" t="str">
        <f t="shared" si="11"/>
        <v>内部装修</v>
      </c>
      <c r="R36" s="765" t="s">
        <v>1135</v>
      </c>
      <c r="S36" s="766">
        <f t="shared" si="12"/>
        <v>100</v>
      </c>
      <c r="T36" s="765" t="s">
        <v>1135</v>
      </c>
      <c r="U36" s="766">
        <f t="shared" si="13"/>
        <v>100</v>
      </c>
      <c r="V36" s="765" t="s">
        <v>1135</v>
      </c>
      <c r="W36" s="766">
        <f t="shared" si="14"/>
        <v>100</v>
      </c>
      <c r="X36" s="758"/>
      <c r="Y36" s="3653"/>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53"/>
      <c r="Q37" s="764" t="str">
        <f t="shared" si="11"/>
        <v>内部装修状况</v>
      </c>
      <c r="R37" s="765" t="s">
        <v>1135</v>
      </c>
      <c r="S37" s="766">
        <f t="shared" si="12"/>
        <v>100</v>
      </c>
      <c r="T37" s="765" t="s">
        <v>1135</v>
      </c>
      <c r="U37" s="766">
        <f t="shared" si="13"/>
        <v>100</v>
      </c>
      <c r="V37" s="765" t="s">
        <v>1135</v>
      </c>
      <c r="W37" s="766">
        <f t="shared" si="14"/>
        <v>100</v>
      </c>
      <c r="X37" s="758"/>
      <c r="Y37" s="3653"/>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53"/>
      <c r="Q38" s="767">
        <f t="shared" si="11"/>
        <v>111</v>
      </c>
      <c r="R38" s="768" t="s">
        <v>1135</v>
      </c>
      <c r="S38" s="769">
        <f t="shared" si="12"/>
        <v>100</v>
      </c>
      <c r="T38" s="768" t="s">
        <v>1135</v>
      </c>
      <c r="U38" s="769">
        <f t="shared" si="13"/>
        <v>100</v>
      </c>
      <c r="V38" s="768" t="s">
        <v>1135</v>
      </c>
      <c r="W38" s="769">
        <f t="shared" si="14"/>
        <v>100</v>
      </c>
      <c r="X38" s="770"/>
      <c r="Y38" s="3653"/>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53"/>
      <c r="Q39" s="764">
        <f t="shared" si="11"/>
        <v>111</v>
      </c>
      <c r="R39" s="765" t="s">
        <v>1135</v>
      </c>
      <c r="S39" s="766">
        <f t="shared" si="12"/>
        <v>100</v>
      </c>
      <c r="T39" s="765" t="s">
        <v>1135</v>
      </c>
      <c r="U39" s="766">
        <f t="shared" si="13"/>
        <v>100</v>
      </c>
      <c r="V39" s="765" t="s">
        <v>1135</v>
      </c>
      <c r="W39" s="766">
        <f t="shared" si="14"/>
        <v>100</v>
      </c>
      <c r="X39" s="758"/>
      <c r="Y39" s="3653"/>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54"/>
      <c r="Q40" s="764">
        <f t="shared" si="11"/>
        <v>111</v>
      </c>
      <c r="R40" s="765" t="s">
        <v>1135</v>
      </c>
      <c r="S40" s="766">
        <f t="shared" si="12"/>
        <v>100</v>
      </c>
      <c r="T40" s="765" t="s">
        <v>1135</v>
      </c>
      <c r="U40" s="766">
        <f t="shared" si="13"/>
        <v>100</v>
      </c>
      <c r="V40" s="765" t="s">
        <v>1135</v>
      </c>
      <c r="W40" s="766">
        <f t="shared" si="14"/>
        <v>100</v>
      </c>
      <c r="X40" s="758"/>
      <c r="Y40" s="3654"/>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4" t="str">
        <f>A41</f>
        <v>成交单价（元/平方米）</v>
      </c>
      <c r="Q41" s="3644"/>
      <c r="R41" s="3645">
        <f>E41</f>
        <v>0</v>
      </c>
      <c r="S41" s="3645"/>
      <c r="T41" s="3645">
        <f>G41</f>
        <v>0</v>
      </c>
      <c r="U41" s="3645"/>
      <c r="V41" s="3645">
        <f>I41</f>
        <v>0</v>
      </c>
      <c r="W41" s="3645"/>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52"/>
      <c r="Q15" s="764"/>
      <c r="R15" s="765"/>
      <c r="S15" s="766"/>
      <c r="T15" s="765"/>
      <c r="U15" s="766"/>
      <c r="V15" s="765"/>
      <c r="W15" s="766"/>
      <c r="X15" s="758"/>
      <c r="Y15" s="3652"/>
      <c r="Z15" s="757"/>
      <c r="AA15" s="771">
        <v>1</v>
      </c>
      <c r="AB15" s="771">
        <v>1</v>
      </c>
      <c r="AC15" s="771">
        <v>1</v>
      </c>
    </row>
    <row r="16" spans="1:29" ht="15">
      <c r="A16" s="570"/>
      <c r="B16" s="615" t="s">
        <v>1154</v>
      </c>
      <c r="C16" s="1413" t="str">
        <f>IF(B1="工业",估价对象房地状况!G5,估价对象房地状况!C7)</f>
        <v>较好</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52"/>
      <c r="Q17" s="764"/>
      <c r="R17" s="765"/>
      <c r="S17" s="766"/>
      <c r="T17" s="765"/>
      <c r="U17" s="766"/>
      <c r="V17" s="765"/>
      <c r="W17" s="766"/>
      <c r="X17" s="758"/>
      <c r="Y17" s="3652"/>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52"/>
      <c r="Q19" s="764"/>
      <c r="R19" s="765"/>
      <c r="S19" s="766"/>
      <c r="T19" s="765"/>
      <c r="U19" s="766"/>
      <c r="V19" s="765"/>
      <c r="W19" s="766"/>
      <c r="X19" s="758"/>
      <c r="Y19" s="3652"/>
      <c r="Z19" s="757"/>
      <c r="AA19" s="771">
        <v>1</v>
      </c>
      <c r="AB19" s="771">
        <v>1</v>
      </c>
      <c r="AC19" s="771">
        <v>1</v>
      </c>
    </row>
    <row r="20" spans="1:29" ht="15">
      <c r="A20" s="570"/>
      <c r="B20" s="615" t="s">
        <v>1536</v>
      </c>
      <c r="C20" s="1413" t="str">
        <f>IF(B1="工业",估价对象房地状况!G7,估价对象房地状况!C9)</f>
        <v>较好</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52"/>
      <c r="Q21" s="764"/>
      <c r="R21" s="765"/>
      <c r="S21" s="766"/>
      <c r="T21" s="765"/>
      <c r="U21" s="766"/>
      <c r="V21" s="765"/>
      <c r="W21" s="766"/>
      <c r="X21" s="758"/>
      <c r="Y21" s="3652"/>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52"/>
      <c r="Q24" s="764">
        <f t="shared" ref="Q24:Q36"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53"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53"/>
      <c r="Q27" s="767" t="str">
        <f t="shared" si="11"/>
        <v>项目停车位配比</v>
      </c>
      <c r="R27" s="768" t="s">
        <v>1135</v>
      </c>
      <c r="S27" s="769">
        <f t="shared" si="12"/>
        <v>100</v>
      </c>
      <c r="T27" s="768" t="s">
        <v>1135</v>
      </c>
      <c r="U27" s="769">
        <f t="shared" si="13"/>
        <v>100</v>
      </c>
      <c r="V27" s="768" t="s">
        <v>1135</v>
      </c>
      <c r="W27" s="769">
        <f t="shared" si="14"/>
        <v>100</v>
      </c>
      <c r="X27" s="770"/>
      <c r="Y27" s="3653"/>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53"/>
      <c r="Q28" s="764" t="str">
        <f t="shared" si="11"/>
        <v>公共部分装修</v>
      </c>
      <c r="R28" s="765" t="s">
        <v>1135</v>
      </c>
      <c r="S28" s="766">
        <f t="shared" si="12"/>
        <v>100</v>
      </c>
      <c r="T28" s="765" t="s">
        <v>1135</v>
      </c>
      <c r="U28" s="766">
        <f t="shared" si="13"/>
        <v>100</v>
      </c>
      <c r="V28" s="765" t="s">
        <v>1135</v>
      </c>
      <c r="W28" s="766">
        <f t="shared" si="14"/>
        <v>100</v>
      </c>
      <c r="X28" s="758"/>
      <c r="Y28" s="3653"/>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53"/>
      <c r="Q29" s="764" t="str">
        <f t="shared" si="11"/>
        <v>成新率</v>
      </c>
      <c r="R29" s="765" t="s">
        <v>1135</v>
      </c>
      <c r="S29" s="766" t="e">
        <f t="shared" si="12"/>
        <v>#N/A</v>
      </c>
      <c r="T29" s="765" t="s">
        <v>1135</v>
      </c>
      <c r="U29" s="766" t="e">
        <f t="shared" si="13"/>
        <v>#N/A</v>
      </c>
      <c r="V29" s="765" t="s">
        <v>1135</v>
      </c>
      <c r="W29" s="766" t="e">
        <f t="shared" si="14"/>
        <v>#N/A</v>
      </c>
      <c r="X29" s="758"/>
      <c r="Y29" s="3653"/>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53"/>
      <c r="Q30" s="764" t="str">
        <f t="shared" si="11"/>
        <v>物业等级</v>
      </c>
      <c r="R30" s="765" t="s">
        <v>1135</v>
      </c>
      <c r="S30" s="766">
        <f t="shared" si="12"/>
        <v>100</v>
      </c>
      <c r="T30" s="765" t="s">
        <v>1135</v>
      </c>
      <c r="U30" s="766">
        <f t="shared" si="13"/>
        <v>100</v>
      </c>
      <c r="V30" s="765" t="s">
        <v>1135</v>
      </c>
      <c r="W30" s="766">
        <f t="shared" si="14"/>
        <v>100</v>
      </c>
      <c r="X30" s="758"/>
      <c r="Y30" s="3653"/>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53"/>
      <c r="Q31" s="763" t="str">
        <f t="shared" si="11"/>
        <v>停车位面积</v>
      </c>
      <c r="R31" s="759" t="s">
        <v>1135</v>
      </c>
      <c r="S31" s="760" t="e">
        <f t="shared" si="12"/>
        <v>#N/A</v>
      </c>
      <c r="T31" s="759" t="s">
        <v>1135</v>
      </c>
      <c r="U31" s="760" t="e">
        <f t="shared" si="13"/>
        <v>#N/A</v>
      </c>
      <c r="V31" s="759" t="s">
        <v>1135</v>
      </c>
      <c r="W31" s="760" t="e">
        <f t="shared" si="14"/>
        <v>#N/A</v>
      </c>
      <c r="X31" s="761"/>
      <c r="Y31" s="3653"/>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53" t="s">
        <v>1164</v>
      </c>
      <c r="Q32" s="764" t="str">
        <f t="shared" si="11"/>
        <v>车位类型</v>
      </c>
      <c r="R32" s="765" t="s">
        <v>1135</v>
      </c>
      <c r="S32" s="766">
        <f t="shared" si="12"/>
        <v>100</v>
      </c>
      <c r="T32" s="765" t="s">
        <v>1135</v>
      </c>
      <c r="U32" s="766">
        <f t="shared" si="13"/>
        <v>100</v>
      </c>
      <c r="V32" s="765" t="s">
        <v>1135</v>
      </c>
      <c r="W32" s="766">
        <f t="shared" si="14"/>
        <v>100</v>
      </c>
      <c r="X32" s="758"/>
      <c r="Y32" s="3653"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53"/>
      <c r="Q33" s="764" t="str">
        <f t="shared" si="11"/>
        <v>是否直接入户</v>
      </c>
      <c r="R33" s="765" t="s">
        <v>1135</v>
      </c>
      <c r="S33" s="766">
        <f t="shared" si="12"/>
        <v>100</v>
      </c>
      <c r="T33" s="765" t="s">
        <v>1135</v>
      </c>
      <c r="U33" s="766">
        <f t="shared" si="13"/>
        <v>100</v>
      </c>
      <c r="V33" s="765" t="s">
        <v>1135</v>
      </c>
      <c r="W33" s="766">
        <f t="shared" si="14"/>
        <v>100</v>
      </c>
      <c r="X33" s="758"/>
      <c r="Y33" s="3653"/>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53"/>
      <c r="Q35" s="767">
        <f t="shared" si="11"/>
        <v>111</v>
      </c>
      <c r="R35" s="768" t="s">
        <v>1135</v>
      </c>
      <c r="S35" s="769">
        <f t="shared" si="12"/>
        <v>100</v>
      </c>
      <c r="T35" s="768" t="s">
        <v>1135</v>
      </c>
      <c r="U35" s="769">
        <f t="shared" si="13"/>
        <v>100</v>
      </c>
      <c r="V35" s="768" t="s">
        <v>1135</v>
      </c>
      <c r="W35" s="769">
        <f t="shared" si="14"/>
        <v>100</v>
      </c>
      <c r="X35" s="770"/>
      <c r="Y35" s="3653"/>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53"/>
      <c r="Q36" s="764">
        <f t="shared" si="11"/>
        <v>111</v>
      </c>
      <c r="R36" s="765" t="s">
        <v>1135</v>
      </c>
      <c r="S36" s="766">
        <f t="shared" si="12"/>
        <v>100</v>
      </c>
      <c r="T36" s="765" t="s">
        <v>1135</v>
      </c>
      <c r="U36" s="766">
        <f t="shared" si="13"/>
        <v>100</v>
      </c>
      <c r="V36" s="765" t="s">
        <v>1135</v>
      </c>
      <c r="W36" s="766">
        <f t="shared" si="14"/>
        <v>100</v>
      </c>
      <c r="X36" s="758"/>
      <c r="Y36" s="3653"/>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4" t="str">
        <f>A37</f>
        <v>成交单价</v>
      </c>
      <c r="Q37" s="3644"/>
      <c r="R37" s="3645">
        <f>E37</f>
        <v>0</v>
      </c>
      <c r="S37" s="3645"/>
      <c r="T37" s="3645">
        <f>G37</f>
        <v>0</v>
      </c>
      <c r="U37" s="3645"/>
      <c r="V37" s="3645">
        <f>I37</f>
        <v>0</v>
      </c>
      <c r="W37" s="3645"/>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52"/>
      <c r="Q15" s="764"/>
      <c r="R15" s="765"/>
      <c r="S15" s="766"/>
      <c r="T15" s="765"/>
      <c r="U15" s="766"/>
      <c r="V15" s="765"/>
      <c r="W15" s="766"/>
      <c r="X15" s="758"/>
      <c r="Y15" s="3652"/>
      <c r="Z15" s="757"/>
      <c r="AA15" s="771">
        <v>1</v>
      </c>
      <c r="AB15" s="771">
        <v>1</v>
      </c>
      <c r="AC15" s="771">
        <v>1</v>
      </c>
    </row>
    <row r="16" spans="1:29" ht="15">
      <c r="A16" s="590"/>
      <c r="B16" s="1526" t="s">
        <v>1154</v>
      </c>
      <c r="C16" s="1413" t="str">
        <f>IF(B1="工业",估价对象房地状况!G5,估价对象房地状况!C7)</f>
        <v>较好</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52"/>
      <c r="Q17" s="764"/>
      <c r="R17" s="765"/>
      <c r="S17" s="766"/>
      <c r="T17" s="765"/>
      <c r="U17" s="766"/>
      <c r="V17" s="765"/>
      <c r="W17" s="766"/>
      <c r="X17" s="758"/>
      <c r="Y17" s="3652"/>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52"/>
      <c r="Q19" s="764"/>
      <c r="R19" s="765"/>
      <c r="S19" s="766"/>
      <c r="T19" s="765"/>
      <c r="U19" s="766"/>
      <c r="V19" s="765"/>
      <c r="W19" s="766"/>
      <c r="X19" s="758"/>
      <c r="Y19" s="3652"/>
      <c r="Z19" s="757"/>
      <c r="AA19" s="771">
        <v>1</v>
      </c>
      <c r="AB19" s="771">
        <v>1</v>
      </c>
      <c r="AC19" s="771">
        <v>1</v>
      </c>
    </row>
    <row r="20" spans="1:29" ht="15">
      <c r="A20" s="590"/>
      <c r="B20" s="1526" t="s">
        <v>1536</v>
      </c>
      <c r="C20" s="1413" t="str">
        <f>IF(B1="工业",估价对象房地状况!G7,估价对象房地状况!C9)</f>
        <v>较好</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52"/>
      <c r="Q21" s="764"/>
      <c r="R21" s="765"/>
      <c r="S21" s="766"/>
      <c r="T21" s="765"/>
      <c r="U21" s="766"/>
      <c r="V21" s="765"/>
      <c r="W21" s="766"/>
      <c r="X21" s="758"/>
      <c r="Y21" s="3652"/>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52"/>
      <c r="Q24" s="764">
        <f t="shared" ref="Q24:Q34"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53"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53"/>
      <c r="Q27" s="767" t="str">
        <f t="shared" si="11"/>
        <v>成新率</v>
      </c>
      <c r="R27" s="768" t="s">
        <v>1135</v>
      </c>
      <c r="S27" s="769" t="e">
        <f t="shared" si="12"/>
        <v>#N/A</v>
      </c>
      <c r="T27" s="768" t="s">
        <v>1135</v>
      </c>
      <c r="U27" s="769" t="e">
        <f t="shared" si="13"/>
        <v>#N/A</v>
      </c>
      <c r="V27" s="768" t="s">
        <v>1135</v>
      </c>
      <c r="W27" s="769" t="e">
        <f t="shared" si="14"/>
        <v>#N/A</v>
      </c>
      <c r="X27" s="770"/>
      <c r="Y27" s="3653"/>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53"/>
      <c r="Q28" s="764" t="str">
        <f t="shared" si="11"/>
        <v>物业等级</v>
      </c>
      <c r="R28" s="765" t="s">
        <v>1135</v>
      </c>
      <c r="S28" s="766">
        <f t="shared" si="12"/>
        <v>100</v>
      </c>
      <c r="T28" s="765" t="s">
        <v>1135</v>
      </c>
      <c r="U28" s="766">
        <f t="shared" si="13"/>
        <v>100</v>
      </c>
      <c r="V28" s="765" t="s">
        <v>1135</v>
      </c>
      <c r="W28" s="766">
        <f t="shared" si="14"/>
        <v>100</v>
      </c>
      <c r="X28" s="758"/>
      <c r="Y28" s="3653"/>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53"/>
      <c r="Q29" s="764" t="str">
        <f t="shared" si="11"/>
        <v>有无电梯</v>
      </c>
      <c r="R29" s="765" t="s">
        <v>1135</v>
      </c>
      <c r="S29" s="766">
        <f t="shared" si="12"/>
        <v>100</v>
      </c>
      <c r="T29" s="765" t="s">
        <v>1135</v>
      </c>
      <c r="U29" s="766">
        <f t="shared" si="13"/>
        <v>100</v>
      </c>
      <c r="V29" s="765" t="s">
        <v>1135</v>
      </c>
      <c r="W29" s="766">
        <f t="shared" si="14"/>
        <v>100</v>
      </c>
      <c r="X29" s="758"/>
      <c r="Y29" s="3653"/>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53"/>
      <c r="Q30" s="764" t="str">
        <f t="shared" si="11"/>
        <v>建筑面积</v>
      </c>
      <c r="R30" s="765" t="s">
        <v>1135</v>
      </c>
      <c r="S30" s="766" t="e">
        <f t="shared" si="12"/>
        <v>#N/A</v>
      </c>
      <c r="T30" s="765" t="s">
        <v>1135</v>
      </c>
      <c r="U30" s="766" t="e">
        <f t="shared" si="13"/>
        <v>#N/A</v>
      </c>
      <c r="V30" s="765" t="s">
        <v>1135</v>
      </c>
      <c r="W30" s="766" t="e">
        <f t="shared" si="14"/>
        <v>#N/A</v>
      </c>
      <c r="X30" s="758"/>
      <c r="Y30" s="3653"/>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53"/>
      <c r="Q31" s="763" t="str">
        <f t="shared" si="11"/>
        <v>是否封闭</v>
      </c>
      <c r="R31" s="759" t="s">
        <v>1135</v>
      </c>
      <c r="S31" s="760">
        <f t="shared" si="12"/>
        <v>100</v>
      </c>
      <c r="T31" s="759" t="s">
        <v>1135</v>
      </c>
      <c r="U31" s="760">
        <f t="shared" si="13"/>
        <v>100</v>
      </c>
      <c r="V31" s="759" t="s">
        <v>1135</v>
      </c>
      <c r="W31" s="760">
        <f t="shared" si="14"/>
        <v>100</v>
      </c>
      <c r="X31" s="761"/>
      <c r="Y31" s="3653"/>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53" t="s">
        <v>1164</v>
      </c>
      <c r="Q32" s="764">
        <f t="shared" si="11"/>
        <v>111</v>
      </c>
      <c r="R32" s="765" t="s">
        <v>1135</v>
      </c>
      <c r="S32" s="766">
        <f t="shared" si="12"/>
        <v>100</v>
      </c>
      <c r="T32" s="765" t="s">
        <v>1135</v>
      </c>
      <c r="U32" s="766">
        <f t="shared" si="13"/>
        <v>100</v>
      </c>
      <c r="V32" s="765" t="s">
        <v>1135</v>
      </c>
      <c r="W32" s="766">
        <f t="shared" si="14"/>
        <v>100</v>
      </c>
      <c r="X32" s="758"/>
      <c r="Y32" s="3653"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53"/>
      <c r="Q33" s="764">
        <f t="shared" si="11"/>
        <v>111</v>
      </c>
      <c r="R33" s="765" t="s">
        <v>1135</v>
      </c>
      <c r="S33" s="766">
        <f t="shared" si="12"/>
        <v>100</v>
      </c>
      <c r="T33" s="765" t="s">
        <v>1135</v>
      </c>
      <c r="U33" s="766">
        <f t="shared" si="13"/>
        <v>100</v>
      </c>
      <c r="V33" s="765" t="s">
        <v>1135</v>
      </c>
      <c r="W33" s="766">
        <f t="shared" si="14"/>
        <v>100</v>
      </c>
      <c r="X33" s="758"/>
      <c r="Y33" s="3653"/>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4" t="str">
        <f>A35</f>
        <v>成交单价（元/平方米）</v>
      </c>
      <c r="Q35" s="3644"/>
      <c r="R35" s="3645">
        <f>E35</f>
        <v>0</v>
      </c>
      <c r="S35" s="3645"/>
      <c r="T35" s="3645">
        <f>G35</f>
        <v>0</v>
      </c>
      <c r="U35" s="3645"/>
      <c r="V35" s="3645">
        <f>I35</f>
        <v>0</v>
      </c>
      <c r="W35" s="3645"/>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本次评估采用的主估价方法为成本法和收益法。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30"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30"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4"/>
      <c r="Q12" s="763" t="str">
        <f t="shared" si="6"/>
        <v>配建</v>
      </c>
      <c r="R12" s="759" t="s">
        <v>1135</v>
      </c>
      <c r="S12" s="760">
        <f t="shared" si="0"/>
        <v>100</v>
      </c>
      <c r="T12" s="759" t="s">
        <v>1135</v>
      </c>
      <c r="U12" s="760">
        <f t="shared" si="1"/>
        <v>100</v>
      </c>
      <c r="V12" s="759" t="s">
        <v>1135</v>
      </c>
      <c r="W12" s="760">
        <f t="shared" si="2"/>
        <v>100</v>
      </c>
      <c r="X12" s="761"/>
      <c r="Y12" s="361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51"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52"/>
      <c r="Q17" s="764" t="str">
        <f>B17</f>
        <v>商业繁华度</v>
      </c>
      <c r="R17" s="765" t="s">
        <v>1135</v>
      </c>
      <c r="S17" s="766">
        <f>F17</f>
        <v>100</v>
      </c>
      <c r="T17" s="765" t="s">
        <v>1135</v>
      </c>
      <c r="U17" s="766">
        <f>H17</f>
        <v>100</v>
      </c>
      <c r="V17" s="765" t="s">
        <v>1135</v>
      </c>
      <c r="W17" s="766">
        <f>J17</f>
        <v>100</v>
      </c>
      <c r="X17" s="758"/>
      <c r="Y17" s="3652"/>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52"/>
      <c r="Q19" s="764" t="str">
        <f>B19</f>
        <v>办公集聚程度</v>
      </c>
      <c r="R19" s="765" t="s">
        <v>1135</v>
      </c>
      <c r="S19" s="766">
        <f>F19</f>
        <v>100</v>
      </c>
      <c r="T19" s="765" t="s">
        <v>1135</v>
      </c>
      <c r="U19" s="766">
        <f>H19</f>
        <v>100</v>
      </c>
      <c r="V19" s="765" t="s">
        <v>1135</v>
      </c>
      <c r="W19" s="766">
        <f>J19</f>
        <v>100</v>
      </c>
      <c r="X19" s="758"/>
      <c r="Y19" s="3652"/>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52"/>
      <c r="Q20" s="764"/>
      <c r="R20" s="765"/>
      <c r="S20" s="766"/>
      <c r="T20" s="765"/>
      <c r="U20" s="766"/>
      <c r="V20" s="765"/>
      <c r="W20" s="766"/>
      <c r="X20" s="758"/>
      <c r="Y20" s="3652"/>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52"/>
      <c r="Q21" s="764" t="str">
        <f>B21</f>
        <v>交通便捷度</v>
      </c>
      <c r="R21" s="765" t="s">
        <v>1135</v>
      </c>
      <c r="S21" s="766">
        <f>F21</f>
        <v>100</v>
      </c>
      <c r="T21" s="765" t="s">
        <v>1135</v>
      </c>
      <c r="U21" s="766">
        <f>H21</f>
        <v>100</v>
      </c>
      <c r="V21" s="765" t="s">
        <v>1135</v>
      </c>
      <c r="W21" s="766">
        <f>J21</f>
        <v>100</v>
      </c>
      <c r="X21" s="758"/>
      <c r="Y21" s="3652"/>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52"/>
      <c r="Q23" s="764" t="str">
        <f t="shared" ref="Q23:Q38" si="8">B23</f>
        <v>区域土地利用方向</v>
      </c>
      <c r="R23" s="765" t="s">
        <v>1135</v>
      </c>
      <c r="S23" s="766">
        <f>F23</f>
        <v>100</v>
      </c>
      <c r="T23" s="765" t="s">
        <v>1135</v>
      </c>
      <c r="U23" s="766">
        <f>H23</f>
        <v>100</v>
      </c>
      <c r="V23" s="765" t="s">
        <v>1135</v>
      </c>
      <c r="W23" s="766">
        <f>J23</f>
        <v>100</v>
      </c>
      <c r="X23" s="758"/>
      <c r="Y23" s="3652"/>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52"/>
      <c r="Q24" s="764"/>
      <c r="R24" s="765"/>
      <c r="S24" s="766"/>
      <c r="T24" s="765"/>
      <c r="U24" s="766"/>
      <c r="V24" s="765"/>
      <c r="W24" s="766"/>
      <c r="X24" s="758"/>
      <c r="Y24" s="3652"/>
      <c r="Z24" s="757"/>
      <c r="AA24" s="771"/>
      <c r="AB24" s="771"/>
      <c r="AC24" s="771"/>
    </row>
    <row r="25" spans="1:29" ht="27">
      <c r="A25" s="570"/>
      <c r="B25" s="1529" t="s">
        <v>1596</v>
      </c>
      <c r="C25" s="997" t="str">
        <f>估价对象房地状况!C20</f>
        <v>较好</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52"/>
      <c r="Q25" s="764" t="str">
        <f t="shared" si="8"/>
        <v>自然及人文环境状况</v>
      </c>
      <c r="R25" s="765" t="s">
        <v>1135</v>
      </c>
      <c r="S25" s="766">
        <f>F25</f>
        <v>100</v>
      </c>
      <c r="T25" s="765" t="s">
        <v>1135</v>
      </c>
      <c r="U25" s="766">
        <f>H25</f>
        <v>100</v>
      </c>
      <c r="V25" s="765" t="s">
        <v>1135</v>
      </c>
      <c r="W25" s="766">
        <f>J25</f>
        <v>100</v>
      </c>
      <c r="X25" s="758"/>
      <c r="Y25" s="3652"/>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52"/>
      <c r="Q26" s="764"/>
      <c r="R26" s="765"/>
      <c r="S26" s="766"/>
      <c r="T26" s="765"/>
      <c r="U26" s="766"/>
      <c r="V26" s="765"/>
      <c r="W26" s="766"/>
      <c r="X26" s="758"/>
      <c r="Y26" s="3652"/>
      <c r="Z26" s="757"/>
      <c r="AA26" s="771">
        <v>1</v>
      </c>
      <c r="AB26" s="771">
        <v>1</v>
      </c>
      <c r="AC26" s="771">
        <v>1</v>
      </c>
    </row>
    <row r="27" spans="1:29" s="539" customFormat="1" ht="15">
      <c r="A27" s="1415"/>
      <c r="B27" s="1529" t="s">
        <v>1154</v>
      </c>
      <c r="C27" s="1413" t="str">
        <f>估价对象房地状况!C21</f>
        <v>较好</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52"/>
      <c r="Q27" s="763" t="str">
        <f t="shared" si="8"/>
        <v>公共配套设施</v>
      </c>
      <c r="R27" s="759" t="s">
        <v>1135</v>
      </c>
      <c r="S27" s="760">
        <f>F27</f>
        <v>100</v>
      </c>
      <c r="T27" s="759" t="s">
        <v>1135</v>
      </c>
      <c r="U27" s="760">
        <f>H27</f>
        <v>100</v>
      </c>
      <c r="V27" s="759" t="s">
        <v>1135</v>
      </c>
      <c r="W27" s="760">
        <f>J27</f>
        <v>100</v>
      </c>
      <c r="X27" s="761"/>
      <c r="Y27" s="3652"/>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52"/>
      <c r="Q28" s="763"/>
      <c r="R28" s="759"/>
      <c r="S28" s="760"/>
      <c r="T28" s="759"/>
      <c r="U28" s="760"/>
      <c r="V28" s="759"/>
      <c r="W28" s="760"/>
      <c r="X28" s="761"/>
      <c r="Y28" s="3652"/>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52"/>
      <c r="Q29" s="763" t="str">
        <f t="shared" ref="Q29" si="9">B29</f>
        <v>基础设施水平</v>
      </c>
      <c r="R29" s="759" t="s">
        <v>1135</v>
      </c>
      <c r="S29" s="760">
        <f>F29</f>
        <v>100</v>
      </c>
      <c r="T29" s="759" t="s">
        <v>1135</v>
      </c>
      <c r="U29" s="760">
        <f>H29</f>
        <v>100</v>
      </c>
      <c r="V29" s="759" t="s">
        <v>1135</v>
      </c>
      <c r="W29" s="760">
        <f>J29</f>
        <v>100</v>
      </c>
      <c r="X29" s="761"/>
      <c r="Y29" s="3652"/>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52"/>
      <c r="Q30" s="763"/>
      <c r="R30" s="759"/>
      <c r="S30" s="760"/>
      <c r="T30" s="759"/>
      <c r="U30" s="760"/>
      <c r="V30" s="759"/>
      <c r="W30" s="760"/>
      <c r="X30" s="761"/>
      <c r="Y30" s="3652"/>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52"/>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52"/>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52"/>
      <c r="Q32" s="764" t="str">
        <f t="shared" si="8"/>
        <v>毗邻道路的类型与等级</v>
      </c>
      <c r="R32" s="765" t="s">
        <v>1135</v>
      </c>
      <c r="S32" s="766">
        <f t="shared" si="10"/>
        <v>100</v>
      </c>
      <c r="T32" s="765" t="s">
        <v>1135</v>
      </c>
      <c r="U32" s="766">
        <f t="shared" si="11"/>
        <v>100</v>
      </c>
      <c r="V32" s="765" t="s">
        <v>1135</v>
      </c>
      <c r="W32" s="766">
        <f t="shared" si="12"/>
        <v>100</v>
      </c>
      <c r="X32" s="758"/>
      <c r="Y32" s="3652"/>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52"/>
      <c r="Q33" s="764"/>
      <c r="R33" s="765"/>
      <c r="S33" s="766"/>
      <c r="T33" s="765"/>
      <c r="U33" s="766"/>
      <c r="V33" s="765"/>
      <c r="W33" s="766"/>
      <c r="X33" s="758"/>
      <c r="Y33" s="3652"/>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52"/>
      <c r="Q34" s="764" t="str">
        <f t="shared" si="8"/>
        <v>土地级别</v>
      </c>
      <c r="R34" s="765" t="s">
        <v>1135</v>
      </c>
      <c r="S34" s="766">
        <f t="shared" si="10"/>
        <v>100</v>
      </c>
      <c r="T34" s="765" t="s">
        <v>1135</v>
      </c>
      <c r="U34" s="766">
        <f t="shared" si="11"/>
        <v>100</v>
      </c>
      <c r="V34" s="765" t="s">
        <v>1135</v>
      </c>
      <c r="W34" s="766">
        <f t="shared" si="12"/>
        <v>100</v>
      </c>
      <c r="X34" s="758"/>
      <c r="Y34" s="3652"/>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52"/>
      <c r="Q35" s="764">
        <f t="shared" si="8"/>
        <v>111</v>
      </c>
      <c r="R35" s="765" t="s">
        <v>1135</v>
      </c>
      <c r="S35" s="766">
        <f t="shared" si="10"/>
        <v>100</v>
      </c>
      <c r="T35" s="765" t="s">
        <v>1135</v>
      </c>
      <c r="U35" s="766">
        <f t="shared" si="11"/>
        <v>100</v>
      </c>
      <c r="V35" s="765" t="s">
        <v>1135</v>
      </c>
      <c r="W35" s="766">
        <f t="shared" si="12"/>
        <v>100</v>
      </c>
      <c r="X35" s="758"/>
      <c r="Y35" s="3652"/>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53"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53"/>
      <c r="Q37" s="764">
        <f t="shared" si="8"/>
        <v>111</v>
      </c>
      <c r="R37" s="768" t="s">
        <v>1135</v>
      </c>
      <c r="S37" s="769">
        <f t="shared" si="10"/>
        <v>100</v>
      </c>
      <c r="T37" s="768" t="s">
        <v>1135</v>
      </c>
      <c r="U37" s="769">
        <f t="shared" si="11"/>
        <v>100</v>
      </c>
      <c r="V37" s="768" t="s">
        <v>1135</v>
      </c>
      <c r="W37" s="769">
        <f t="shared" si="12"/>
        <v>100</v>
      </c>
      <c r="X37" s="770"/>
      <c r="Y37" s="3653"/>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53"/>
      <c r="Q38" s="764" t="str">
        <f t="shared" si="8"/>
        <v>宗地面积</v>
      </c>
      <c r="R38" s="765" t="s">
        <v>1135</v>
      </c>
      <c r="S38" s="766" t="e">
        <f t="shared" si="10"/>
        <v>#N/A</v>
      </c>
      <c r="T38" s="765" t="s">
        <v>1135</v>
      </c>
      <c r="U38" s="766" t="e">
        <f t="shared" si="11"/>
        <v>#N/A</v>
      </c>
      <c r="V38" s="765" t="s">
        <v>1135</v>
      </c>
      <c r="W38" s="766" t="e">
        <f t="shared" si="12"/>
        <v>#N/A</v>
      </c>
      <c r="X38" s="758"/>
      <c r="Y38" s="3653"/>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53"/>
      <c r="Q39" s="764" t="str">
        <f t="shared" ref="Q39:Q45" si="14">B39</f>
        <v>宗地形状</v>
      </c>
      <c r="R39" s="765" t="s">
        <v>1135</v>
      </c>
      <c r="S39" s="766">
        <f t="shared" si="10"/>
        <v>100</v>
      </c>
      <c r="T39" s="765" t="s">
        <v>1135</v>
      </c>
      <c r="U39" s="766">
        <f t="shared" si="11"/>
        <v>100</v>
      </c>
      <c r="V39" s="765" t="s">
        <v>1135</v>
      </c>
      <c r="W39" s="766">
        <f t="shared" si="12"/>
        <v>100</v>
      </c>
      <c r="X39" s="758"/>
      <c r="Y39" s="3653"/>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53"/>
      <c r="Q40" s="764" t="str">
        <f t="shared" si="14"/>
        <v>临街宽度及深度</v>
      </c>
      <c r="R40" s="765" t="s">
        <v>1135</v>
      </c>
      <c r="S40" s="766">
        <f t="shared" si="10"/>
        <v>100</v>
      </c>
      <c r="T40" s="765" t="s">
        <v>1135</v>
      </c>
      <c r="U40" s="766">
        <f t="shared" si="11"/>
        <v>100</v>
      </c>
      <c r="V40" s="765" t="s">
        <v>1135</v>
      </c>
      <c r="W40" s="766">
        <f t="shared" si="12"/>
        <v>100</v>
      </c>
      <c r="X40" s="758"/>
      <c r="Y40" s="3653"/>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53"/>
      <c r="Q41" s="764" t="str">
        <f t="shared" si="14"/>
        <v>宗地开发程度</v>
      </c>
      <c r="R41" s="759" t="s">
        <v>1135</v>
      </c>
      <c r="S41" s="760">
        <f t="shared" si="10"/>
        <v>100</v>
      </c>
      <c r="T41" s="759" t="s">
        <v>1135</v>
      </c>
      <c r="U41" s="760">
        <f t="shared" si="11"/>
        <v>100</v>
      </c>
      <c r="V41" s="759" t="s">
        <v>1135</v>
      </c>
      <c r="W41" s="760">
        <f t="shared" si="12"/>
        <v>100</v>
      </c>
      <c r="X41" s="761"/>
      <c r="Y41" s="3653"/>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53" t="s">
        <v>1164</v>
      </c>
      <c r="Q42" s="764" t="str">
        <f t="shared" si="14"/>
        <v>工程地质条件</v>
      </c>
      <c r="R42" s="765" t="s">
        <v>1135</v>
      </c>
      <c r="S42" s="766">
        <f t="shared" si="10"/>
        <v>100</v>
      </c>
      <c r="T42" s="765" t="s">
        <v>1135</v>
      </c>
      <c r="U42" s="766">
        <f t="shared" si="11"/>
        <v>100</v>
      </c>
      <c r="V42" s="765" t="s">
        <v>1135</v>
      </c>
      <c r="W42" s="766">
        <f t="shared" si="12"/>
        <v>100</v>
      </c>
      <c r="X42" s="758"/>
      <c r="Y42" s="3653"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53"/>
      <c r="Q43" s="764">
        <f t="shared" si="14"/>
        <v>111</v>
      </c>
      <c r="R43" s="765" t="s">
        <v>1135</v>
      </c>
      <c r="S43" s="766">
        <f t="shared" si="10"/>
        <v>100</v>
      </c>
      <c r="T43" s="765" t="s">
        <v>1135</v>
      </c>
      <c r="U43" s="766">
        <f t="shared" si="11"/>
        <v>100</v>
      </c>
      <c r="V43" s="765" t="s">
        <v>1135</v>
      </c>
      <c r="W43" s="766">
        <f t="shared" si="12"/>
        <v>100</v>
      </c>
      <c r="X43" s="758"/>
      <c r="Y43" s="3653"/>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53"/>
      <c r="Q44" s="764">
        <f t="shared" si="14"/>
        <v>111</v>
      </c>
      <c r="R44" s="765" t="s">
        <v>1135</v>
      </c>
      <c r="S44" s="766">
        <f t="shared" si="10"/>
        <v>100</v>
      </c>
      <c r="T44" s="765" t="s">
        <v>1135</v>
      </c>
      <c r="U44" s="766">
        <f t="shared" si="11"/>
        <v>100</v>
      </c>
      <c r="V44" s="765" t="s">
        <v>1135</v>
      </c>
      <c r="W44" s="766">
        <f t="shared" si="12"/>
        <v>100</v>
      </c>
      <c r="X44" s="758"/>
      <c r="Y44" s="3653"/>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53"/>
      <c r="Q45" s="764">
        <f t="shared" si="14"/>
        <v>111</v>
      </c>
      <c r="R45" s="768" t="s">
        <v>1135</v>
      </c>
      <c r="S45" s="769">
        <f t="shared" si="10"/>
        <v>100</v>
      </c>
      <c r="T45" s="768" t="s">
        <v>1135</v>
      </c>
      <c r="U45" s="769">
        <f t="shared" si="11"/>
        <v>100</v>
      </c>
      <c r="V45" s="768" t="s">
        <v>1135</v>
      </c>
      <c r="W45" s="769">
        <f t="shared" si="12"/>
        <v>100</v>
      </c>
      <c r="X45" s="770"/>
      <c r="Y45" s="3653"/>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4" t="str">
        <f>A46</f>
        <v>成交单价</v>
      </c>
      <c r="Q46" s="3644"/>
      <c r="R46" s="3677">
        <f>E46</f>
        <v>0</v>
      </c>
      <c r="S46" s="3677"/>
      <c r="T46" s="3677">
        <f>G46</f>
        <v>0</v>
      </c>
      <c r="U46" s="3677"/>
      <c r="V46" s="3677">
        <f>I46</f>
        <v>0</v>
      </c>
      <c r="W46" s="3677"/>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4" t="str">
        <f>A47</f>
        <v>比较价值（元/平方米）</v>
      </c>
      <c r="Q47" s="3644"/>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0" t="str">
        <f>A48</f>
        <v>估价对象XX用房的比较价值（楼面单价，元/平方米）</v>
      </c>
      <c r="Q48" s="3701"/>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26"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1105.3800000000001</v>
      </c>
      <c r="F56" s="1533" t="e">
        <f t="shared" ref="F56:F64" si="15">ROUND(B56*E56/10000,0)</f>
        <v>#DIV/0!</v>
      </c>
      <c r="G56" s="3643"/>
      <c r="H56" s="3644"/>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1105.3800000000001</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715" t="s">
        <v>1635</v>
      </c>
      <c r="D6" s="3716"/>
      <c r="E6" s="3717" t="s">
        <v>1635</v>
      </c>
      <c r="F6" s="3718"/>
      <c r="G6" s="3715" t="s">
        <v>1635</v>
      </c>
      <c r="H6" s="3716"/>
      <c r="I6" s="3715" t="s">
        <v>1635</v>
      </c>
      <c r="J6" s="371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52"/>
      <c r="Q19" s="764" t="str">
        <f t="shared" ref="Q19:Q34" si="8">B19</f>
        <v>区域土地利用方向</v>
      </c>
      <c r="R19" s="765" t="s">
        <v>1135</v>
      </c>
      <c r="S19" s="766">
        <f>F19</f>
        <v>100</v>
      </c>
      <c r="T19" s="765" t="s">
        <v>1135</v>
      </c>
      <c r="U19" s="766">
        <f>H19</f>
        <v>100</v>
      </c>
      <c r="V19" s="765" t="s">
        <v>1135</v>
      </c>
      <c r="W19" s="766">
        <f>J19</f>
        <v>100</v>
      </c>
      <c r="X19" s="758"/>
      <c r="Y19" s="3652"/>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52"/>
      <c r="Q20" s="764"/>
      <c r="R20" s="765"/>
      <c r="S20" s="766"/>
      <c r="T20" s="765"/>
      <c r="U20" s="766"/>
      <c r="V20" s="765"/>
      <c r="W20" s="766"/>
      <c r="X20" s="758"/>
      <c r="Y20" s="3652"/>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52"/>
      <c r="Q21" s="764" t="str">
        <f t="shared" si="8"/>
        <v>环境状况</v>
      </c>
      <c r="R21" s="765" t="s">
        <v>1135</v>
      </c>
      <c r="S21" s="766">
        <f>F21</f>
        <v>100</v>
      </c>
      <c r="T21" s="765" t="s">
        <v>1135</v>
      </c>
      <c r="U21" s="766">
        <f>H21</f>
        <v>100</v>
      </c>
      <c r="V21" s="765" t="s">
        <v>1135</v>
      </c>
      <c r="W21" s="766">
        <f>J21</f>
        <v>100</v>
      </c>
      <c r="X21" s="758"/>
      <c r="Y21" s="3652"/>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52"/>
      <c r="Q23" s="763" t="str">
        <f t="shared" si="8"/>
        <v>公共配套设施</v>
      </c>
      <c r="R23" s="759" t="s">
        <v>1135</v>
      </c>
      <c r="S23" s="760">
        <f>F23</f>
        <v>100</v>
      </c>
      <c r="T23" s="759" t="s">
        <v>1135</v>
      </c>
      <c r="U23" s="760">
        <f>H23</f>
        <v>100</v>
      </c>
      <c r="V23" s="759" t="s">
        <v>1135</v>
      </c>
      <c r="W23" s="760">
        <f>J23</f>
        <v>100</v>
      </c>
      <c r="X23" s="761"/>
      <c r="Y23" s="3652"/>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52"/>
      <c r="Q24" s="763"/>
      <c r="R24" s="759"/>
      <c r="S24" s="760"/>
      <c r="T24" s="759"/>
      <c r="U24" s="760"/>
      <c r="V24" s="759"/>
      <c r="W24" s="760"/>
      <c r="X24" s="761"/>
      <c r="Y24" s="3652"/>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52"/>
      <c r="Q25" s="763" t="str">
        <f t="shared" ref="Q25" si="9">B25</f>
        <v>基础设施水平</v>
      </c>
      <c r="R25" s="759" t="s">
        <v>1135</v>
      </c>
      <c r="S25" s="760">
        <f>F25</f>
        <v>100</v>
      </c>
      <c r="T25" s="759" t="s">
        <v>1135</v>
      </c>
      <c r="U25" s="760">
        <f>H25</f>
        <v>100</v>
      </c>
      <c r="V25" s="759" t="s">
        <v>1135</v>
      </c>
      <c r="W25" s="760">
        <f>J25</f>
        <v>100</v>
      </c>
      <c r="X25" s="761"/>
      <c r="Y25" s="3652"/>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52"/>
      <c r="Q26" s="763"/>
      <c r="R26" s="759"/>
      <c r="S26" s="760"/>
      <c r="T26" s="759"/>
      <c r="U26" s="760"/>
      <c r="V26" s="759"/>
      <c r="W26" s="760"/>
      <c r="X26" s="761"/>
      <c r="Y26" s="3652"/>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52"/>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52"/>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52"/>
      <c r="Q28" s="764" t="str">
        <f t="shared" si="8"/>
        <v>毗邻道路的类型与等级</v>
      </c>
      <c r="R28" s="765" t="s">
        <v>1135</v>
      </c>
      <c r="S28" s="766">
        <f t="shared" si="10"/>
        <v>100</v>
      </c>
      <c r="T28" s="765" t="s">
        <v>1135</v>
      </c>
      <c r="U28" s="766">
        <f t="shared" si="11"/>
        <v>100</v>
      </c>
      <c r="V28" s="765" t="s">
        <v>1135</v>
      </c>
      <c r="W28" s="766">
        <f t="shared" si="12"/>
        <v>100</v>
      </c>
      <c r="X28" s="758"/>
      <c r="Y28" s="3652"/>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52"/>
      <c r="Q29" s="764"/>
      <c r="R29" s="765"/>
      <c r="S29" s="766"/>
      <c r="T29" s="765"/>
      <c r="U29" s="766"/>
      <c r="V29" s="765"/>
      <c r="W29" s="766"/>
      <c r="X29" s="758"/>
      <c r="Y29" s="3652"/>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52"/>
      <c r="Q30" s="764" t="str">
        <f t="shared" si="8"/>
        <v>土地级别</v>
      </c>
      <c r="R30" s="765" t="s">
        <v>1135</v>
      </c>
      <c r="S30" s="766">
        <f t="shared" si="10"/>
        <v>100</v>
      </c>
      <c r="T30" s="765" t="s">
        <v>1135</v>
      </c>
      <c r="U30" s="766">
        <f t="shared" si="11"/>
        <v>100</v>
      </c>
      <c r="V30" s="765" t="s">
        <v>1135</v>
      </c>
      <c r="W30" s="766">
        <f t="shared" si="12"/>
        <v>100</v>
      </c>
      <c r="X30" s="758"/>
      <c r="Y30" s="3652"/>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52"/>
      <c r="Q31" s="764">
        <f t="shared" si="8"/>
        <v>111</v>
      </c>
      <c r="R31" s="765" t="s">
        <v>1135</v>
      </c>
      <c r="S31" s="766">
        <f t="shared" si="10"/>
        <v>100</v>
      </c>
      <c r="T31" s="765" t="s">
        <v>1135</v>
      </c>
      <c r="U31" s="766">
        <f t="shared" si="11"/>
        <v>100</v>
      </c>
      <c r="V31" s="765" t="s">
        <v>1135</v>
      </c>
      <c r="W31" s="766">
        <f t="shared" si="12"/>
        <v>100</v>
      </c>
      <c r="X31" s="758"/>
      <c r="Y31" s="3652"/>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53"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53"/>
      <c r="Q33" s="764">
        <f t="shared" si="8"/>
        <v>111</v>
      </c>
      <c r="R33" s="768" t="s">
        <v>1135</v>
      </c>
      <c r="S33" s="769">
        <f t="shared" si="10"/>
        <v>100</v>
      </c>
      <c r="T33" s="768" t="s">
        <v>1135</v>
      </c>
      <c r="U33" s="769">
        <f t="shared" si="11"/>
        <v>100</v>
      </c>
      <c r="V33" s="768" t="s">
        <v>1135</v>
      </c>
      <c r="W33" s="769">
        <f t="shared" si="12"/>
        <v>100</v>
      </c>
      <c r="X33" s="770"/>
      <c r="Y33" s="3653"/>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53"/>
      <c r="Q34" s="764" t="str">
        <f t="shared" si="8"/>
        <v>宗地面积</v>
      </c>
      <c r="R34" s="765" t="s">
        <v>1135</v>
      </c>
      <c r="S34" s="766" t="e">
        <f t="shared" si="10"/>
        <v>#N/A</v>
      </c>
      <c r="T34" s="765" t="s">
        <v>1135</v>
      </c>
      <c r="U34" s="766" t="e">
        <f t="shared" si="11"/>
        <v>#N/A</v>
      </c>
      <c r="V34" s="765" t="s">
        <v>1135</v>
      </c>
      <c r="W34" s="766" t="e">
        <f t="shared" si="12"/>
        <v>#N/A</v>
      </c>
      <c r="X34" s="758"/>
      <c r="Y34" s="3653"/>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53"/>
      <c r="Q35" s="764" t="str">
        <f t="shared" ref="Q35:Q40" si="14">B35</f>
        <v>宗地形状</v>
      </c>
      <c r="R35" s="765" t="s">
        <v>1135</v>
      </c>
      <c r="S35" s="766">
        <f t="shared" si="10"/>
        <v>100</v>
      </c>
      <c r="T35" s="765" t="s">
        <v>1135</v>
      </c>
      <c r="U35" s="766">
        <f t="shared" si="11"/>
        <v>100</v>
      </c>
      <c r="V35" s="765" t="s">
        <v>1135</v>
      </c>
      <c r="W35" s="766">
        <f t="shared" si="12"/>
        <v>100</v>
      </c>
      <c r="X35" s="758"/>
      <c r="Y35" s="3653"/>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53"/>
      <c r="Q36" s="764" t="str">
        <f t="shared" si="14"/>
        <v>宗地开发程度</v>
      </c>
      <c r="R36" s="759" t="s">
        <v>1135</v>
      </c>
      <c r="S36" s="760">
        <f t="shared" si="10"/>
        <v>100</v>
      </c>
      <c r="T36" s="759" t="s">
        <v>1135</v>
      </c>
      <c r="U36" s="760">
        <f t="shared" si="11"/>
        <v>100</v>
      </c>
      <c r="V36" s="759" t="s">
        <v>1135</v>
      </c>
      <c r="W36" s="760">
        <f t="shared" si="12"/>
        <v>100</v>
      </c>
      <c r="X36" s="761"/>
      <c r="Y36" s="3653"/>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53" t="s">
        <v>1164</v>
      </c>
      <c r="Q37" s="764" t="str">
        <f t="shared" si="14"/>
        <v>工程地质条件</v>
      </c>
      <c r="R37" s="765" t="s">
        <v>1135</v>
      </c>
      <c r="S37" s="766">
        <f t="shared" si="10"/>
        <v>100</v>
      </c>
      <c r="T37" s="765" t="s">
        <v>1135</v>
      </c>
      <c r="U37" s="766">
        <f t="shared" si="11"/>
        <v>100</v>
      </c>
      <c r="V37" s="765" t="s">
        <v>1135</v>
      </c>
      <c r="W37" s="766">
        <f t="shared" si="12"/>
        <v>100</v>
      </c>
      <c r="X37" s="758"/>
      <c r="Y37" s="3653"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53"/>
      <c r="Q38" s="764">
        <f t="shared" si="14"/>
        <v>111</v>
      </c>
      <c r="R38" s="765" t="s">
        <v>1135</v>
      </c>
      <c r="S38" s="766">
        <f t="shared" si="10"/>
        <v>100</v>
      </c>
      <c r="T38" s="765" t="s">
        <v>1135</v>
      </c>
      <c r="U38" s="766">
        <f t="shared" si="11"/>
        <v>100</v>
      </c>
      <c r="V38" s="765" t="s">
        <v>1135</v>
      </c>
      <c r="W38" s="766">
        <f t="shared" si="12"/>
        <v>100</v>
      </c>
      <c r="X38" s="758"/>
      <c r="Y38" s="3653"/>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53"/>
      <c r="Q39" s="764">
        <f t="shared" si="14"/>
        <v>111</v>
      </c>
      <c r="R39" s="765" t="s">
        <v>1135</v>
      </c>
      <c r="S39" s="766">
        <f t="shared" si="10"/>
        <v>100</v>
      </c>
      <c r="T39" s="765" t="s">
        <v>1135</v>
      </c>
      <c r="U39" s="766">
        <f t="shared" si="11"/>
        <v>100</v>
      </c>
      <c r="V39" s="765" t="s">
        <v>1135</v>
      </c>
      <c r="W39" s="766">
        <f t="shared" si="12"/>
        <v>100</v>
      </c>
      <c r="X39" s="758"/>
      <c r="Y39" s="3653"/>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53"/>
      <c r="Q40" s="764">
        <f t="shared" si="14"/>
        <v>111</v>
      </c>
      <c r="R40" s="768" t="s">
        <v>1135</v>
      </c>
      <c r="S40" s="769">
        <f t="shared" si="10"/>
        <v>100</v>
      </c>
      <c r="T40" s="768" t="s">
        <v>1135</v>
      </c>
      <c r="U40" s="769">
        <f t="shared" si="11"/>
        <v>100</v>
      </c>
      <c r="V40" s="768" t="s">
        <v>1135</v>
      </c>
      <c r="W40" s="769">
        <f t="shared" si="12"/>
        <v>100</v>
      </c>
      <c r="X40" s="770"/>
      <c r="Y40" s="3653"/>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4" t="str">
        <f>A41</f>
        <v>成交单价</v>
      </c>
      <c r="Q41" s="3644"/>
      <c r="R41" s="3677">
        <f>E41</f>
        <v>0</v>
      </c>
      <c r="S41" s="3677"/>
      <c r="T41" s="3677">
        <f>G41</f>
        <v>0</v>
      </c>
      <c r="U41" s="3677"/>
      <c r="V41" s="3677">
        <f>I41</f>
        <v>0</v>
      </c>
      <c r="W41" s="3677"/>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4" t="str">
        <f>A42</f>
        <v>比较价值（元/平方米）</v>
      </c>
      <c r="Q42" s="3644"/>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0" t="str">
        <f>A43</f>
        <v>估价对象XX用房的比较价值（楼面单价，元/平方米）</v>
      </c>
      <c r="Q43" s="3701"/>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26"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1105.3800000000001</v>
      </c>
      <c r="F51" s="1454" t="e">
        <f t="shared" ref="F51:F60" si="15">ROUND(B51*E51/10000,0)</f>
        <v>#DIV/0!</v>
      </c>
      <c r="G51" s="3643"/>
      <c r="H51" s="3644"/>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1129</v>
      </c>
      <c r="C2" s="1265" t="s">
        <v>1660</v>
      </c>
      <c r="D2" s="1265" t="s">
        <v>1661</v>
      </c>
      <c r="E2" s="1267">
        <f ca="1">SUMIF(E6:E13,"&lt;&gt;#ref!",E6:E13)</f>
        <v>1105.3800000000001</v>
      </c>
      <c r="F2" s="1264"/>
      <c r="G2" s="1264"/>
      <c r="H2" s="1264"/>
      <c r="I2" s="1264"/>
      <c r="J2" s="1264"/>
      <c r="K2" s="1264"/>
      <c r="L2" s="1264"/>
      <c r="M2" s="1264"/>
      <c r="N2" s="1264"/>
      <c r="O2" s="1264"/>
      <c r="P2" s="1264"/>
    </row>
    <row r="3" spans="1:16" ht="15.75">
      <c r="A3" s="1265" t="s">
        <v>1662</v>
      </c>
      <c r="B3" s="1266">
        <f ca="1">ROUND(B2*10000/E2,0)</f>
        <v>10214</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1129</v>
      </c>
      <c r="C6" s="1265" t="s">
        <v>1660</v>
      </c>
      <c r="D6" s="1264"/>
      <c r="E6" s="1267">
        <f ca="1">SUMIF(INDIRECT("'"&amp;A6&amp;"'"&amp;"!C:C"),"建筑面积",INDIRECT("'"&amp;A6&amp;"'"&amp;"!D:D"))</f>
        <v>1105.3800000000001</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39" t="s">
        <v>1134</v>
      </c>
      <c r="Q7" s="3640"/>
      <c r="R7" s="759" t="s">
        <v>1135</v>
      </c>
      <c r="S7" s="760">
        <f t="shared" ref="S7:W7" si="0">F7</f>
        <v>100</v>
      </c>
      <c r="T7" s="759" t="s">
        <v>1135</v>
      </c>
      <c r="U7" s="760">
        <f t="shared" si="0"/>
        <v>100</v>
      </c>
      <c r="V7" s="759" t="s">
        <v>1135</v>
      </c>
      <c r="W7" s="760">
        <f t="shared" si="0"/>
        <v>100</v>
      </c>
      <c r="X7" s="761"/>
      <c r="Y7" s="3641" t="s">
        <v>1134</v>
      </c>
      <c r="Z7" s="3642"/>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ref="S8:W8" si="4">F8</f>
        <v>101</v>
      </c>
      <c r="T8" s="759" t="s">
        <v>1135</v>
      </c>
      <c r="U8" s="760">
        <f t="shared" si="4"/>
        <v>101</v>
      </c>
      <c r="V8" s="759" t="s">
        <v>1135</v>
      </c>
      <c r="W8" s="760">
        <f t="shared" si="4"/>
        <v>101</v>
      </c>
      <c r="X8" s="761"/>
      <c r="Y8" s="3641" t="s">
        <v>1139</v>
      </c>
      <c r="Z8" s="3642"/>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5">B9</f>
        <v>用途</v>
      </c>
      <c r="R9" s="759" t="s">
        <v>1135</v>
      </c>
      <c r="S9" s="760">
        <f t="shared" ref="S9:W9" si="6">F9</f>
        <v>100</v>
      </c>
      <c r="T9" s="759" t="s">
        <v>1135</v>
      </c>
      <c r="U9" s="760">
        <f t="shared" si="6"/>
        <v>100</v>
      </c>
      <c r="V9" s="759" t="s">
        <v>1135</v>
      </c>
      <c r="W9" s="760">
        <f t="shared" si="6"/>
        <v>100</v>
      </c>
      <c r="X9" s="761"/>
      <c r="Y9" s="361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5"/>
        <v>土地使用年限（年）</v>
      </c>
      <c r="R10" s="759" t="s">
        <v>1135</v>
      </c>
      <c r="S10" s="760">
        <f t="shared" ref="S10:W10" si="8">F10</f>
        <v>100</v>
      </c>
      <c r="T10" s="759" t="s">
        <v>1135</v>
      </c>
      <c r="U10" s="760">
        <f t="shared" si="8"/>
        <v>100</v>
      </c>
      <c r="V10" s="759" t="s">
        <v>1135</v>
      </c>
      <c r="W10" s="760">
        <f t="shared" si="8"/>
        <v>98</v>
      </c>
      <c r="X10" s="761"/>
      <c r="Y10" s="361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5"/>
        <v>容积率</v>
      </c>
      <c r="R11" s="759" t="s">
        <v>1135</v>
      </c>
      <c r="S11" s="760">
        <f t="shared" ref="S11:W11" si="9">F11</f>
        <v>100</v>
      </c>
      <c r="T11" s="759" t="s">
        <v>1135</v>
      </c>
      <c r="U11" s="760">
        <f t="shared" si="9"/>
        <v>100</v>
      </c>
      <c r="V11" s="759" t="s">
        <v>1135</v>
      </c>
      <c r="W11" s="760">
        <f t="shared" si="9"/>
        <v>100</v>
      </c>
      <c r="X11" s="761"/>
      <c r="Y11" s="361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5"/>
        <v>111</v>
      </c>
      <c r="R12" s="759" t="s">
        <v>1135</v>
      </c>
      <c r="S12" s="760">
        <f t="shared" ref="S12:W12" si="10">F12</f>
        <v>100</v>
      </c>
      <c r="T12" s="759" t="s">
        <v>1135</v>
      </c>
      <c r="U12" s="760">
        <f t="shared" si="10"/>
        <v>100</v>
      </c>
      <c r="V12" s="759" t="s">
        <v>1135</v>
      </c>
      <c r="W12" s="760">
        <f t="shared" si="10"/>
        <v>100</v>
      </c>
      <c r="X12" s="761"/>
      <c r="Y12" s="361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5"/>
        <v>111</v>
      </c>
      <c r="R13" s="759" t="s">
        <v>1135</v>
      </c>
      <c r="S13" s="760">
        <f t="shared" ref="S13:W13" si="11">F13</f>
        <v>100</v>
      </c>
      <c r="T13" s="759" t="s">
        <v>1135</v>
      </c>
      <c r="U13" s="760">
        <f t="shared" si="11"/>
        <v>100</v>
      </c>
      <c r="V13" s="759" t="s">
        <v>1135</v>
      </c>
      <c r="W13" s="760">
        <f t="shared" si="11"/>
        <v>100</v>
      </c>
      <c r="X13" s="761"/>
      <c r="Y13" s="361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5"/>
        <v>111</v>
      </c>
      <c r="R14" s="759" t="s">
        <v>1135</v>
      </c>
      <c r="S14" s="760">
        <f t="shared" ref="S14:W14" si="12">F14</f>
        <v>100</v>
      </c>
      <c r="T14" s="759" t="s">
        <v>1135</v>
      </c>
      <c r="U14" s="760">
        <f t="shared" si="12"/>
        <v>100</v>
      </c>
      <c r="V14" s="759" t="s">
        <v>1135</v>
      </c>
      <c r="W14" s="760">
        <f t="shared" si="12"/>
        <v>100</v>
      </c>
      <c r="X14" s="761"/>
      <c r="Y14" s="361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46"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51"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47"/>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52"/>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较好</v>
      </c>
      <c r="D19" s="619">
        <v>100</v>
      </c>
      <c r="E19" s="622"/>
      <c r="F19" s="619">
        <f t="shared" si="13"/>
        <v>100</v>
      </c>
      <c r="G19" s="623"/>
      <c r="H19" s="614">
        <f t="shared" si="14"/>
        <v>100</v>
      </c>
      <c r="I19" s="623"/>
      <c r="J19" s="614">
        <f t="shared" si="15"/>
        <v>100</v>
      </c>
      <c r="K19" s="720">
        <v>2</v>
      </c>
      <c r="L19" s="719"/>
      <c r="M19" s="710"/>
      <c r="N19" s="710"/>
      <c r="O19" s="710"/>
      <c r="P19" s="3647"/>
      <c r="Q19" s="764" t="str">
        <f t="shared" si="17"/>
        <v>公共配套设施</v>
      </c>
      <c r="R19" s="765" t="s">
        <v>1135</v>
      </c>
      <c r="S19" s="766">
        <f t="shared" ref="S19:W19" si="23">F19</f>
        <v>100</v>
      </c>
      <c r="T19" s="765" t="s">
        <v>1135</v>
      </c>
      <c r="U19" s="766">
        <f t="shared" si="23"/>
        <v>100</v>
      </c>
      <c r="V19" s="765" t="s">
        <v>1135</v>
      </c>
      <c r="W19" s="766">
        <f t="shared" si="23"/>
        <v>100</v>
      </c>
      <c r="X19" s="758"/>
      <c r="Y19" s="3652"/>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47"/>
      <c r="Q21" s="764" t="str">
        <f t="shared" si="17"/>
        <v>基础设施水平</v>
      </c>
      <c r="R21" s="765" t="s">
        <v>1135</v>
      </c>
      <c r="S21" s="766">
        <f t="shared" ref="S21:W21" si="27">F21</f>
        <v>100</v>
      </c>
      <c r="T21" s="765" t="s">
        <v>1135</v>
      </c>
      <c r="U21" s="766">
        <f t="shared" si="27"/>
        <v>100</v>
      </c>
      <c r="V21" s="765" t="s">
        <v>1135</v>
      </c>
      <c r="W21" s="766">
        <f t="shared" si="27"/>
        <v>100</v>
      </c>
      <c r="X21" s="758"/>
      <c r="Y21" s="3652"/>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较好</v>
      </c>
      <c r="D23" s="614">
        <v>100</v>
      </c>
      <c r="E23" s="617"/>
      <c r="F23" s="614">
        <f t="shared" si="24"/>
        <v>100</v>
      </c>
      <c r="G23" s="618"/>
      <c r="H23" s="614">
        <f t="shared" si="25"/>
        <v>100</v>
      </c>
      <c r="I23" s="618"/>
      <c r="J23" s="614">
        <f t="shared" si="26"/>
        <v>100</v>
      </c>
      <c r="K23" s="720">
        <v>2</v>
      </c>
      <c r="L23" s="719"/>
      <c r="M23" s="710"/>
      <c r="N23" s="710"/>
      <c r="O23" s="710"/>
      <c r="P23" s="3647"/>
      <c r="Q23" s="764" t="str">
        <f t="shared" ref="Q23:Q47" si="28">B23</f>
        <v>环境质量</v>
      </c>
      <c r="R23" s="765" t="s">
        <v>1135</v>
      </c>
      <c r="S23" s="766">
        <f t="shared" ref="S23:W23" si="29">F23</f>
        <v>100</v>
      </c>
      <c r="T23" s="765" t="s">
        <v>1135</v>
      </c>
      <c r="U23" s="766">
        <f t="shared" si="29"/>
        <v>100</v>
      </c>
      <c r="V23" s="765" t="s">
        <v>1135</v>
      </c>
      <c r="W23" s="766">
        <f t="shared" si="29"/>
        <v>100</v>
      </c>
      <c r="X23" s="758"/>
      <c r="Y23" s="3652"/>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47"/>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52"/>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47"/>
      <c r="Q27" s="764" t="str">
        <f t="shared" si="28"/>
        <v>楼层</v>
      </c>
      <c r="R27" s="765" t="s">
        <v>1135</v>
      </c>
      <c r="S27" s="766">
        <f t="shared" ref="S27:W27" si="35">F27</f>
        <v>100</v>
      </c>
      <c r="T27" s="765" t="s">
        <v>1135</v>
      </c>
      <c r="U27" s="766">
        <f t="shared" si="35"/>
        <v>98</v>
      </c>
      <c r="V27" s="765" t="s">
        <v>1135</v>
      </c>
      <c r="W27" s="766">
        <f t="shared" si="35"/>
        <v>100</v>
      </c>
      <c r="X27" s="758"/>
      <c r="Y27" s="3652"/>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28"/>
        <v>朝向</v>
      </c>
      <c r="R28" s="759" t="s">
        <v>1135</v>
      </c>
      <c r="S28" s="760">
        <f t="shared" ref="S28:W28" si="36">F28</f>
        <v>100</v>
      </c>
      <c r="T28" s="759" t="s">
        <v>1135</v>
      </c>
      <c r="U28" s="760">
        <f t="shared" si="36"/>
        <v>100</v>
      </c>
      <c r="V28" s="759" t="s">
        <v>1135</v>
      </c>
      <c r="W28" s="760">
        <f t="shared" si="36"/>
        <v>100</v>
      </c>
      <c r="X28" s="761"/>
      <c r="Y28" s="3652"/>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28"/>
        <v>111</v>
      </c>
      <c r="R29" s="765" t="s">
        <v>1135</v>
      </c>
      <c r="S29" s="766">
        <f t="shared" ref="S29:W29" si="37">F29</f>
        <v>100</v>
      </c>
      <c r="T29" s="765" t="s">
        <v>1135</v>
      </c>
      <c r="U29" s="766">
        <f t="shared" si="37"/>
        <v>100</v>
      </c>
      <c r="V29" s="765" t="s">
        <v>1135</v>
      </c>
      <c r="W29" s="766">
        <f t="shared" si="37"/>
        <v>100</v>
      </c>
      <c r="X29" s="758"/>
      <c r="Y29" s="3652"/>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28"/>
        <v>111</v>
      </c>
      <c r="R30" s="765" t="s">
        <v>1135</v>
      </c>
      <c r="S30" s="766">
        <f t="shared" ref="S30:W30" si="38">F30</f>
        <v>100</v>
      </c>
      <c r="T30" s="765" t="s">
        <v>1135</v>
      </c>
      <c r="U30" s="766">
        <f t="shared" si="38"/>
        <v>100</v>
      </c>
      <c r="V30" s="765" t="s">
        <v>1135</v>
      </c>
      <c r="W30" s="766">
        <f t="shared" si="38"/>
        <v>100</v>
      </c>
      <c r="X30" s="758"/>
      <c r="Y30" s="3652"/>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28"/>
        <v>111</v>
      </c>
      <c r="R31" s="765" t="s">
        <v>1135</v>
      </c>
      <c r="S31" s="766">
        <f t="shared" ref="S31:W31" si="39">F31</f>
        <v>100</v>
      </c>
      <c r="T31" s="765" t="s">
        <v>1135</v>
      </c>
      <c r="U31" s="766">
        <f t="shared" si="39"/>
        <v>100</v>
      </c>
      <c r="V31" s="765" t="s">
        <v>1135</v>
      </c>
      <c r="W31" s="766">
        <f t="shared" si="39"/>
        <v>100</v>
      </c>
      <c r="X31" s="758"/>
      <c r="Y31" s="3652"/>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28"/>
        <v>111</v>
      </c>
      <c r="R32" s="765" t="s">
        <v>1135</v>
      </c>
      <c r="S32" s="766">
        <f t="shared" ref="S32:W32" si="40">F32</f>
        <v>100</v>
      </c>
      <c r="T32" s="765" t="s">
        <v>1135</v>
      </c>
      <c r="U32" s="766">
        <f t="shared" si="40"/>
        <v>100</v>
      </c>
      <c r="V32" s="765" t="s">
        <v>1135</v>
      </c>
      <c r="W32" s="766">
        <f t="shared" si="40"/>
        <v>100</v>
      </c>
      <c r="X32" s="758"/>
      <c r="Y32" s="3652"/>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48" t="s">
        <v>1164</v>
      </c>
      <c r="Q33" s="764" t="str">
        <f t="shared" si="28"/>
        <v>建筑类型</v>
      </c>
      <c r="R33" s="765" t="s">
        <v>1135</v>
      </c>
      <c r="S33" s="766">
        <f t="shared" ref="S33:W33" si="41">F33</f>
        <v>100</v>
      </c>
      <c r="T33" s="765" t="s">
        <v>1135</v>
      </c>
      <c r="U33" s="766">
        <f t="shared" si="41"/>
        <v>100</v>
      </c>
      <c r="V33" s="765" t="s">
        <v>1135</v>
      </c>
      <c r="W33" s="766">
        <f t="shared" si="41"/>
        <v>100</v>
      </c>
      <c r="X33" s="758"/>
      <c r="Y33" s="3653"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1105.3800000000001</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49"/>
      <c r="Q34" s="767" t="str">
        <f t="shared" si="28"/>
        <v>项目建筑规模</v>
      </c>
      <c r="R34" s="768" t="s">
        <v>1135</v>
      </c>
      <c r="S34" s="769">
        <f t="shared" ref="S34:W34" si="42">F34</f>
        <v>97</v>
      </c>
      <c r="T34" s="768" t="s">
        <v>1135</v>
      </c>
      <c r="U34" s="769">
        <f t="shared" si="42"/>
        <v>101</v>
      </c>
      <c r="V34" s="768" t="s">
        <v>1135</v>
      </c>
      <c r="W34" s="769">
        <f t="shared" si="42"/>
        <v>102</v>
      </c>
      <c r="X34" s="770"/>
      <c r="Y34" s="3653"/>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28"/>
        <v>建筑结构</v>
      </c>
      <c r="R35" s="765" t="s">
        <v>1135</v>
      </c>
      <c r="S35" s="766">
        <f t="shared" ref="S35:W35" si="43">F35</f>
        <v>100</v>
      </c>
      <c r="T35" s="765" t="s">
        <v>1135</v>
      </c>
      <c r="U35" s="766">
        <f t="shared" si="43"/>
        <v>100</v>
      </c>
      <c r="V35" s="765" t="s">
        <v>1135</v>
      </c>
      <c r="W35" s="766">
        <f t="shared" si="43"/>
        <v>100</v>
      </c>
      <c r="X35" s="758"/>
      <c r="Y35" s="3653"/>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28"/>
        <v>公共部分装修</v>
      </c>
      <c r="R36" s="765" t="s">
        <v>1135</v>
      </c>
      <c r="S36" s="766">
        <f t="shared" ref="S36:W36" si="44">F36</f>
        <v>100</v>
      </c>
      <c r="T36" s="765" t="s">
        <v>1135</v>
      </c>
      <c r="U36" s="766">
        <f t="shared" si="44"/>
        <v>100</v>
      </c>
      <c r="V36" s="765" t="s">
        <v>1135</v>
      </c>
      <c r="W36" s="766">
        <f t="shared" si="44"/>
        <v>100</v>
      </c>
      <c r="X36" s="758"/>
      <c r="Y36" s="3653"/>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28"/>
        <v>成新度</v>
      </c>
      <c r="R37" s="765" t="s">
        <v>1135</v>
      </c>
      <c r="S37" s="766">
        <f t="shared" ref="S37:W37" si="45">F37</f>
        <v>100</v>
      </c>
      <c r="T37" s="765" t="s">
        <v>1135</v>
      </c>
      <c r="U37" s="766">
        <f t="shared" si="45"/>
        <v>100</v>
      </c>
      <c r="V37" s="765" t="s">
        <v>1135</v>
      </c>
      <c r="W37" s="766">
        <f t="shared" si="45"/>
        <v>98</v>
      </c>
      <c r="X37" s="758"/>
      <c r="Y37" s="3653"/>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28"/>
        <v>写字楼等级</v>
      </c>
      <c r="R38" s="759" t="s">
        <v>1135</v>
      </c>
      <c r="S38" s="760">
        <f t="shared" ref="S38:W38" si="46">F38</f>
        <v>100</v>
      </c>
      <c r="T38" s="759" t="s">
        <v>1135</v>
      </c>
      <c r="U38" s="760">
        <f t="shared" si="46"/>
        <v>100</v>
      </c>
      <c r="V38" s="759" t="s">
        <v>1135</v>
      </c>
      <c r="W38" s="760">
        <f t="shared" si="46"/>
        <v>100</v>
      </c>
      <c r="X38" s="761"/>
      <c r="Y38" s="3653"/>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49" t="s">
        <v>1164</v>
      </c>
      <c r="Q39" s="764" t="str">
        <f t="shared" si="28"/>
        <v>物业管理</v>
      </c>
      <c r="R39" s="765" t="s">
        <v>1135</v>
      </c>
      <c r="S39" s="766">
        <f t="shared" ref="S39:W39" si="47">F39</f>
        <v>100</v>
      </c>
      <c r="T39" s="765" t="s">
        <v>1135</v>
      </c>
      <c r="U39" s="766">
        <f t="shared" si="47"/>
        <v>100</v>
      </c>
      <c r="V39" s="765" t="s">
        <v>1135</v>
      </c>
      <c r="W39" s="766">
        <f t="shared" si="47"/>
        <v>100</v>
      </c>
      <c r="X39" s="758"/>
      <c r="Y39" s="3653"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49"/>
      <c r="Q40" s="764" t="str">
        <f t="shared" si="28"/>
        <v>市政基础设施</v>
      </c>
      <c r="R40" s="765" t="s">
        <v>1135</v>
      </c>
      <c r="S40" s="766">
        <f t="shared" ref="S40:W40" si="48">F40</f>
        <v>100</v>
      </c>
      <c r="T40" s="765" t="s">
        <v>1135</v>
      </c>
      <c r="U40" s="766">
        <f t="shared" si="48"/>
        <v>100</v>
      </c>
      <c r="V40" s="765" t="s">
        <v>1135</v>
      </c>
      <c r="W40" s="766">
        <f t="shared" si="48"/>
        <v>100</v>
      </c>
      <c r="X40" s="758"/>
      <c r="Y40" s="3653"/>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49"/>
      <c r="Q41" s="764" t="str">
        <f t="shared" si="28"/>
        <v>层高</v>
      </c>
      <c r="R41" s="765" t="s">
        <v>1135</v>
      </c>
      <c r="S41" s="766">
        <f t="shared" ref="S41:W41" si="49">F41</f>
        <v>100</v>
      </c>
      <c r="T41" s="765" t="s">
        <v>1135</v>
      </c>
      <c r="U41" s="766">
        <f t="shared" si="49"/>
        <v>100</v>
      </c>
      <c r="V41" s="765" t="s">
        <v>1135</v>
      </c>
      <c r="W41" s="766">
        <f t="shared" si="49"/>
        <v>100</v>
      </c>
      <c r="X41" s="758"/>
      <c r="Y41" s="3653"/>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28"/>
        <v>单套建筑面积</v>
      </c>
      <c r="R42" s="768" t="s">
        <v>1135</v>
      </c>
      <c r="S42" s="769">
        <f t="shared" ref="S42:W42" si="50">F42</f>
        <v>100</v>
      </c>
      <c r="T42" s="768" t="s">
        <v>1135</v>
      </c>
      <c r="U42" s="769">
        <f t="shared" si="50"/>
        <v>100</v>
      </c>
      <c r="V42" s="768" t="s">
        <v>1135</v>
      </c>
      <c r="W42" s="769">
        <f t="shared" si="50"/>
        <v>100</v>
      </c>
      <c r="X42" s="770"/>
      <c r="Y42" s="3653"/>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28"/>
        <v>内部装修</v>
      </c>
      <c r="R43" s="765" t="s">
        <v>1135</v>
      </c>
      <c r="S43" s="766">
        <f t="shared" ref="S43:W43" si="51">F43</f>
        <v>100</v>
      </c>
      <c r="T43" s="765" t="s">
        <v>1135</v>
      </c>
      <c r="U43" s="766">
        <f t="shared" si="51"/>
        <v>100</v>
      </c>
      <c r="V43" s="765" t="s">
        <v>1135</v>
      </c>
      <c r="W43" s="766">
        <f t="shared" si="51"/>
        <v>100</v>
      </c>
      <c r="X43" s="758"/>
      <c r="Y43" s="3653"/>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49"/>
      <c r="Q44" s="764" t="str">
        <f t="shared" si="28"/>
        <v>内部装修维护情况</v>
      </c>
      <c r="R44" s="765" t="s">
        <v>1135</v>
      </c>
      <c r="S44" s="766">
        <f t="shared" ref="S44:W44" si="52">F44</f>
        <v>100</v>
      </c>
      <c r="T44" s="765" t="s">
        <v>1135</v>
      </c>
      <c r="U44" s="766">
        <f t="shared" si="52"/>
        <v>100</v>
      </c>
      <c r="V44" s="765" t="s">
        <v>1135</v>
      </c>
      <c r="W44" s="766">
        <f t="shared" si="52"/>
        <v>100</v>
      </c>
      <c r="X44" s="758"/>
      <c r="Y44" s="3653"/>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28"/>
        <v>111</v>
      </c>
      <c r="R45" s="759" t="s">
        <v>1135</v>
      </c>
      <c r="S45" s="760">
        <f t="shared" ref="S45:W45" si="53">F45</f>
        <v>100</v>
      </c>
      <c r="T45" s="759" t="s">
        <v>1135</v>
      </c>
      <c r="U45" s="760">
        <f t="shared" si="53"/>
        <v>100</v>
      </c>
      <c r="V45" s="759" t="s">
        <v>1135</v>
      </c>
      <c r="W45" s="760">
        <f t="shared" si="53"/>
        <v>100</v>
      </c>
      <c r="X45" s="761"/>
      <c r="Y45" s="3653"/>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28"/>
        <v>111</v>
      </c>
      <c r="R46" s="765" t="s">
        <v>1135</v>
      </c>
      <c r="S46" s="766">
        <f t="shared" ref="S46:W46" si="54">F46</f>
        <v>100</v>
      </c>
      <c r="T46" s="765" t="s">
        <v>1135</v>
      </c>
      <c r="U46" s="766">
        <f t="shared" si="54"/>
        <v>100</v>
      </c>
      <c r="V46" s="765" t="s">
        <v>1135</v>
      </c>
      <c r="W46" s="766">
        <f t="shared" si="54"/>
        <v>100</v>
      </c>
      <c r="X46" s="758"/>
      <c r="Y46" s="3653"/>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28"/>
        <v>111</v>
      </c>
      <c r="R47" s="765" t="s">
        <v>1135</v>
      </c>
      <c r="S47" s="766">
        <f t="shared" ref="S47:W47" si="55">F47</f>
        <v>100</v>
      </c>
      <c r="T47" s="765" t="s">
        <v>1135</v>
      </c>
      <c r="U47" s="766">
        <f t="shared" si="55"/>
        <v>100</v>
      </c>
      <c r="V47" s="765" t="s">
        <v>1135</v>
      </c>
      <c r="W47" s="766">
        <f t="shared" si="55"/>
        <v>100</v>
      </c>
      <c r="X47" s="758"/>
      <c r="Y47" s="3654"/>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3" t="str">
        <f t="shared" ref="P48:P50" si="56">A48</f>
        <v>成交单价（元/平方米）</v>
      </c>
      <c r="Q48" s="3644"/>
      <c r="R48" s="3645">
        <f t="shared" ref="R48:V48" si="57">E48</f>
        <v>2</v>
      </c>
      <c r="S48" s="3645"/>
      <c r="T48" s="3645">
        <f t="shared" si="57"/>
        <v>1.8</v>
      </c>
      <c r="U48" s="3645"/>
      <c r="V48" s="3645">
        <f t="shared" si="57"/>
        <v>2.2000000000000002</v>
      </c>
      <c r="W48" s="3645"/>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3" t="str">
        <f t="shared" si="56"/>
        <v>比较价值（元/平方米）</v>
      </c>
      <c r="Q49" s="3644"/>
      <c r="R49" s="3645">
        <f>IF(F1="售价",ROUND(PRODUCT(R48,AA7:AA47),0),ROUND(PRODUCT(R48,AA7:AA47),1))</f>
        <v>2</v>
      </c>
      <c r="S49" s="3645"/>
      <c r="T49" s="3645">
        <f>IF(F1="售价",ROUND(PRODUCT(T48,AB7:AB47),0),ROUND(PRODUCT(T48,AB7:AB47),1))</f>
        <v>1.8</v>
      </c>
      <c r="U49" s="3645"/>
      <c r="V49" s="3645">
        <f>IF(F1="售价",ROUND(PRODUCT(V48,AC7:AC47),0),ROUND(PRODUCT(V48,AC7:AC47),1))</f>
        <v>2.2000000000000002</v>
      </c>
      <c r="W49" s="3645"/>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55" t="str">
        <f t="shared" si="56"/>
        <v>估价对象XX用房的比较价值（楼面单价，元/平方米）</v>
      </c>
      <c r="Q50" s="3656"/>
      <c r="R50" s="3657">
        <f>IF(F1="售价",ROUND(IF(D49="简单平均",AVERAGE(R49:V49),R49*F49+T49*H49+V49*J49),0),ROUND(IF(D49="简单平均",AVERAGE(R49:V49),R49*F49+T49*H49+V49*J49),1))</f>
        <v>2</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5" t="s">
        <v>1866</v>
      </c>
      <c r="B20" s="3731" t="s">
        <v>1875</v>
      </c>
      <c r="C20" s="503" t="s">
        <v>1876</v>
      </c>
      <c r="D20" s="504"/>
      <c r="E20" s="505">
        <v>1</v>
      </c>
      <c r="F20" s="506" t="s">
        <v>1877</v>
      </c>
      <c r="G20" s="506"/>
    </row>
    <row r="21" spans="1:13" ht="19.5" customHeight="1">
      <c r="A21" s="3726"/>
      <c r="B21" s="3732"/>
      <c r="C21" s="507" t="s">
        <v>1878</v>
      </c>
      <c r="D21" s="508"/>
      <c r="E21" s="509">
        <v>1</v>
      </c>
      <c r="F21" s="506" t="s">
        <v>1879</v>
      </c>
      <c r="G21" s="506"/>
    </row>
    <row r="22" spans="1:13" ht="19.5" customHeight="1">
      <c r="A22" s="3726"/>
      <c r="B22" s="3732"/>
      <c r="C22" s="507" t="s">
        <v>1880</v>
      </c>
      <c r="D22" s="508"/>
      <c r="E22" s="509">
        <v>0.9</v>
      </c>
      <c r="F22" s="506" t="s">
        <v>1881</v>
      </c>
      <c r="G22" s="506"/>
    </row>
    <row r="23" spans="1:13" ht="19.5" customHeight="1">
      <c r="A23" s="3726"/>
      <c r="B23" s="3732"/>
      <c r="C23" s="507" t="s">
        <v>1882</v>
      </c>
      <c r="D23" s="508"/>
      <c r="E23" s="509">
        <v>0.9</v>
      </c>
      <c r="F23" s="506" t="s">
        <v>1883</v>
      </c>
      <c r="G23" s="506"/>
    </row>
    <row r="24" spans="1:13" ht="19.5" customHeight="1">
      <c r="A24" s="3726"/>
      <c r="B24" s="3732"/>
      <c r="C24" s="507" t="s">
        <v>1884</v>
      </c>
      <c r="D24" s="508"/>
      <c r="E24" s="509">
        <v>0.8</v>
      </c>
      <c r="F24" s="506" t="s">
        <v>1885</v>
      </c>
      <c r="G24" s="506"/>
    </row>
    <row r="25" spans="1:13" ht="19.5" customHeight="1">
      <c r="A25" s="3727"/>
      <c r="B25" s="3733"/>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28" t="s">
        <v>280</v>
      </c>
      <c r="B27" s="3731" t="s">
        <v>280</v>
      </c>
      <c r="C27" s="503" t="s">
        <v>1890</v>
      </c>
      <c r="D27" s="504"/>
      <c r="E27" s="505">
        <v>1</v>
      </c>
      <c r="F27" s="506" t="s">
        <v>1891</v>
      </c>
      <c r="G27" s="506"/>
    </row>
    <row r="28" spans="1:13" ht="19.5" customHeight="1">
      <c r="A28" s="3729"/>
      <c r="B28" s="3732"/>
      <c r="C28" s="507" t="s">
        <v>1892</v>
      </c>
      <c r="D28" s="508"/>
      <c r="E28" s="509">
        <v>1</v>
      </c>
      <c r="F28" s="506" t="s">
        <v>1893</v>
      </c>
      <c r="G28" s="506"/>
    </row>
    <row r="29" spans="1:13" ht="19.5" customHeight="1">
      <c r="A29" s="3729"/>
      <c r="B29" s="3732"/>
      <c r="C29" s="507" t="s">
        <v>1894</v>
      </c>
      <c r="D29" s="508"/>
      <c r="E29" s="509">
        <v>0.8</v>
      </c>
      <c r="F29" s="506" t="s">
        <v>1895</v>
      </c>
      <c r="G29" s="506"/>
    </row>
    <row r="30" spans="1:13" ht="19.5" customHeight="1">
      <c r="A30" s="3729"/>
      <c r="B30" s="3732"/>
      <c r="C30" s="507" t="s">
        <v>1896</v>
      </c>
      <c r="D30" s="508"/>
      <c r="E30" s="509">
        <v>0.8</v>
      </c>
      <c r="F30" s="506" t="s">
        <v>1897</v>
      </c>
      <c r="G30" s="506"/>
    </row>
    <row r="31" spans="1:13" ht="19.5" customHeight="1">
      <c r="A31" s="3729"/>
      <c r="B31" s="3732"/>
      <c r="C31" s="507" t="s">
        <v>1898</v>
      </c>
      <c r="D31" s="508"/>
      <c r="E31" s="509">
        <v>0.8</v>
      </c>
      <c r="F31" s="506" t="s">
        <v>1899</v>
      </c>
      <c r="G31" s="506"/>
    </row>
    <row r="32" spans="1:13" ht="19.5" customHeight="1">
      <c r="A32" s="3729"/>
      <c r="B32" s="3732"/>
      <c r="C32" s="507" t="s">
        <v>1900</v>
      </c>
      <c r="D32" s="508"/>
      <c r="E32" s="509">
        <v>0.7</v>
      </c>
      <c r="F32" s="506" t="s">
        <v>1901</v>
      </c>
      <c r="G32" s="506"/>
    </row>
    <row r="33" spans="1:7" ht="19.5" customHeight="1">
      <c r="A33" s="3729"/>
      <c r="B33" s="3732"/>
      <c r="C33" s="507" t="s">
        <v>1902</v>
      </c>
      <c r="D33" s="508"/>
      <c r="E33" s="509">
        <v>0.8</v>
      </c>
      <c r="F33" s="506" t="s">
        <v>1903</v>
      </c>
      <c r="G33" s="506"/>
    </row>
    <row r="34" spans="1:7" ht="19.5" customHeight="1">
      <c r="A34" s="3729"/>
      <c r="B34" s="3732"/>
      <c r="C34" s="507" t="s">
        <v>1904</v>
      </c>
      <c r="D34" s="508"/>
      <c r="E34" s="509">
        <v>0.6</v>
      </c>
      <c r="F34" s="506" t="s">
        <v>1905</v>
      </c>
      <c r="G34" s="506"/>
    </row>
    <row r="35" spans="1:7" ht="19.5" customHeight="1">
      <c r="A35" s="3729"/>
      <c r="B35" s="3732"/>
      <c r="C35" s="507" t="s">
        <v>1906</v>
      </c>
      <c r="D35" s="508"/>
      <c r="E35" s="509">
        <v>0.2</v>
      </c>
      <c r="F35" s="506" t="s">
        <v>1907</v>
      </c>
      <c r="G35" s="506"/>
    </row>
    <row r="36" spans="1:7" ht="19.5" customHeight="1">
      <c r="A36" s="3729"/>
      <c r="B36" s="3732"/>
      <c r="C36" s="507" t="s">
        <v>1908</v>
      </c>
      <c r="D36" s="508"/>
      <c r="E36" s="509">
        <v>0.2</v>
      </c>
      <c r="F36" s="506" t="s">
        <v>1909</v>
      </c>
      <c r="G36" s="506"/>
    </row>
    <row r="37" spans="1:7" ht="19.5" customHeight="1">
      <c r="A37" s="3729"/>
      <c r="B37" s="3734" t="s">
        <v>1910</v>
      </c>
      <c r="C37" s="507" t="s">
        <v>1911</v>
      </c>
      <c r="D37" s="508"/>
      <c r="E37" s="509">
        <v>0.6</v>
      </c>
      <c r="F37" s="506" t="s">
        <v>1912</v>
      </c>
      <c r="G37" s="506"/>
    </row>
    <row r="38" spans="1:7" ht="19.5" customHeight="1">
      <c r="A38" s="3729"/>
      <c r="B38" s="3732"/>
      <c r="C38" s="507" t="s">
        <v>1913</v>
      </c>
      <c r="D38" s="508"/>
      <c r="E38" s="509">
        <v>0.6</v>
      </c>
      <c r="F38" s="506" t="s">
        <v>1914</v>
      </c>
      <c r="G38" s="506"/>
    </row>
    <row r="39" spans="1:7" ht="19.5" customHeight="1">
      <c r="A39" s="3730"/>
      <c r="B39" s="3733"/>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5" t="s">
        <v>408</v>
      </c>
      <c r="B41" s="3731" t="s">
        <v>1919</v>
      </c>
      <c r="C41" s="503" t="s">
        <v>1920</v>
      </c>
      <c r="D41" s="504"/>
      <c r="E41" s="505">
        <v>1</v>
      </c>
      <c r="F41" s="506" t="s">
        <v>1921</v>
      </c>
      <c r="G41" s="506"/>
    </row>
    <row r="42" spans="1:7" ht="19.5" customHeight="1">
      <c r="A42" s="3726"/>
      <c r="B42" s="3732"/>
      <c r="C42" s="507" t="s">
        <v>1922</v>
      </c>
      <c r="D42" s="508"/>
      <c r="E42" s="509">
        <v>1</v>
      </c>
      <c r="F42" s="506" t="s">
        <v>1923</v>
      </c>
      <c r="G42" s="506"/>
    </row>
    <row r="43" spans="1:7" ht="19.5" customHeight="1">
      <c r="A43" s="3726"/>
      <c r="B43" s="3735"/>
      <c r="C43" s="507" t="s">
        <v>1924</v>
      </c>
      <c r="D43" s="508"/>
      <c r="E43" s="509">
        <v>1.5</v>
      </c>
      <c r="F43" s="506" t="s">
        <v>1925</v>
      </c>
      <c r="G43" s="506"/>
    </row>
    <row r="44" spans="1:7" ht="19.5" customHeight="1">
      <c r="A44" s="3726"/>
      <c r="B44" s="519" t="s">
        <v>280</v>
      </c>
      <c r="C44" s="507" t="s">
        <v>1867</v>
      </c>
      <c r="D44" s="508"/>
      <c r="E44" s="509">
        <v>2</v>
      </c>
      <c r="F44" s="506" t="s">
        <v>1926</v>
      </c>
      <c r="G44" s="506"/>
    </row>
    <row r="45" spans="1:7" ht="19.5" customHeight="1">
      <c r="A45" s="3726"/>
      <c r="B45" s="3734" t="s">
        <v>1927</v>
      </c>
      <c r="C45" s="507" t="s">
        <v>1928</v>
      </c>
      <c r="D45" s="508"/>
      <c r="E45" s="509">
        <v>1</v>
      </c>
      <c r="F45" s="506" t="s">
        <v>1929</v>
      </c>
      <c r="G45" s="506"/>
    </row>
    <row r="46" spans="1:7" ht="19.5" customHeight="1">
      <c r="A46" s="3726"/>
      <c r="B46" s="3732"/>
      <c r="C46" s="507" t="s">
        <v>1930</v>
      </c>
      <c r="D46" s="508"/>
      <c r="E46" s="509">
        <v>1</v>
      </c>
      <c r="F46" s="506" t="s">
        <v>1931</v>
      </c>
      <c r="G46" s="506"/>
    </row>
    <row r="47" spans="1:7" ht="19.5" customHeight="1">
      <c r="A47" s="3726"/>
      <c r="B47" s="3732"/>
      <c r="C47" s="507" t="s">
        <v>1932</v>
      </c>
      <c r="D47" s="508"/>
      <c r="E47" s="509">
        <v>1</v>
      </c>
      <c r="F47" s="506" t="s">
        <v>1933</v>
      </c>
      <c r="G47" s="506"/>
    </row>
    <row r="48" spans="1:7" ht="19.5" customHeight="1">
      <c r="A48" s="3726"/>
      <c r="B48" s="3732"/>
      <c r="C48" s="507" t="s">
        <v>1934</v>
      </c>
      <c r="D48" s="508"/>
      <c r="E48" s="509">
        <v>1</v>
      </c>
      <c r="F48" s="506" t="s">
        <v>1935</v>
      </c>
      <c r="G48" s="506"/>
    </row>
    <row r="49" spans="1:7" ht="19.5" customHeight="1">
      <c r="A49" s="3726"/>
      <c r="B49" s="3732"/>
      <c r="C49" s="507" t="s">
        <v>1936</v>
      </c>
      <c r="D49" s="508"/>
      <c r="E49" s="509">
        <v>1</v>
      </c>
      <c r="F49" s="506" t="s">
        <v>1937</v>
      </c>
      <c r="G49" s="506"/>
    </row>
    <row r="50" spans="1:7" ht="19.5" customHeight="1">
      <c r="A50" s="3726"/>
      <c r="B50" s="3732"/>
      <c r="C50" s="507" t="s">
        <v>1938</v>
      </c>
      <c r="D50" s="508"/>
      <c r="E50" s="509">
        <v>1</v>
      </c>
      <c r="F50" s="506" t="s">
        <v>1939</v>
      </c>
      <c r="G50" s="506"/>
    </row>
    <row r="51" spans="1:7" ht="19.5" customHeight="1">
      <c r="A51" s="3727"/>
      <c r="B51" s="3733"/>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34" t="s">
        <v>1953</v>
      </c>
      <c r="C73" s="495" t="s">
        <v>1954</v>
      </c>
      <c r="D73" s="495" t="s">
        <v>1955</v>
      </c>
      <c r="E73" s="519">
        <v>0.2</v>
      </c>
      <c r="F73" s="519">
        <v>25</v>
      </c>
    </row>
    <row r="74" spans="1:7" ht="24">
      <c r="A74" s="519">
        <v>2</v>
      </c>
      <c r="B74" s="3732"/>
      <c r="C74" s="495" t="s">
        <v>1956</v>
      </c>
      <c r="D74" s="495" t="s">
        <v>1957</v>
      </c>
      <c r="E74" s="519">
        <v>0.2</v>
      </c>
      <c r="F74" s="519">
        <v>25</v>
      </c>
    </row>
    <row r="75" spans="1:7" ht="24">
      <c r="A75" s="519">
        <v>3</v>
      </c>
      <c r="B75" s="3732"/>
      <c r="C75" s="495" t="s">
        <v>1958</v>
      </c>
      <c r="D75" s="495" t="s">
        <v>1959</v>
      </c>
      <c r="E75" s="519">
        <v>0.2</v>
      </c>
      <c r="F75" s="519">
        <v>25</v>
      </c>
    </row>
    <row r="76" spans="1:7" ht="13.5">
      <c r="A76" s="519">
        <v>4</v>
      </c>
      <c r="B76" s="3732"/>
      <c r="C76" s="495" t="s">
        <v>1960</v>
      </c>
      <c r="D76" s="495" t="s">
        <v>1961</v>
      </c>
      <c r="E76" s="519">
        <v>0.15</v>
      </c>
      <c r="F76" s="519">
        <v>20</v>
      </c>
    </row>
    <row r="77" spans="1:7" ht="24">
      <c r="A77" s="519">
        <v>5</v>
      </c>
      <c r="B77" s="3732"/>
      <c r="C77" s="495" t="s">
        <v>1962</v>
      </c>
      <c r="D77" s="495" t="s">
        <v>1963</v>
      </c>
      <c r="E77" s="519">
        <v>0.15</v>
      </c>
      <c r="F77" s="519">
        <v>20</v>
      </c>
    </row>
    <row r="78" spans="1:7" ht="24">
      <c r="A78" s="519">
        <v>6</v>
      </c>
      <c r="B78" s="3732"/>
      <c r="C78" s="495" t="s">
        <v>1964</v>
      </c>
      <c r="D78" s="495" t="s">
        <v>1965</v>
      </c>
      <c r="E78" s="519">
        <v>0.15</v>
      </c>
      <c r="F78" s="519">
        <v>20</v>
      </c>
    </row>
    <row r="79" spans="1:7" ht="24">
      <c r="A79" s="519">
        <v>7</v>
      </c>
      <c r="B79" s="3732"/>
      <c r="C79" s="495" t="s">
        <v>1966</v>
      </c>
      <c r="D79" s="495" t="s">
        <v>1967</v>
      </c>
      <c r="E79" s="519">
        <v>0.15</v>
      </c>
      <c r="F79" s="519">
        <v>20</v>
      </c>
    </row>
    <row r="80" spans="1:7" ht="24">
      <c r="A80" s="519">
        <v>8</v>
      </c>
      <c r="B80" s="3732"/>
      <c r="C80" s="495" t="s">
        <v>1968</v>
      </c>
      <c r="D80" s="495" t="s">
        <v>1969</v>
      </c>
      <c r="E80" s="519">
        <v>0.1</v>
      </c>
      <c r="F80" s="519">
        <v>15</v>
      </c>
    </row>
    <row r="81" spans="1:6" ht="24">
      <c r="A81" s="519">
        <v>9</v>
      </c>
      <c r="B81" s="3732"/>
      <c r="C81" s="495" t="s">
        <v>1970</v>
      </c>
      <c r="D81" s="495" t="s">
        <v>1971</v>
      </c>
      <c r="E81" s="519">
        <v>0.1</v>
      </c>
      <c r="F81" s="519">
        <v>15</v>
      </c>
    </row>
    <row r="82" spans="1:6" ht="24">
      <c r="A82" s="519">
        <v>10</v>
      </c>
      <c r="B82" s="3732"/>
      <c r="C82" s="495" t="s">
        <v>1972</v>
      </c>
      <c r="D82" s="495" t="s">
        <v>1973</v>
      </c>
      <c r="E82" s="519">
        <v>0.1</v>
      </c>
      <c r="F82" s="519">
        <v>15</v>
      </c>
    </row>
    <row r="83" spans="1:6" ht="24">
      <c r="A83" s="519">
        <v>11</v>
      </c>
      <c r="B83" s="3732"/>
      <c r="C83" s="495" t="s">
        <v>1974</v>
      </c>
      <c r="D83" s="495" t="s">
        <v>1975</v>
      </c>
      <c r="E83" s="519">
        <v>0.1</v>
      </c>
      <c r="F83" s="519">
        <v>15</v>
      </c>
    </row>
    <row r="84" spans="1:6" ht="24">
      <c r="A84" s="519">
        <v>12</v>
      </c>
      <c r="B84" s="3732"/>
      <c r="C84" s="495" t="s">
        <v>1976</v>
      </c>
      <c r="D84" s="495" t="s">
        <v>1977</v>
      </c>
      <c r="E84" s="519">
        <v>0.1</v>
      </c>
      <c r="F84" s="519">
        <v>15</v>
      </c>
    </row>
    <row r="85" spans="1:6" ht="13.5">
      <c r="A85" s="519">
        <v>13</v>
      </c>
      <c r="B85" s="3732"/>
      <c r="C85" s="495" t="s">
        <v>1978</v>
      </c>
      <c r="D85" s="495" t="s">
        <v>1979</v>
      </c>
      <c r="E85" s="519">
        <v>0.1</v>
      </c>
      <c r="F85" s="519">
        <v>15</v>
      </c>
    </row>
    <row r="86" spans="1:6" ht="13.5">
      <c r="A86" s="519">
        <v>14</v>
      </c>
      <c r="B86" s="3732"/>
      <c r="C86" s="495" t="s">
        <v>1980</v>
      </c>
      <c r="D86" s="495" t="s">
        <v>1981</v>
      </c>
      <c r="E86" s="519">
        <v>0.1</v>
      </c>
      <c r="F86" s="519">
        <v>15</v>
      </c>
    </row>
    <row r="87" spans="1:6" ht="13.5">
      <c r="A87" s="519">
        <v>15</v>
      </c>
      <c r="B87" s="3732"/>
      <c r="C87" s="495" t="s">
        <v>1982</v>
      </c>
      <c r="D87" s="495" t="s">
        <v>1983</v>
      </c>
      <c r="E87" s="519">
        <v>0.1</v>
      </c>
      <c r="F87" s="519">
        <v>15</v>
      </c>
    </row>
    <row r="88" spans="1:6" ht="24">
      <c r="A88" s="519">
        <v>16</v>
      </c>
      <c r="B88" s="3732"/>
      <c r="C88" s="495" t="s">
        <v>1984</v>
      </c>
      <c r="D88" s="495" t="s">
        <v>1985</v>
      </c>
      <c r="E88" s="519">
        <v>0.1</v>
      </c>
      <c r="F88" s="519">
        <v>15</v>
      </c>
    </row>
    <row r="89" spans="1:6" ht="24">
      <c r="A89" s="519">
        <v>17</v>
      </c>
      <c r="B89" s="3735"/>
      <c r="C89" s="495" t="s">
        <v>1986</v>
      </c>
      <c r="D89" s="495" t="s">
        <v>1987</v>
      </c>
      <c r="E89" s="519">
        <v>0.1</v>
      </c>
      <c r="F89" s="519">
        <v>15</v>
      </c>
    </row>
    <row r="90" spans="1:6" ht="13.5">
      <c r="A90" s="519">
        <v>18</v>
      </c>
      <c r="B90" s="3734" t="s">
        <v>1988</v>
      </c>
      <c r="C90" s="495" t="s">
        <v>1989</v>
      </c>
      <c r="D90" s="495" t="s">
        <v>1990</v>
      </c>
      <c r="E90" s="519">
        <v>0.2</v>
      </c>
      <c r="F90" s="519">
        <v>25</v>
      </c>
    </row>
    <row r="91" spans="1:6" ht="24">
      <c r="A91" s="519">
        <v>19</v>
      </c>
      <c r="B91" s="3732"/>
      <c r="C91" s="495" t="s">
        <v>1991</v>
      </c>
      <c r="D91" s="495" t="s">
        <v>1992</v>
      </c>
      <c r="E91" s="519">
        <v>0.2</v>
      </c>
      <c r="F91" s="519">
        <v>25</v>
      </c>
    </row>
    <row r="92" spans="1:6" ht="13.5">
      <c r="A92" s="519">
        <v>20</v>
      </c>
      <c r="B92" s="3732"/>
      <c r="C92" s="495" t="s">
        <v>1993</v>
      </c>
      <c r="D92" s="495" t="s">
        <v>1994</v>
      </c>
      <c r="E92" s="519">
        <v>0.15</v>
      </c>
      <c r="F92" s="519">
        <v>20</v>
      </c>
    </row>
    <row r="93" spans="1:6" ht="13.5">
      <c r="A93" s="519">
        <v>21</v>
      </c>
      <c r="B93" s="3732"/>
      <c r="C93" s="495" t="s">
        <v>1995</v>
      </c>
      <c r="D93" s="495" t="s">
        <v>1996</v>
      </c>
      <c r="E93" s="519">
        <v>0.15</v>
      </c>
      <c r="F93" s="519">
        <v>20</v>
      </c>
    </row>
    <row r="94" spans="1:6" ht="13.5">
      <c r="A94" s="519">
        <v>22</v>
      </c>
      <c r="B94" s="3732"/>
      <c r="C94" s="495" t="s">
        <v>1997</v>
      </c>
      <c r="D94" s="495" t="s">
        <v>1998</v>
      </c>
      <c r="E94" s="519">
        <v>0.15</v>
      </c>
      <c r="F94" s="519">
        <v>20</v>
      </c>
    </row>
    <row r="95" spans="1:6" ht="36">
      <c r="A95" s="519">
        <v>23</v>
      </c>
      <c r="B95" s="3732"/>
      <c r="C95" s="495" t="s">
        <v>1999</v>
      </c>
      <c r="D95" s="495" t="s">
        <v>2000</v>
      </c>
      <c r="E95" s="519">
        <v>0.15</v>
      </c>
      <c r="F95" s="519">
        <v>20</v>
      </c>
    </row>
    <row r="96" spans="1:6" ht="13.5">
      <c r="A96" s="519">
        <v>24</v>
      </c>
      <c r="B96" s="3732"/>
      <c r="C96" s="495" t="s">
        <v>2001</v>
      </c>
      <c r="D96" s="495" t="s">
        <v>2002</v>
      </c>
      <c r="E96" s="519">
        <v>0.1</v>
      </c>
      <c r="F96" s="519">
        <v>15</v>
      </c>
    </row>
    <row r="97" spans="1:6" ht="13.5">
      <c r="A97" s="519">
        <v>25</v>
      </c>
      <c r="B97" s="3732"/>
      <c r="C97" s="495" t="s">
        <v>2003</v>
      </c>
      <c r="D97" s="495" t="s">
        <v>2004</v>
      </c>
      <c r="E97" s="519">
        <v>0.1</v>
      </c>
      <c r="F97" s="519">
        <v>15</v>
      </c>
    </row>
    <row r="98" spans="1:6" ht="24">
      <c r="A98" s="519">
        <v>26</v>
      </c>
      <c r="B98" s="3732"/>
      <c r="C98" s="495" t="s">
        <v>2005</v>
      </c>
      <c r="D98" s="495" t="s">
        <v>2006</v>
      </c>
      <c r="E98" s="519">
        <v>0.1</v>
      </c>
      <c r="F98" s="519">
        <v>15</v>
      </c>
    </row>
    <row r="99" spans="1:6" ht="24">
      <c r="A99" s="519">
        <v>27</v>
      </c>
      <c r="B99" s="3732"/>
      <c r="C99" s="495" t="s">
        <v>2007</v>
      </c>
      <c r="D99" s="495" t="s">
        <v>2008</v>
      </c>
      <c r="E99" s="519">
        <v>0.1</v>
      </c>
      <c r="F99" s="519">
        <v>15</v>
      </c>
    </row>
    <row r="100" spans="1:6" ht="13.5">
      <c r="A100" s="519">
        <v>28</v>
      </c>
      <c r="B100" s="3732"/>
      <c r="C100" s="495" t="s">
        <v>2009</v>
      </c>
      <c r="D100" s="495" t="s">
        <v>2010</v>
      </c>
      <c r="E100" s="519">
        <v>0.1</v>
      </c>
      <c r="F100" s="519">
        <v>15</v>
      </c>
    </row>
    <row r="101" spans="1:6" ht="13.5">
      <c r="A101" s="519">
        <v>29</v>
      </c>
      <c r="B101" s="3732"/>
      <c r="C101" s="495" t="s">
        <v>2011</v>
      </c>
      <c r="D101" s="495" t="s">
        <v>2012</v>
      </c>
      <c r="E101" s="519">
        <v>0.1</v>
      </c>
      <c r="F101" s="519">
        <v>15</v>
      </c>
    </row>
    <row r="102" spans="1:6" ht="13.5">
      <c r="A102" s="519">
        <v>30</v>
      </c>
      <c r="B102" s="3732"/>
      <c r="C102" s="495" t="s">
        <v>2013</v>
      </c>
      <c r="D102" s="495" t="s">
        <v>2014</v>
      </c>
      <c r="E102" s="519">
        <v>0.1</v>
      </c>
      <c r="F102" s="519">
        <v>15</v>
      </c>
    </row>
    <row r="103" spans="1:6" ht="24">
      <c r="A103" s="519">
        <v>31</v>
      </c>
      <c r="B103" s="3732"/>
      <c r="C103" s="495" t="s">
        <v>2015</v>
      </c>
      <c r="D103" s="495" t="s">
        <v>2016</v>
      </c>
      <c r="E103" s="519">
        <v>0.1</v>
      </c>
      <c r="F103" s="519">
        <v>15</v>
      </c>
    </row>
    <row r="104" spans="1:6" ht="24">
      <c r="A104" s="519">
        <v>32</v>
      </c>
      <c r="B104" s="3732"/>
      <c r="C104" s="495" t="s">
        <v>2017</v>
      </c>
      <c r="D104" s="495" t="s">
        <v>2018</v>
      </c>
      <c r="E104" s="519">
        <v>0.1</v>
      </c>
      <c r="F104" s="519">
        <v>15</v>
      </c>
    </row>
    <row r="105" spans="1:6" ht="24">
      <c r="A105" s="519">
        <v>33</v>
      </c>
      <c r="B105" s="3732"/>
      <c r="C105" s="495" t="s">
        <v>2019</v>
      </c>
      <c r="D105" s="495" t="s">
        <v>2020</v>
      </c>
      <c r="E105" s="519">
        <v>0.1</v>
      </c>
      <c r="F105" s="519">
        <v>15</v>
      </c>
    </row>
    <row r="106" spans="1:6" ht="24">
      <c r="A106" s="519">
        <v>34</v>
      </c>
      <c r="B106" s="3735"/>
      <c r="C106" s="495" t="s">
        <v>2021</v>
      </c>
      <c r="D106" s="495" t="s">
        <v>2022</v>
      </c>
      <c r="E106" s="519">
        <v>0.1</v>
      </c>
      <c r="F106" s="519">
        <v>15</v>
      </c>
    </row>
    <row r="107" spans="1:6" ht="24">
      <c r="A107" s="519">
        <v>35</v>
      </c>
      <c r="B107" s="3734" t="s">
        <v>2023</v>
      </c>
      <c r="C107" s="519" t="s">
        <v>2024</v>
      </c>
      <c r="D107" s="495" t="s">
        <v>2025</v>
      </c>
      <c r="E107" s="519">
        <v>0.15</v>
      </c>
      <c r="F107" s="519">
        <v>20</v>
      </c>
    </row>
    <row r="108" spans="1:6" ht="13.5">
      <c r="A108" s="519">
        <v>36</v>
      </c>
      <c r="B108" s="3732"/>
      <c r="C108" s="519" t="s">
        <v>2026</v>
      </c>
      <c r="D108" s="495" t="s">
        <v>2027</v>
      </c>
      <c r="E108" s="519">
        <v>0.15</v>
      </c>
      <c r="F108" s="519">
        <v>20</v>
      </c>
    </row>
    <row r="109" spans="1:6" ht="13.5">
      <c r="A109" s="519">
        <v>37</v>
      </c>
      <c r="B109" s="3732"/>
      <c r="C109" s="519" t="s">
        <v>2028</v>
      </c>
      <c r="D109" s="495" t="s">
        <v>2029</v>
      </c>
      <c r="E109" s="519">
        <v>0.15</v>
      </c>
      <c r="F109" s="519">
        <v>20</v>
      </c>
    </row>
    <row r="110" spans="1:6" ht="13.5">
      <c r="A110" s="519">
        <v>38</v>
      </c>
      <c r="B110" s="3732"/>
      <c r="C110" s="519" t="s">
        <v>2030</v>
      </c>
      <c r="D110" s="495" t="s">
        <v>2031</v>
      </c>
      <c r="E110" s="519">
        <v>0.1</v>
      </c>
      <c r="F110" s="519">
        <v>15</v>
      </c>
    </row>
    <row r="111" spans="1:6" ht="24">
      <c r="A111" s="519">
        <v>39</v>
      </c>
      <c r="B111" s="3732"/>
      <c r="C111" s="519" t="s">
        <v>2032</v>
      </c>
      <c r="D111" s="495" t="s">
        <v>2033</v>
      </c>
      <c r="E111" s="519">
        <v>0.1</v>
      </c>
      <c r="F111" s="519">
        <v>15</v>
      </c>
    </row>
    <row r="112" spans="1:6" ht="24">
      <c r="A112" s="519">
        <v>40</v>
      </c>
      <c r="B112" s="3735"/>
      <c r="C112" s="519" t="s">
        <v>2034</v>
      </c>
      <c r="D112" s="495" t="s">
        <v>2035</v>
      </c>
      <c r="E112" s="519">
        <v>0.1</v>
      </c>
      <c r="F112" s="519">
        <v>15</v>
      </c>
    </row>
    <row r="113" spans="1:6" ht="13.5">
      <c r="A113" s="519">
        <v>41</v>
      </c>
      <c r="B113" s="3736" t="s">
        <v>2036</v>
      </c>
      <c r="C113" s="519" t="s">
        <v>2037</v>
      </c>
      <c r="D113" s="495" t="s">
        <v>2038</v>
      </c>
      <c r="E113" s="519">
        <v>0.1</v>
      </c>
      <c r="F113" s="519">
        <v>15</v>
      </c>
    </row>
    <row r="114" spans="1:6" ht="13.5">
      <c r="A114" s="519">
        <v>42</v>
      </c>
      <c r="B114" s="3736"/>
      <c r="C114" s="519" t="s">
        <v>2039</v>
      </c>
      <c r="D114" s="495" t="s">
        <v>2040</v>
      </c>
      <c r="E114" s="519">
        <v>0.1</v>
      </c>
      <c r="F114" s="519">
        <v>15</v>
      </c>
    </row>
    <row r="115" spans="1:6" ht="24">
      <c r="A115" s="519">
        <v>43</v>
      </c>
      <c r="B115" s="3736"/>
      <c r="C115" s="519" t="s">
        <v>2041</v>
      </c>
      <c r="D115" s="495" t="s">
        <v>2042</v>
      </c>
      <c r="E115" s="519">
        <v>0.1</v>
      </c>
      <c r="F115" s="519">
        <v>15</v>
      </c>
    </row>
    <row r="116" spans="1:6" ht="13.5">
      <c r="A116" s="519">
        <v>44</v>
      </c>
      <c r="B116" s="3734" t="s">
        <v>2043</v>
      </c>
      <c r="C116" s="519" t="s">
        <v>2044</v>
      </c>
      <c r="D116" s="495" t="s">
        <v>2045</v>
      </c>
      <c r="E116" s="519">
        <v>0.1</v>
      </c>
      <c r="F116" s="519">
        <v>15</v>
      </c>
    </row>
    <row r="117" spans="1:6" ht="24">
      <c r="A117" s="519">
        <v>45</v>
      </c>
      <c r="B117" s="3735"/>
      <c r="C117" s="495" t="s">
        <v>2046</v>
      </c>
      <c r="D117" s="495" t="s">
        <v>2047</v>
      </c>
      <c r="E117" s="519">
        <v>0.1</v>
      </c>
      <c r="F117" s="519">
        <v>15</v>
      </c>
    </row>
    <row r="118" spans="1:6" ht="24">
      <c r="A118" s="519">
        <v>46</v>
      </c>
      <c r="B118" s="3734" t="s">
        <v>2048</v>
      </c>
      <c r="C118" s="519" t="s">
        <v>2049</v>
      </c>
      <c r="D118" s="495" t="s">
        <v>2050</v>
      </c>
      <c r="E118" s="519">
        <v>0.1</v>
      </c>
      <c r="F118" s="519">
        <v>15</v>
      </c>
    </row>
    <row r="119" spans="1:6" ht="24">
      <c r="A119" s="519">
        <v>47</v>
      </c>
      <c r="B119" s="3735"/>
      <c r="C119" s="519" t="s">
        <v>2051</v>
      </c>
      <c r="D119" s="495" t="s">
        <v>2052</v>
      </c>
      <c r="E119" s="519">
        <v>0.1</v>
      </c>
      <c r="F119" s="519">
        <v>15</v>
      </c>
    </row>
    <row r="120" spans="1:6" ht="13.5">
      <c r="A120" s="519">
        <v>48</v>
      </c>
      <c r="B120" s="3734" t="s">
        <v>2053</v>
      </c>
      <c r="C120" s="519" t="s">
        <v>2054</v>
      </c>
      <c r="D120" s="495" t="s">
        <v>2055</v>
      </c>
      <c r="E120" s="519">
        <v>0.1</v>
      </c>
      <c r="F120" s="519">
        <v>15</v>
      </c>
    </row>
    <row r="121" spans="1:6" ht="13.5">
      <c r="A121" s="519">
        <v>49</v>
      </c>
      <c r="B121" s="3735"/>
      <c r="C121" s="519" t="s">
        <v>2056</v>
      </c>
      <c r="D121" s="495" t="s">
        <v>2057</v>
      </c>
      <c r="E121" s="519">
        <v>0.1</v>
      </c>
      <c r="F121" s="519">
        <v>15</v>
      </c>
    </row>
    <row r="122" spans="1:6" ht="24">
      <c r="A122" s="519">
        <v>50</v>
      </c>
      <c r="B122" s="3736" t="s">
        <v>2058</v>
      </c>
      <c r="C122" s="519" t="s">
        <v>2059</v>
      </c>
      <c r="D122" s="495" t="s">
        <v>2060</v>
      </c>
      <c r="E122" s="519">
        <v>0.1</v>
      </c>
      <c r="F122" s="519">
        <v>15</v>
      </c>
    </row>
    <row r="123" spans="1:6" ht="24">
      <c r="A123" s="519">
        <v>51</v>
      </c>
      <c r="B123" s="3736"/>
      <c r="C123" s="519" t="s">
        <v>2061</v>
      </c>
      <c r="D123" s="495" t="s">
        <v>2062</v>
      </c>
      <c r="E123" s="519">
        <v>0.1</v>
      </c>
      <c r="F123" s="519">
        <v>15</v>
      </c>
    </row>
    <row r="124" spans="1:6" ht="24">
      <c r="A124" s="519">
        <v>52</v>
      </c>
      <c r="B124" s="3736" t="s">
        <v>2063</v>
      </c>
      <c r="C124" s="519" t="s">
        <v>2064</v>
      </c>
      <c r="D124" s="495" t="s">
        <v>2065</v>
      </c>
      <c r="E124" s="519">
        <v>0.1</v>
      </c>
      <c r="F124" s="519">
        <v>15</v>
      </c>
    </row>
    <row r="125" spans="1:6" ht="24">
      <c r="A125" s="519">
        <v>53</v>
      </c>
      <c r="B125" s="3736"/>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36" t="s">
        <v>2071</v>
      </c>
      <c r="C127" s="519" t="s">
        <v>2072</v>
      </c>
      <c r="D127" s="495" t="s">
        <v>2073</v>
      </c>
      <c r="E127" s="519">
        <v>0.1</v>
      </c>
      <c r="F127" s="519">
        <v>15</v>
      </c>
    </row>
    <row r="128" spans="1:6" ht="13.5">
      <c r="A128" s="519">
        <v>56</v>
      </c>
      <c r="B128" s="3736"/>
      <c r="C128" s="519" t="s">
        <v>2074</v>
      </c>
      <c r="D128" s="495" t="s">
        <v>2075</v>
      </c>
      <c r="E128" s="519">
        <v>0.1</v>
      </c>
      <c r="F128" s="519">
        <v>15</v>
      </c>
    </row>
    <row r="129" spans="1:6" ht="24">
      <c r="A129" s="519">
        <v>57</v>
      </c>
      <c r="B129" s="3736"/>
      <c r="C129" s="519" t="s">
        <v>2076</v>
      </c>
      <c r="D129" s="495" t="s">
        <v>2077</v>
      </c>
      <c r="E129" s="519">
        <v>0.1</v>
      </c>
      <c r="F129" s="519">
        <v>15</v>
      </c>
    </row>
    <row r="130" spans="1:6" ht="24">
      <c r="A130" s="519">
        <v>58</v>
      </c>
      <c r="B130" s="3736" t="s">
        <v>2078</v>
      </c>
      <c r="C130" s="519" t="s">
        <v>2079</v>
      </c>
      <c r="D130" s="495" t="s">
        <v>2080</v>
      </c>
      <c r="E130" s="519">
        <v>0.1</v>
      </c>
      <c r="F130" s="519">
        <v>15</v>
      </c>
    </row>
    <row r="131" spans="1:6" ht="13.5">
      <c r="A131" s="519">
        <v>59</v>
      </c>
      <c r="B131" s="3736"/>
      <c r="C131" s="519" t="s">
        <v>2081</v>
      </c>
      <c r="D131" s="495" t="s">
        <v>2082</v>
      </c>
      <c r="E131" s="519">
        <v>0.1</v>
      </c>
      <c r="F131" s="519">
        <v>15</v>
      </c>
    </row>
    <row r="132" spans="1:6" ht="13.5">
      <c r="A132" s="519">
        <v>60</v>
      </c>
      <c r="B132" s="3734" t="s">
        <v>2083</v>
      </c>
      <c r="C132" s="519" t="s">
        <v>2084</v>
      </c>
      <c r="D132" s="495" t="s">
        <v>2085</v>
      </c>
      <c r="E132" s="519">
        <v>0.1</v>
      </c>
      <c r="F132" s="519">
        <v>15</v>
      </c>
    </row>
    <row r="133" spans="1:6" ht="13.5">
      <c r="A133" s="519">
        <v>61</v>
      </c>
      <c r="B133" s="3735"/>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36" t="s">
        <v>2091</v>
      </c>
      <c r="C135" s="519" t="s">
        <v>2092</v>
      </c>
      <c r="D135" s="495" t="s">
        <v>2093</v>
      </c>
      <c r="E135" s="519">
        <v>0.1</v>
      </c>
      <c r="F135" s="519">
        <v>15</v>
      </c>
    </row>
    <row r="136" spans="1:6" ht="13.5">
      <c r="A136" s="519">
        <v>64</v>
      </c>
      <c r="B136" s="3736"/>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28466</v>
      </c>
      <c r="C2" s="379" t="s">
        <v>1404</v>
      </c>
      <c r="D2" s="376"/>
      <c r="E2" s="376"/>
      <c r="F2" s="376"/>
      <c r="G2" s="376"/>
    </row>
    <row r="3" spans="1:7" s="365" customFormat="1" ht="18" customHeight="1">
      <c r="A3" s="380" t="s">
        <v>2113</v>
      </c>
      <c r="B3" s="381">
        <f ca="1">ROUND(B2*10000/'数据-汇总表'!E3,0)</f>
        <v>257522</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1105.3800000000001</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1105.3800000000001</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541</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497</v>
      </c>
      <c r="D34" s="393"/>
      <c r="E34" s="396"/>
      <c r="F34" s="442">
        <f>IF('数据-取费表'!B24=0,1,'数据-取费表'!N16)</f>
        <v>1</v>
      </c>
      <c r="G34" s="395" t="s">
        <v>2162</v>
      </c>
    </row>
    <row r="35" spans="1:7" ht="13.5" customHeight="1">
      <c r="A35" s="421" t="s">
        <v>970</v>
      </c>
      <c r="B35" s="391" t="s">
        <v>2163</v>
      </c>
      <c r="C35" s="396">
        <f>ROUND(C34*F35,0)</f>
        <v>15</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1105.3800000000001</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11</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19</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19</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83</v>
      </c>
      <c r="D45" s="416">
        <f>C47</f>
        <v>3.0000000000000001E-3</v>
      </c>
      <c r="E45" s="417" t="s">
        <v>2170</v>
      </c>
      <c r="F45" s="431"/>
      <c r="G45" s="432" t="s">
        <v>2173</v>
      </c>
    </row>
    <row r="46" spans="1:7" s="367" customFormat="1" ht="13.5" customHeight="1">
      <c r="A46" s="421" t="s">
        <v>968</v>
      </c>
      <c r="B46" s="433" t="s">
        <v>2174</v>
      </c>
      <c r="C46" s="434">
        <f>ROUND((C33+C39)*F27,0)</f>
        <v>83</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709</v>
      </c>
      <c r="D49" s="413"/>
      <c r="E49" s="413"/>
      <c r="F49" s="448"/>
      <c r="G49" s="418" t="s">
        <v>2179</v>
      </c>
    </row>
    <row r="50" spans="1:7" s="369" customFormat="1" ht="24">
      <c r="A50" s="410" t="s">
        <v>2180</v>
      </c>
      <c r="B50" s="386" t="s">
        <v>2181</v>
      </c>
      <c r="C50" s="413"/>
      <c r="D50" s="413"/>
      <c r="E50" s="413"/>
      <c r="F50" s="448">
        <f>IF('数据-取费表'!B24=0,'数据-取费表'!N16,1)</f>
        <v>0.93</v>
      </c>
      <c r="G50" s="432" t="s">
        <v>2182</v>
      </c>
    </row>
    <row r="51" spans="1:7" ht="16.5" customHeight="1">
      <c r="A51" s="410" t="s">
        <v>2183</v>
      </c>
      <c r="B51" s="386" t="s">
        <v>2184</v>
      </c>
      <c r="C51" s="413">
        <f ca="1">ROUND(C49*F50,0)</f>
        <v>659</v>
      </c>
      <c r="D51" s="413"/>
      <c r="E51" s="413"/>
      <c r="F51" s="448"/>
      <c r="G51" s="418" t="s">
        <v>2185</v>
      </c>
    </row>
    <row r="52" spans="1:7" s="366" customFormat="1" ht="15.75">
      <c r="A52" s="449" t="s">
        <v>2186</v>
      </c>
      <c r="B52" s="450"/>
      <c r="C52" s="451">
        <f ca="1">C31+C51</f>
        <v>28466</v>
      </c>
      <c r="D52" s="450"/>
      <c r="E52" s="450"/>
      <c r="F52" s="450"/>
      <c r="G52" s="452"/>
    </row>
    <row r="55" spans="1:7" ht="15">
      <c r="B55" s="453" t="s">
        <v>2187</v>
      </c>
      <c r="C55" s="454"/>
    </row>
    <row r="56" spans="1:7">
      <c r="B56" s="455" t="s">
        <v>2188</v>
      </c>
      <c r="C56" s="456">
        <f ca="1">ROUND(C51/C52,3)</f>
        <v>2.3E-2</v>
      </c>
    </row>
    <row r="57" spans="1:7">
      <c r="B57" s="455" t="s">
        <v>2189</v>
      </c>
      <c r="C57" s="457">
        <f ca="1">1-C56</f>
        <v>0.97699999999999998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1978</v>
      </c>
      <c r="E5" s="3357"/>
    </row>
    <row r="6" spans="1:5" ht="15.75">
      <c r="A6" s="3357"/>
      <c r="B6" s="3436"/>
      <c r="C6" s="3359" t="s">
        <v>98</v>
      </c>
      <c r="D6" s="3360" t="str">
        <f ca="1">NUMBERSTRING(INT(D5*10000),2)&amp;"元整"</f>
        <v>壹仟玖佰柒拾捌万元整</v>
      </c>
      <c r="E6" s="3357"/>
    </row>
    <row r="7" spans="1:5" ht="15.75">
      <c r="A7" s="3357"/>
      <c r="B7" s="3437"/>
      <c r="C7" s="3361" t="s">
        <v>99</v>
      </c>
      <c r="D7" s="3362">
        <f ca="1">结果表!H102</f>
        <v>17895</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1978</v>
      </c>
      <c r="E16" s="3357"/>
    </row>
    <row r="17" spans="1:5" ht="15.75">
      <c r="A17" s="3357"/>
      <c r="B17" s="3439"/>
      <c r="C17" s="3359" t="s">
        <v>98</v>
      </c>
      <c r="D17" s="3360" t="str">
        <f ca="1">NUMBERSTRING(INT(D16*10000),2)&amp;"元整"</f>
        <v>壹仟玖佰柒拾捌万元整</v>
      </c>
      <c r="E17" s="3357"/>
    </row>
    <row r="18" spans="1:5" ht="15">
      <c r="A18" s="3357"/>
      <c r="B18" s="3440"/>
      <c r="C18" s="3361" t="s">
        <v>99</v>
      </c>
      <c r="D18" s="3369">
        <f ca="1">结果表!H110</f>
        <v>17894</v>
      </c>
      <c r="E18" s="3357"/>
    </row>
    <row r="19" spans="1:5" ht="15.75">
      <c r="A19" s="3357"/>
      <c r="B19" s="3435" t="str">
        <f>结果表!E111</f>
        <v>4.抵押净值</v>
      </c>
      <c r="C19" s="3367" t="s">
        <v>97</v>
      </c>
      <c r="D19" s="3362">
        <f ca="1">结果表!H111</f>
        <v>1939</v>
      </c>
      <c r="E19" s="3357"/>
    </row>
    <row r="20" spans="1:5" ht="15.75">
      <c r="A20" s="3357"/>
      <c r="B20" s="3436"/>
      <c r="C20" s="3359" t="s">
        <v>98</v>
      </c>
      <c r="D20" s="3360" t="str">
        <f ca="1">NUMBERSTRING(INT(D19*10000),2)&amp;"元整"</f>
        <v>壹仟玖佰叁拾玖万元整</v>
      </c>
      <c r="E20" s="3357"/>
    </row>
    <row r="21" spans="1:5" ht="15">
      <c r="A21" s="3357"/>
      <c r="B21" s="3441"/>
      <c r="C21" s="3371" t="s">
        <v>99</v>
      </c>
      <c r="D21" s="3372">
        <f ca="1">结果表!H112</f>
        <v>17541</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46" t="s">
        <v>2609</v>
      </c>
      <c r="C1" s="3746"/>
      <c r="D1" s="3746"/>
      <c r="E1" s="3746"/>
      <c r="F1" s="3746"/>
      <c r="G1" s="3747" t="s">
        <v>2610</v>
      </c>
      <c r="H1" s="3747"/>
      <c r="I1" s="3747"/>
      <c r="J1" s="3747"/>
      <c r="K1" s="3747"/>
      <c r="L1" s="3747"/>
      <c r="N1" s="3747" t="s">
        <v>2587</v>
      </c>
      <c r="O1" s="3747"/>
      <c r="P1" s="3747"/>
      <c r="Q1" s="3747"/>
      <c r="S1" s="3747" t="s">
        <v>2611</v>
      </c>
      <c r="T1" s="3747"/>
      <c r="U1" s="3747"/>
      <c r="V1" s="3747"/>
      <c r="X1" s="3748" t="s">
        <v>2588</v>
      </c>
      <c r="Y1" s="3747"/>
      <c r="Z1" s="3747"/>
      <c r="AA1" s="3747"/>
      <c r="AB1" s="3747"/>
      <c r="AD1" s="3748" t="s">
        <v>2589</v>
      </c>
      <c r="AE1" s="3747"/>
      <c r="AF1" s="3747"/>
      <c r="AG1" s="3747"/>
      <c r="AH1" s="3747"/>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5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5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5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5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5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5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5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5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5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5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5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5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5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5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5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5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5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5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5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5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5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5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5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5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53">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9">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9">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52">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53">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9">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9">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5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2257.5958000000001</v>
      </c>
      <c r="C2" s="376" t="s">
        <v>960</v>
      </c>
      <c r="D2" s="2345" t="s">
        <v>124</v>
      </c>
      <c r="E2" s="2346">
        <f ca="1">SUMIF(INDIRECT("'"&amp;G2&amp;"'"&amp;"!A:A"),"承租人权益价值",INDIRECT("'"&amp;G2&amp;"'"&amp;"!c:c"))</f>
        <v>-629</v>
      </c>
      <c r="F2" s="2347" t="s">
        <v>960</v>
      </c>
      <c r="G2" s="2348" t="s">
        <v>266</v>
      </c>
    </row>
    <row r="3" spans="1:8" s="365" customFormat="1" ht="18" customHeight="1">
      <c r="A3" s="380" t="s">
        <v>961</v>
      </c>
      <c r="B3" s="381">
        <f ca="1">ROUND(B2*10000/(IF(B1="",'数据-汇总表'!E3,INDIRECT("'数据-取费表'!k"&amp;$G$1))),0)</f>
        <v>20424</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11856921.700000001</v>
      </c>
      <c r="D5" s="387" t="s">
        <v>966</v>
      </c>
      <c r="E5" s="388" t="s">
        <v>967</v>
      </c>
      <c r="F5" s="388" t="s">
        <v>864</v>
      </c>
      <c r="G5" s="389"/>
    </row>
    <row r="6" spans="1:8" s="367" customFormat="1" ht="13.5" customHeight="1">
      <c r="A6" s="390" t="s">
        <v>968</v>
      </c>
      <c r="B6" s="391" t="s">
        <v>969</v>
      </c>
      <c r="C6" s="392">
        <f>基准地价修正!C33*基准地价修正!D33</f>
        <v>11291456.700000001</v>
      </c>
      <c r="D6" s="393"/>
      <c r="E6" s="394"/>
      <c r="F6" s="394"/>
      <c r="G6" s="395"/>
    </row>
    <row r="7" spans="1:8" s="367" customFormat="1" ht="13.5" customHeight="1">
      <c r="A7" s="390" t="s">
        <v>970</v>
      </c>
      <c r="B7" s="391" t="s">
        <v>971</v>
      </c>
      <c r="C7" s="396">
        <f>ROUND(C6*F7,0)</f>
        <v>344389</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221076</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221076</v>
      </c>
      <c r="D10" s="403">
        <f ca="1">IF(B1="",'数据-汇总表'!E6,IF(INDIRECT("'数据-取费表'!c"&amp;$G$1)="住宅",INDIRECT("'数据-取费表'!s"&amp;$G$1),INDIRECT("'数据-取费表'!k"&amp;$G$1)+INDIRECT("'数据-取费表'!s"&amp;$G$1)))</f>
        <v>1105.3800000000001</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1105.3800000000001</v>
      </c>
      <c r="E19" s="387">
        <f>'数据-取费表'!B31</f>
        <v>200</v>
      </c>
      <c r="F19" s="412"/>
      <c r="G19" s="2349" t="s">
        <v>2757</v>
      </c>
    </row>
    <row r="20" spans="1:7" s="367" customFormat="1" ht="13.5" customHeight="1">
      <c r="A20" s="385" t="s">
        <v>997</v>
      </c>
      <c r="B20" s="386" t="s">
        <v>998</v>
      </c>
      <c r="C20" s="413">
        <f ca="1">ROUND((C5+C19)*F20,0)</f>
        <v>237138</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840421</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832240</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8181</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1814109</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1814109</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15978970</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5419125</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4974210</v>
      </c>
      <c r="D34" s="393"/>
      <c r="E34" s="396"/>
      <c r="F34" s="442"/>
      <c r="G34" s="395"/>
    </row>
    <row r="35" spans="1:7" ht="13.5" customHeight="1">
      <c r="A35" s="421" t="s">
        <v>970</v>
      </c>
      <c r="B35" s="391" t="s">
        <v>1028</v>
      </c>
      <c r="C35" s="396">
        <f ca="1">ROUND(C34*F35,0)</f>
        <v>149226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221076</v>
      </c>
      <c r="D37" s="393">
        <f ca="1">D19</f>
        <v>1105.3800000000001</v>
      </c>
      <c r="E37" s="434">
        <f>'数据-取费表'!B35</f>
        <v>200</v>
      </c>
      <c r="F37" s="443"/>
      <c r="G37" s="445"/>
    </row>
    <row r="38" spans="1:7" ht="13.5" customHeight="1">
      <c r="A38" s="421" t="s">
        <v>1034</v>
      </c>
      <c r="B38" s="391" t="s">
        <v>900</v>
      </c>
      <c r="C38" s="396">
        <f ca="1">ROUND(C34*F38,0)</f>
        <v>74613</v>
      </c>
      <c r="D38" s="396"/>
      <c r="E38" s="396"/>
      <c r="F38" s="443">
        <f>'数据-取费表'!B36</f>
        <v>1.4999999999999999E-2</v>
      </c>
      <c r="G38" s="395" t="s">
        <v>1029</v>
      </c>
    </row>
    <row r="39" spans="1:7" s="367" customFormat="1" ht="13.5" customHeight="1">
      <c r="A39" s="385" t="s">
        <v>995</v>
      </c>
      <c r="B39" s="386" t="s">
        <v>998</v>
      </c>
      <c r="C39" s="413">
        <f ca="1">ROUND(C33*F20,0)</f>
        <v>108383</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190699</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186960</v>
      </c>
      <c r="D42" s="423"/>
      <c r="E42" s="423"/>
      <c r="F42" s="424"/>
      <c r="G42" s="3618" t="s">
        <v>1058</v>
      </c>
    </row>
    <row r="43" spans="1:7" ht="13.5" customHeight="1">
      <c r="A43" s="421" t="s">
        <v>970</v>
      </c>
      <c r="B43" s="391" t="s">
        <v>1008</v>
      </c>
      <c r="C43" s="423">
        <f ca="1">ROUND(IF('数据-取费表'!B22&lt;=1,C39*F22*'数据-取费表'!B20/2,C39*(POWER((1+F22),'数据-取费表'!B20/2)-1)),0)</f>
        <v>3739</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829126</v>
      </c>
      <c r="D45" s="416">
        <f ca="1">C47</f>
        <v>3.0000000000000001E-3</v>
      </c>
      <c r="E45" s="417" t="s">
        <v>1036</v>
      </c>
      <c r="F45" s="431">
        <f ca="1">F27</f>
        <v>0.15</v>
      </c>
      <c r="G45" s="432" t="s">
        <v>1039</v>
      </c>
    </row>
    <row r="46" spans="1:7" s="367" customFormat="1" ht="13.5" customHeight="1">
      <c r="A46" s="421" t="s">
        <v>968</v>
      </c>
      <c r="B46" s="433" t="s">
        <v>1040</v>
      </c>
      <c r="C46" s="434">
        <f ca="1">ROUND((C33+C39)*F27,0)</f>
        <v>829126</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7093535</v>
      </c>
      <c r="D49" s="413"/>
      <c r="E49" s="413"/>
      <c r="F49" s="448"/>
      <c r="G49" s="418" t="s">
        <v>1044</v>
      </c>
    </row>
    <row r="50" spans="1:7" s="369" customFormat="1">
      <c r="A50" s="385" t="s">
        <v>1045</v>
      </c>
      <c r="B50" s="386" t="s">
        <v>1046</v>
      </c>
      <c r="C50" s="413"/>
      <c r="D50" s="413"/>
      <c r="E50" s="413"/>
      <c r="F50" s="448">
        <f>IF('数据-取费表'!B24=0,'数据-取费表'!N16,1)</f>
        <v>0.93</v>
      </c>
      <c r="G50" s="432"/>
    </row>
    <row r="51" spans="1:7" ht="16.5" customHeight="1">
      <c r="A51" s="385" t="s">
        <v>1048</v>
      </c>
      <c r="B51" s="386" t="s">
        <v>1060</v>
      </c>
      <c r="C51" s="413">
        <f ca="1">ROUND(C49*F50,0)</f>
        <v>6596988</v>
      </c>
      <c r="D51" s="413"/>
      <c r="E51" s="413"/>
      <c r="F51" s="448"/>
      <c r="G51" s="418" t="s">
        <v>1050</v>
      </c>
    </row>
    <row r="52" spans="1:7" s="366" customFormat="1" ht="15.75">
      <c r="A52" s="449" t="s">
        <v>1051</v>
      </c>
      <c r="B52" s="450"/>
      <c r="C52" s="451">
        <f ca="1">C31+C51</f>
        <v>22575958</v>
      </c>
      <c r="D52" s="450"/>
      <c r="E52" s="450"/>
      <c r="F52" s="450"/>
      <c r="G52" s="452"/>
    </row>
    <row r="55" spans="1:7" ht="15">
      <c r="B55" s="453" t="s">
        <v>1052</v>
      </c>
      <c r="C55" s="454"/>
    </row>
    <row r="56" spans="1:7">
      <c r="B56" s="455" t="s">
        <v>1053</v>
      </c>
      <c r="C56" s="457">
        <f ca="1">1-C57</f>
        <v>0.70799999999999996</v>
      </c>
    </row>
    <row r="57" spans="1:7">
      <c r="B57" s="455" t="s">
        <v>1054</v>
      </c>
      <c r="C57" s="456">
        <f ca="1">ROUND(C51/C52,3)</f>
        <v>0.29199999999999998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0" zoomScaleNormal="80" zoomScaleSheetLayoutView="80" workbookViewId="0">
      <selection activeCell="C69" sqref="C6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1105.3800000000001</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1129</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16702</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10214</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13164</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11126</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9813</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9430</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1.0543</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1129</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10215</v>
      </c>
      <c r="D33" s="1028">
        <f>'数据-汇总表'!E3</f>
        <v>1105.3800000000001</v>
      </c>
      <c r="E33" s="1029">
        <f>ROUND(C33*D33/10000,0)</f>
        <v>1129</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2554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6354</v>
      </c>
      <c r="D37" s="1028"/>
      <c r="E37" s="918">
        <f>ROUND(C37*D37/10000,0)</f>
        <v>0</v>
      </c>
      <c r="F37" s="918">
        <f>SUMIF(修正!A57:A68,G2,修正!B57:B68)</f>
        <v>0.6</v>
      </c>
      <c r="G37" s="918">
        <f>ROUND(IF(E2="工业",C37*$M$42,C37*$M$41),0)</f>
        <v>1589</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3177</v>
      </c>
      <c r="D38" s="1028"/>
      <c r="E38" s="918">
        <f t="shared" ref="E38:E42" si="4">ROUND(C38*D38/10000,0)</f>
        <v>0</v>
      </c>
      <c r="F38" s="918">
        <f>SUMIF(修正!A57:A68,G2,修正!C57:C68)</f>
        <v>0.3</v>
      </c>
      <c r="G38" s="918">
        <f>ROUND(IF(E2="工业",C38*$M$42,C38*$M$41),0)</f>
        <v>794</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2647</v>
      </c>
      <c r="D39" s="1028"/>
      <c r="E39" s="918">
        <f t="shared" si="4"/>
        <v>0</v>
      </c>
      <c r="F39" s="918">
        <f>SUMIF(修正!A57:A68,G2,修正!D57:D68)</f>
        <v>0.25</v>
      </c>
      <c r="G39" s="918">
        <f>ROUND(IF(E2="工业",C39*$M$42,C39*$M$41),0)</f>
        <v>662</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2647</v>
      </c>
      <c r="D40" s="1028"/>
      <c r="E40" s="918">
        <f t="shared" si="4"/>
        <v>0</v>
      </c>
      <c r="F40" s="1027">
        <f>SUMIF(修正!A57:A68,G2,修正!E57:E68)</f>
        <v>0.25</v>
      </c>
      <c r="G40" s="918">
        <f>ROUND(IF(E2="工业",C40*$M$42,C40*$M$41),0)</f>
        <v>662</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较好</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较好</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1.0543</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5.4300000000000001E-2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较好</v>
      </c>
      <c r="C67" s="942" t="s">
        <v>1153</v>
      </c>
      <c r="D67" s="1069">
        <f t="shared" si="12"/>
        <v>3.8999999999999998E-3</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较好</v>
      </c>
      <c r="C69" s="942" t="s">
        <v>1153</v>
      </c>
      <c r="D69" s="1069">
        <f t="shared" si="12"/>
        <v>4.4999999999999997E-3</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较好</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较好</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较好</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较好</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K28" sqref="K28"/>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 ca="1">IF(E1="项目模式",IF(C2="——",ROUND(C50*D3/10000,0),ROUND(C50*D3/10000,0)-D2),IF(E1="单套模式",IF(C2="——",ROUND(C50*D3/10000,4),ROUND(C50*D3/10000,4)-D2)))</f>
        <v>2916.8230999999996</v>
      </c>
      <c r="C2" s="558" t="s">
        <v>2784</v>
      </c>
      <c r="D2" s="559">
        <f ca="1">IF(E1="项目模式",SUMIF(INDIRECT("'"&amp;F2&amp;"'"&amp;"!A:A"),"承租人权益价值",INDIRECT("'"&amp;F2&amp;"'"&amp;"!c:c")),SUMIF(INDIRECT("'"&amp;F2&amp;"'"&amp;"!A:A"),"承租人权益价值（单套）",INDIRECT("'"&amp;F2&amp;"'"&amp;"!c:c")))</f>
        <v>-629.12869999999998</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 ca="1">IF(C2="——",C50,ROUND(B2*10000/D3,0))</f>
        <v>26388</v>
      </c>
      <c r="C3" s="564" t="s">
        <v>1120</v>
      </c>
      <c r="D3" s="565">
        <f>IF(D1="",'数据-汇总表'!E3,SUMIF('数据-汇总表'!$C19:$C33,D1,'数据-汇总表'!$E19:$E33))</f>
        <v>1105.3800000000001</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39" t="s">
        <v>1134</v>
      </c>
      <c r="Q7" s="3640"/>
      <c r="R7" s="759" t="s">
        <v>1135</v>
      </c>
      <c r="S7" s="760">
        <f t="shared" ref="S7:S15" si="0">F7</f>
        <v>100</v>
      </c>
      <c r="T7" s="759" t="s">
        <v>1135</v>
      </c>
      <c r="U7" s="760">
        <f t="shared" ref="U7:U15" si="1">H7</f>
        <v>100</v>
      </c>
      <c r="V7" s="759" t="s">
        <v>1135</v>
      </c>
      <c r="W7" s="760">
        <f t="shared" ref="W7:W15" si="2">J7</f>
        <v>100</v>
      </c>
      <c r="X7" s="761"/>
      <c r="Y7" s="3641" t="s">
        <v>1134</v>
      </c>
      <c r="Z7" s="3642"/>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si="0"/>
        <v>101</v>
      </c>
      <c r="T8" s="759" t="s">
        <v>1135</v>
      </c>
      <c r="U8" s="760">
        <f t="shared" si="1"/>
        <v>101</v>
      </c>
      <c r="V8" s="759" t="s">
        <v>1135</v>
      </c>
      <c r="W8" s="760">
        <f t="shared" si="2"/>
        <v>101</v>
      </c>
      <c r="X8" s="761"/>
      <c r="Y8" s="3641" t="s">
        <v>1139</v>
      </c>
      <c r="Z8" s="3642"/>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98</v>
      </c>
      <c r="X10" s="761"/>
      <c r="Y10" s="361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46" t="s">
        <v>1150</v>
      </c>
      <c r="Q15" s="764" t="str">
        <f t="shared" si="6"/>
        <v>办公集聚程度</v>
      </c>
      <c r="R15" s="765" t="s">
        <v>1135</v>
      </c>
      <c r="S15" s="766">
        <f t="shared" si="0"/>
        <v>100</v>
      </c>
      <c r="T15" s="765" t="s">
        <v>1135</v>
      </c>
      <c r="U15" s="766">
        <f t="shared" si="1"/>
        <v>100</v>
      </c>
      <c r="V15" s="765" t="s">
        <v>1135</v>
      </c>
      <c r="W15" s="766">
        <f t="shared" si="2"/>
        <v>100</v>
      </c>
      <c r="X15" s="758"/>
      <c r="Y15" s="3651"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较好</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较好</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47"/>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47"/>
      <c r="Q25" s="764" t="str">
        <f>B25</f>
        <v>毗邻道路的类型与等级</v>
      </c>
      <c r="R25" s="765" t="s">
        <v>1135</v>
      </c>
      <c r="S25" s="766">
        <f>F25</f>
        <v>100</v>
      </c>
      <c r="T25" s="765" t="s">
        <v>1135</v>
      </c>
      <c r="U25" s="766">
        <f>H25</f>
        <v>100</v>
      </c>
      <c r="V25" s="765" t="s">
        <v>1135</v>
      </c>
      <c r="W25" s="766">
        <f>J25</f>
        <v>100</v>
      </c>
      <c r="X25" s="758"/>
      <c r="Y25" s="3652"/>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1159</v>
      </c>
      <c r="D27" s="599">
        <v>100</v>
      </c>
      <c r="E27" s="627" t="s">
        <v>1160</v>
      </c>
      <c r="F27" s="599">
        <f>SUMIF(89:89,E27,90:90)-SUMIF(89:89,C27,90:90)+100</f>
        <v>103</v>
      </c>
      <c r="G27" s="626" t="s">
        <v>1159</v>
      </c>
      <c r="H27" s="599">
        <f>SUMIF(89:89,G27,90:90)-SUMIF(89:89,C27,90:90)+100</f>
        <v>100</v>
      </c>
      <c r="I27" s="627" t="s">
        <v>1159</v>
      </c>
      <c r="J27" s="599">
        <f>SUMIF(89:89,I27,90:90)-SUMIF(89:89,C27,90:90)+100</f>
        <v>100</v>
      </c>
      <c r="K27" s="716">
        <v>3</v>
      </c>
      <c r="L27" s="719"/>
      <c r="M27" s="710"/>
      <c r="N27" s="710"/>
      <c r="O27" s="710"/>
      <c r="P27" s="3647"/>
      <c r="Q27" s="764" t="str">
        <f t="shared" ref="Q27:Q47" si="11">B27</f>
        <v>楼层</v>
      </c>
      <c r="R27" s="765" t="s">
        <v>1135</v>
      </c>
      <c r="S27" s="766">
        <f>F27</f>
        <v>103</v>
      </c>
      <c r="T27" s="765" t="s">
        <v>1135</v>
      </c>
      <c r="U27" s="766">
        <f>H27</f>
        <v>100</v>
      </c>
      <c r="V27" s="765" t="s">
        <v>1135</v>
      </c>
      <c r="W27" s="766">
        <f>J27</f>
        <v>100</v>
      </c>
      <c r="X27" s="758"/>
      <c r="Y27" s="3652"/>
      <c r="Z27" s="757" t="str">
        <f>Q27</f>
        <v>楼层</v>
      </c>
      <c r="AA27" s="771">
        <f t="shared" si="3"/>
        <v>0.970873786407767</v>
      </c>
      <c r="AB27" s="771">
        <f t="shared" si="4"/>
        <v>1</v>
      </c>
      <c r="AC27" s="783">
        <f t="shared" si="5"/>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11"/>
        <v>朝向</v>
      </c>
      <c r="R28" s="759" t="s">
        <v>1135</v>
      </c>
      <c r="S28" s="760">
        <f>F28</f>
        <v>100</v>
      </c>
      <c r="T28" s="759" t="s">
        <v>1135</v>
      </c>
      <c r="U28" s="760">
        <f>H28</f>
        <v>100</v>
      </c>
      <c r="V28" s="759" t="s">
        <v>1135</v>
      </c>
      <c r="W28" s="760">
        <f>J28</f>
        <v>100</v>
      </c>
      <c r="X28" s="761"/>
      <c r="Y28" s="3652"/>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11"/>
        <v>111</v>
      </c>
      <c r="R29" s="765" t="s">
        <v>1135</v>
      </c>
      <c r="S29" s="766">
        <f t="shared" ref="S29:S47" si="12">F29</f>
        <v>100</v>
      </c>
      <c r="T29" s="765" t="s">
        <v>1135</v>
      </c>
      <c r="U29" s="766">
        <f t="shared" ref="U29:U47" si="13">H29</f>
        <v>100</v>
      </c>
      <c r="V29" s="765" t="s">
        <v>1135</v>
      </c>
      <c r="W29" s="766">
        <f t="shared" ref="W29:W47" si="14">J29</f>
        <v>100</v>
      </c>
      <c r="X29" s="758"/>
      <c r="Y29" s="3652"/>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11"/>
        <v>111</v>
      </c>
      <c r="R32" s="765" t="s">
        <v>1135</v>
      </c>
      <c r="S32" s="766">
        <f t="shared" si="12"/>
        <v>100</v>
      </c>
      <c r="T32" s="765" t="s">
        <v>1135</v>
      </c>
      <c r="U32" s="766">
        <f t="shared" si="13"/>
        <v>100</v>
      </c>
      <c r="V32" s="765" t="s">
        <v>1135</v>
      </c>
      <c r="W32" s="766">
        <f t="shared" si="14"/>
        <v>100</v>
      </c>
      <c r="X32" s="758"/>
      <c r="Y32" s="3652"/>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48" t="s">
        <v>1164</v>
      </c>
      <c r="Q33" s="764" t="str">
        <f t="shared" si="11"/>
        <v>建筑类型</v>
      </c>
      <c r="R33" s="765" t="s">
        <v>1135</v>
      </c>
      <c r="S33" s="766">
        <f t="shared" si="12"/>
        <v>100</v>
      </c>
      <c r="T33" s="765" t="s">
        <v>1135</v>
      </c>
      <c r="U33" s="766">
        <f t="shared" si="13"/>
        <v>100</v>
      </c>
      <c r="V33" s="765" t="s">
        <v>1135</v>
      </c>
      <c r="W33" s="766">
        <f t="shared" si="14"/>
        <v>100</v>
      </c>
      <c r="X33" s="758"/>
      <c r="Y33" s="3653" t="s">
        <v>1164</v>
      </c>
      <c r="Z33" s="757" t="str">
        <f t="shared" si="15"/>
        <v>建筑类型</v>
      </c>
      <c r="AA33" s="771">
        <f t="shared" si="3"/>
        <v>1</v>
      </c>
      <c r="AB33" s="771">
        <f t="shared" si="4"/>
        <v>1</v>
      </c>
      <c r="AC33" s="783">
        <f t="shared" si="5"/>
        <v>1</v>
      </c>
    </row>
    <row r="34" spans="1:29" s="541" customFormat="1" ht="15">
      <c r="A34" s="637"/>
      <c r="B34" s="587" t="s">
        <v>1165</v>
      </c>
      <c r="C34" s="638">
        <f>'数据-基础表'!I13</f>
        <v>1105.3800000000001</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49"/>
      <c r="Q34" s="767" t="str">
        <f t="shared" si="11"/>
        <v>项目建筑规模</v>
      </c>
      <c r="R34" s="768" t="s">
        <v>1135</v>
      </c>
      <c r="S34" s="769">
        <f t="shared" si="12"/>
        <v>100</v>
      </c>
      <c r="T34" s="768" t="s">
        <v>1135</v>
      </c>
      <c r="U34" s="769">
        <f t="shared" si="13"/>
        <v>100</v>
      </c>
      <c r="V34" s="768" t="s">
        <v>1135</v>
      </c>
      <c r="W34" s="769">
        <f t="shared" si="14"/>
        <v>101</v>
      </c>
      <c r="X34" s="770"/>
      <c r="Y34" s="3653"/>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11"/>
        <v>建筑结构</v>
      </c>
      <c r="R35" s="765" t="s">
        <v>1135</v>
      </c>
      <c r="S35" s="766">
        <f t="shared" si="12"/>
        <v>100</v>
      </c>
      <c r="T35" s="765" t="s">
        <v>1135</v>
      </c>
      <c r="U35" s="766">
        <f t="shared" si="13"/>
        <v>100</v>
      </c>
      <c r="V35" s="765" t="s">
        <v>1135</v>
      </c>
      <c r="W35" s="766">
        <f t="shared" si="14"/>
        <v>100</v>
      </c>
      <c r="X35" s="758"/>
      <c r="Y35" s="3653"/>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11"/>
        <v>成新度</v>
      </c>
      <c r="R37" s="765" t="s">
        <v>1135</v>
      </c>
      <c r="S37" s="766">
        <f t="shared" si="12"/>
        <v>100</v>
      </c>
      <c r="T37" s="765" t="s">
        <v>1135</v>
      </c>
      <c r="U37" s="766">
        <f t="shared" si="13"/>
        <v>100</v>
      </c>
      <c r="V37" s="765" t="s">
        <v>1135</v>
      </c>
      <c r="W37" s="766">
        <f t="shared" si="14"/>
        <v>98</v>
      </c>
      <c r="X37" s="758"/>
      <c r="Y37" s="3653"/>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11"/>
        <v>写字楼等级</v>
      </c>
      <c r="R38" s="759" t="s">
        <v>1135</v>
      </c>
      <c r="S38" s="760">
        <f t="shared" si="12"/>
        <v>100</v>
      </c>
      <c r="T38" s="759" t="s">
        <v>1135</v>
      </c>
      <c r="U38" s="760">
        <f t="shared" si="13"/>
        <v>100</v>
      </c>
      <c r="V38" s="759" t="s">
        <v>1135</v>
      </c>
      <c r="W38" s="760">
        <f t="shared" si="14"/>
        <v>100</v>
      </c>
      <c r="X38" s="761"/>
      <c r="Y38" s="3653"/>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49" t="s">
        <v>1164</v>
      </c>
      <c r="Q39" s="764" t="str">
        <f t="shared" si="11"/>
        <v>物业管理</v>
      </c>
      <c r="R39" s="765" t="s">
        <v>1135</v>
      </c>
      <c r="S39" s="766">
        <f t="shared" si="12"/>
        <v>100</v>
      </c>
      <c r="T39" s="765" t="s">
        <v>1135</v>
      </c>
      <c r="U39" s="766">
        <f t="shared" si="13"/>
        <v>100</v>
      </c>
      <c r="V39" s="765" t="s">
        <v>1135</v>
      </c>
      <c r="W39" s="766">
        <f t="shared" si="14"/>
        <v>100</v>
      </c>
      <c r="X39" s="758"/>
      <c r="Y39" s="3653"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49"/>
      <c r="Q40" s="764" t="str">
        <f t="shared" si="11"/>
        <v>市政基础设施</v>
      </c>
      <c r="R40" s="765" t="s">
        <v>1135</v>
      </c>
      <c r="S40" s="766">
        <f t="shared" si="12"/>
        <v>100</v>
      </c>
      <c r="T40" s="765" t="s">
        <v>1135</v>
      </c>
      <c r="U40" s="766">
        <f t="shared" si="13"/>
        <v>100</v>
      </c>
      <c r="V40" s="765" t="s">
        <v>1135</v>
      </c>
      <c r="W40" s="766">
        <f t="shared" si="14"/>
        <v>100</v>
      </c>
      <c r="X40" s="758"/>
      <c r="Y40" s="3653"/>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49"/>
      <c r="Q41" s="764" t="str">
        <f t="shared" si="11"/>
        <v>层高</v>
      </c>
      <c r="R41" s="765" t="s">
        <v>1135</v>
      </c>
      <c r="S41" s="766">
        <f t="shared" si="12"/>
        <v>100</v>
      </c>
      <c r="T41" s="765" t="s">
        <v>1135</v>
      </c>
      <c r="U41" s="766">
        <f t="shared" si="13"/>
        <v>100</v>
      </c>
      <c r="V41" s="765" t="s">
        <v>1135</v>
      </c>
      <c r="W41" s="766">
        <f t="shared" si="14"/>
        <v>100</v>
      </c>
      <c r="X41" s="758"/>
      <c r="Y41" s="3653"/>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11"/>
        <v>单套建筑面积</v>
      </c>
      <c r="R42" s="768" t="s">
        <v>1135</v>
      </c>
      <c r="S42" s="769">
        <f t="shared" si="12"/>
        <v>100</v>
      </c>
      <c r="T42" s="768" t="s">
        <v>1135</v>
      </c>
      <c r="U42" s="769">
        <f t="shared" si="13"/>
        <v>100</v>
      </c>
      <c r="V42" s="768" t="s">
        <v>1135</v>
      </c>
      <c r="W42" s="769">
        <f t="shared" si="14"/>
        <v>100</v>
      </c>
      <c r="X42" s="770"/>
      <c r="Y42" s="3653"/>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11"/>
        <v>内部装修</v>
      </c>
      <c r="R43" s="765" t="s">
        <v>1135</v>
      </c>
      <c r="S43" s="766">
        <f t="shared" si="12"/>
        <v>100</v>
      </c>
      <c r="T43" s="765" t="s">
        <v>1135</v>
      </c>
      <c r="U43" s="766">
        <f t="shared" si="13"/>
        <v>100</v>
      </c>
      <c r="V43" s="765" t="s">
        <v>1135</v>
      </c>
      <c r="W43" s="766">
        <f t="shared" si="14"/>
        <v>100</v>
      </c>
      <c r="X43" s="758"/>
      <c r="Y43" s="3653"/>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49"/>
      <c r="Q44" s="764" t="str">
        <f t="shared" si="11"/>
        <v>内部装修维护情况</v>
      </c>
      <c r="R44" s="765" t="s">
        <v>1135</v>
      </c>
      <c r="S44" s="766">
        <f t="shared" si="12"/>
        <v>100</v>
      </c>
      <c r="T44" s="765" t="s">
        <v>1135</v>
      </c>
      <c r="U44" s="766">
        <f t="shared" si="13"/>
        <v>100</v>
      </c>
      <c r="V44" s="765" t="s">
        <v>1135</v>
      </c>
      <c r="W44" s="766">
        <f t="shared" si="14"/>
        <v>100</v>
      </c>
      <c r="X44" s="758"/>
      <c r="Y44" s="3653"/>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11"/>
        <v>111</v>
      </c>
      <c r="R45" s="759" t="s">
        <v>1135</v>
      </c>
      <c r="S45" s="760">
        <f t="shared" si="12"/>
        <v>100</v>
      </c>
      <c r="T45" s="759" t="s">
        <v>1135</v>
      </c>
      <c r="U45" s="760">
        <f t="shared" si="13"/>
        <v>100</v>
      </c>
      <c r="V45" s="759" t="s">
        <v>1135</v>
      </c>
      <c r="W45" s="760">
        <f t="shared" si="14"/>
        <v>100</v>
      </c>
      <c r="X45" s="761"/>
      <c r="Y45" s="3653"/>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11"/>
        <v>111</v>
      </c>
      <c r="R46" s="765" t="s">
        <v>1135</v>
      </c>
      <c r="S46" s="766">
        <f t="shared" si="12"/>
        <v>100</v>
      </c>
      <c r="T46" s="765" t="s">
        <v>1135</v>
      </c>
      <c r="U46" s="766">
        <f t="shared" si="13"/>
        <v>100</v>
      </c>
      <c r="V46" s="765" t="s">
        <v>1135</v>
      </c>
      <c r="W46" s="766">
        <f t="shared" si="14"/>
        <v>100</v>
      </c>
      <c r="X46" s="758"/>
      <c r="Y46" s="3653"/>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11"/>
        <v>111</v>
      </c>
      <c r="R47" s="765" t="s">
        <v>1135</v>
      </c>
      <c r="S47" s="766">
        <f t="shared" si="12"/>
        <v>100</v>
      </c>
      <c r="T47" s="765" t="s">
        <v>1135</v>
      </c>
      <c r="U47" s="766">
        <f t="shared" si="13"/>
        <v>100</v>
      </c>
      <c r="V47" s="765" t="s">
        <v>1135</v>
      </c>
      <c r="W47" s="766">
        <f t="shared" si="14"/>
        <v>100</v>
      </c>
      <c r="X47" s="758"/>
      <c r="Y47" s="3654"/>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3" t="str">
        <f>A48</f>
        <v>成交单价（元/平方米）</v>
      </c>
      <c r="Q48" s="3644"/>
      <c r="R48" s="3645">
        <f>E48</f>
        <v>19952</v>
      </c>
      <c r="S48" s="3645"/>
      <c r="T48" s="3645">
        <f>G48</f>
        <v>18904</v>
      </c>
      <c r="U48" s="3645"/>
      <c r="V48" s="3645">
        <f>I48</f>
        <v>23700</v>
      </c>
      <c r="W48" s="3645"/>
      <c r="X48" s="772"/>
      <c r="Y48" s="785"/>
      <c r="Z48" s="772"/>
      <c r="AA48" s="772"/>
      <c r="AB48" s="772"/>
      <c r="AC48" s="611"/>
    </row>
    <row r="49" spans="1:29" ht="15">
      <c r="A49" s="657" t="s">
        <v>1180</v>
      </c>
      <c r="B49" s="658"/>
      <c r="C49" s="659">
        <f>R50</f>
        <v>20696</v>
      </c>
      <c r="D49" s="660" t="s">
        <v>1181</v>
      </c>
      <c r="E49" s="661">
        <f>R49</f>
        <v>19179</v>
      </c>
      <c r="F49" s="662"/>
      <c r="G49" s="659">
        <f>T49</f>
        <v>18717</v>
      </c>
      <c r="H49" s="662"/>
      <c r="I49" s="661">
        <f>V49</f>
        <v>24191</v>
      </c>
      <c r="J49" s="662"/>
      <c r="K49" s="727">
        <f>F49+H49+J49</f>
        <v>0</v>
      </c>
      <c r="L49" s="726"/>
      <c r="M49" s="710"/>
      <c r="N49" s="710"/>
      <c r="O49" s="710"/>
      <c r="P49" s="3643" t="str">
        <f>A49</f>
        <v>比较价值（元/平方米）</v>
      </c>
      <c r="Q49" s="3644"/>
      <c r="R49" s="3645">
        <f>IF(F1="售价",ROUND(PRODUCT(R48,AA7:AA47),0),ROUND(PRODUCT(R48,AA7:AA47),1))</f>
        <v>19179</v>
      </c>
      <c r="S49" s="3645"/>
      <c r="T49" s="3645">
        <f>IF(F1="售价",ROUND(PRODUCT(T48,AB7:AB47),0),ROUND(PRODUCT(T48,AB7:AB47),1))</f>
        <v>18717</v>
      </c>
      <c r="U49" s="3645"/>
      <c r="V49" s="3645">
        <f>IF(F1="售价",ROUND(PRODUCT(V48,AC7:AC47),0),ROUND(PRODUCT(V48,AC7:AC47),1))</f>
        <v>24191</v>
      </c>
      <c r="W49" s="3645"/>
      <c r="X49" s="772"/>
      <c r="Y49" s="772"/>
      <c r="Z49" s="772"/>
      <c r="AA49" s="772"/>
      <c r="AB49" s="772"/>
      <c r="AC49" s="611"/>
    </row>
    <row r="50" spans="1:29" ht="15">
      <c r="A50" s="663" t="s">
        <v>1182</v>
      </c>
      <c r="B50" s="664"/>
      <c r="C50" s="665">
        <f>R50</f>
        <v>20696</v>
      </c>
      <c r="D50" s="665"/>
      <c r="E50" s="665"/>
      <c r="F50" s="665"/>
      <c r="G50" s="665"/>
      <c r="H50" s="665"/>
      <c r="I50" s="665"/>
      <c r="J50" s="728"/>
      <c r="K50" s="729"/>
      <c r="L50" s="726"/>
      <c r="M50" s="710"/>
      <c r="N50" s="710"/>
      <c r="O50" s="710"/>
      <c r="P50" s="3655" t="str">
        <f>A50</f>
        <v>估价对象XX用房的比较价值（楼面单价，元/平方米）</v>
      </c>
      <c r="Q50" s="3656"/>
      <c r="R50" s="3657">
        <f>IF(F1="售价",ROUND(IF(D49="简单平均",AVERAGE(R49:V49),R49*F49+T49*H49+V49*J49),0),ROUND(IF(D49="简单平均",AVERAGE(R49:V49),R49*F49+T49*H49+V49*J49),1))</f>
        <v>20696</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4.0304499713228026E-2</v>
      </c>
      <c r="F53" s="671" t="str">
        <f>IF(OR(E53&gt;=0.3,E53&lt;=-0.3),"超过30%","")</f>
        <v/>
      </c>
      <c r="G53" s="670">
        <f>IF(G48&lt;G49,G49/G48-1,G48/G49-1)</f>
        <v>9.9909173478656133E-3</v>
      </c>
      <c r="H53" s="671" t="str">
        <f>IF(OR(G53&gt;=0.3,G53&lt;=-0.3),"超过30%","")</f>
        <v/>
      </c>
      <c r="I53" s="670">
        <f>IF(I48&lt;I49,I49/I48-1,I48/I49-1)</f>
        <v>2.0717299578059123E-2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2.4683442859432692E-2</v>
      </c>
      <c r="F54" s="671" t="str">
        <f>IF(OR(E54&gt;=0.2,E54&lt;=-0.2),"超过20%","")</f>
        <v/>
      </c>
      <c r="G54" s="670">
        <f>IF(G49&lt;I49,I49/G49-1,G49/I49-1)</f>
        <v>0.2924613987284288</v>
      </c>
      <c r="H54" s="671" t="str">
        <f>IF(OR(G54&gt;=0.2,G54&lt;=-0.2),"超过20%","")</f>
        <v>超过20%</v>
      </c>
      <c r="I54" s="670">
        <f>IF(I49&lt;E49,E49/I49-1,I49/E49-1)</f>
        <v>0.26132749361280561</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1105.3800000000001</v>
      </c>
      <c r="C4" s="3352">
        <f>项目基本情况!C18</f>
        <v>0</v>
      </c>
      <c r="D4" s="3352">
        <f>结果表!D118</f>
        <v>0</v>
      </c>
      <c r="E4" s="3352">
        <f>结果表!E118</f>
        <v>0</v>
      </c>
      <c r="F4" s="3352">
        <f>结果表!F118</f>
        <v>0</v>
      </c>
      <c r="G4" s="3352">
        <f>结果表!G118</f>
        <v>0</v>
      </c>
      <c r="H4" s="3352">
        <f ca="1">结果表!H118</f>
        <v>1978</v>
      </c>
      <c r="I4" s="3352">
        <f ca="1">结果表!I118</f>
        <v>17895</v>
      </c>
    </row>
    <row r="5" spans="1:9" ht="30" customHeight="1">
      <c r="A5" s="3447" t="s">
        <v>112</v>
      </c>
      <c r="B5" s="3447"/>
      <c r="C5" s="3447"/>
      <c r="D5" s="3447" t="str">
        <f>结果表!D119</f>
        <v>零元整</v>
      </c>
      <c r="E5" s="3447"/>
      <c r="F5" s="3447" t="str">
        <f>结果表!F119</f>
        <v>零元整</v>
      </c>
      <c r="G5" s="3447"/>
      <c r="H5" s="3447" t="str">
        <f ca="1">结果表!H119</f>
        <v>壹仟玖佰柒拾捌万元整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
      </c>
      <c r="B8" s="3448"/>
      <c r="C8" s="3448"/>
      <c r="D8" s="3448" t="str">
        <f>结果表!D122</f>
        <v>——</v>
      </c>
      <c r="E8" s="3448"/>
      <c r="F8" s="3448"/>
      <c r="G8" s="3448"/>
      <c r="H8" s="3448"/>
      <c r="I8" s="3448"/>
    </row>
    <row r="9" spans="1:9" ht="15">
      <c r="A9" s="3447" t="s">
        <v>112</v>
      </c>
      <c r="B9" s="3447"/>
      <c r="C9" s="3447"/>
      <c r="D9" s="3447" t="e">
        <f>结果表!D123</f>
        <v>#VALUE!</v>
      </c>
      <c r="E9" s="3447"/>
      <c r="F9" s="3447"/>
      <c r="G9" s="3447"/>
      <c r="H9" s="3447"/>
      <c r="I9" s="3447"/>
    </row>
    <row r="10" spans="1:9" ht="15.75">
      <c r="A10" s="3448" t="str">
        <f>结果表!A124</f>
        <v>抵押担保权已注销时的房地产抵押价值</v>
      </c>
      <c r="B10" s="3448"/>
      <c r="C10" s="3448"/>
      <c r="D10" s="3448">
        <f ca="1">结果表!D124</f>
        <v>1978</v>
      </c>
      <c r="E10" s="3448"/>
      <c r="F10" s="3448"/>
      <c r="G10" s="3448"/>
      <c r="H10" s="3448"/>
      <c r="I10" s="3448"/>
    </row>
    <row r="11" spans="1:9" ht="15">
      <c r="A11" s="3447" t="s">
        <v>112</v>
      </c>
      <c r="B11" s="3447"/>
      <c r="C11" s="3447"/>
      <c r="D11" s="3447" t="str">
        <f ca="1">结果表!D125</f>
        <v>壹仟玖佰柒拾捌万元整</v>
      </c>
      <c r="E11" s="3447"/>
      <c r="F11" s="3447"/>
      <c r="G11" s="3447"/>
      <c r="H11" s="3447"/>
      <c r="I11" s="3447"/>
    </row>
    <row r="12" spans="1:9" ht="15.75">
      <c r="A12" s="3448" t="str">
        <f>结果表!A126</f>
        <v>抵押净值</v>
      </c>
      <c r="B12" s="3448"/>
      <c r="C12" s="3448"/>
      <c r="D12" s="3448">
        <f ca="1">结果表!D126</f>
        <v>1939</v>
      </c>
      <c r="E12" s="3448"/>
      <c r="F12" s="3448"/>
      <c r="G12" s="3448"/>
      <c r="H12" s="3448"/>
      <c r="I12" s="3448"/>
    </row>
    <row r="13" spans="1:9" ht="15">
      <c r="A13" s="3452" t="s">
        <v>112</v>
      </c>
      <c r="B13" s="3452"/>
      <c r="C13" s="3452"/>
      <c r="D13" s="3452" t="str">
        <f ca="1">结果表!D127</f>
        <v>壹仟玖佰叁拾玖万元整</v>
      </c>
      <c r="E13" s="3452"/>
      <c r="F13" s="3452"/>
      <c r="G13" s="3452"/>
      <c r="H13" s="3452"/>
      <c r="I13" s="3452"/>
    </row>
    <row r="14" spans="1:9">
      <c r="A14" s="3453" t="s">
        <v>113</v>
      </c>
      <c r="B14" s="3453"/>
      <c r="C14" s="3453"/>
      <c r="D14" s="3453"/>
      <c r="E14" s="3453"/>
      <c r="F14" s="3453"/>
      <c r="G14" s="3453"/>
      <c r="H14" s="3453"/>
      <c r="I14" s="3453"/>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54" t="s">
        <v>114</v>
      </c>
      <c r="B1" s="3454"/>
      <c r="C1" s="3454"/>
      <c r="D1" s="3454"/>
    </row>
    <row r="2" spans="1:4" ht="18">
      <c r="A2" s="3455" t="s">
        <v>115</v>
      </c>
      <c r="B2" s="3455"/>
      <c r="C2" s="3455"/>
      <c r="D2" s="3455"/>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55" t="s">
        <v>121</v>
      </c>
      <c r="B6" s="3455"/>
      <c r="C6" s="3455"/>
      <c r="D6" s="3455"/>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7"/>
      <c r="C20" s="3457"/>
      <c r="D20" s="3457"/>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1"/>
      <c r="C21" s="3461"/>
      <c r="D21" s="3461"/>
    </row>
    <row r="22" spans="1:4" ht="18.75" customHeight="1">
      <c r="A22" s="3462" t="s">
        <v>129</v>
      </c>
      <c r="B22" s="3462"/>
      <c r="C22" s="3462"/>
      <c r="D22" s="3462"/>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45365</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2024-03-14T02:27:03Z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