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保利大厦\"/>
    </mc:Choice>
  </mc:AlternateContent>
  <bookViews>
    <workbookView xWindow="11628" yWindow="168" windowWidth="11388" windowHeight="9468" tabRatio="899" firstSheet="12"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明细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state="hidden" r:id="rId18"/>
    <sheet name="结果表" sheetId="9" r:id="rId19"/>
    <sheet name="成本法-酒店" sheetId="79" r:id="rId20"/>
    <sheet name="成本法-剧院" sheetId="68"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1层" sheetId="33" r:id="rId29"/>
    <sheet name="比较法-办公" sheetId="34" r:id="rId30"/>
    <sheet name="案例" sheetId="78"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商业"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'比较法-商业1层'!$A$1:$L$49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'比较法-商业1层'!$B$116:$M$116</definedName>
    <definedName name="商业成新度">'比较法-商业1层'!$B$109:$M$109</definedName>
    <definedName name="商业繁华度">定义!$L$1:$L$6</definedName>
    <definedName name="商业公共部分装修">'比较法-商业1层'!$B$107:$M$107</definedName>
    <definedName name="商业基础设施水平">'比较法-商业1层'!$B$112:$M$112</definedName>
    <definedName name="商业建筑结构">'比较法-商业1层'!$B$105:$M$105</definedName>
    <definedName name="商业交易情况">'比较法-商业1层'!$A$61:$M$61</definedName>
    <definedName name="商业街名称">修正!$C$59:$C$119</definedName>
    <definedName name="商业进深比">'比较法-商业1层'!$B$120:$M$120</definedName>
    <definedName name="商业类型">'比较法-商业1层'!$B$100:$M$100</definedName>
    <definedName name="商业临街状况">'比较法-商业1层'!$B$86:$M$86</definedName>
    <definedName name="商业楼层">'比较法-商业1层'!$B$92:$M$92</definedName>
    <definedName name="商业内部装修">'比较法-商业1层'!$B$122:$M$122</definedName>
    <definedName name="商业人流量">'比较法-商业1层'!$B$90:$M$90</definedName>
    <definedName name="商业业态">'比较法-商业1层'!$B$114:$M$114</definedName>
    <definedName name="商业用途">'比较法-商业1层'!$B$63:$M$63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25" i="9" l="1"/>
  <c r="K25" i="9"/>
  <c r="L24" i="9"/>
  <c r="K24" i="9"/>
  <c r="E4" i="31"/>
  <c r="F4" i="31"/>
  <c r="G4" i="31" s="1"/>
  <c r="H4" i="31" s="1"/>
  <c r="I4" i="31" s="1"/>
  <c r="J4" i="31" s="1"/>
  <c r="D4" i="31"/>
  <c r="E3" i="31"/>
  <c r="F3" i="31"/>
  <c r="G3" i="31" s="1"/>
  <c r="H3" i="31" s="1"/>
  <c r="I3" i="31" s="1"/>
  <c r="J3" i="31" s="1"/>
  <c r="D3" i="31"/>
  <c r="F19" i="6"/>
  <c r="I13" i="3"/>
  <c r="J11" i="77"/>
  <c r="J10" i="77"/>
  <c r="J9" i="77"/>
  <c r="B25" i="31"/>
  <c r="B24" i="31"/>
  <c r="E105" i="34"/>
  <c r="F105" i="34" s="1"/>
  <c r="G105" i="34" s="1"/>
  <c r="H105" i="34" s="1"/>
  <c r="I105" i="34" s="1"/>
  <c r="J105" i="34" s="1"/>
  <c r="D105" i="34"/>
  <c r="E104" i="34"/>
  <c r="F104" i="34"/>
  <c r="G104" i="34" s="1"/>
  <c r="H104" i="34" s="1"/>
  <c r="I104" i="34" s="1"/>
  <c r="J104" i="34" s="1"/>
  <c r="D104" i="34"/>
  <c r="C37" i="34"/>
  <c r="G41" i="79"/>
  <c r="F38" i="79"/>
  <c r="E37" i="79"/>
  <c r="F36" i="79"/>
  <c r="F35" i="79"/>
  <c r="F34" i="79"/>
  <c r="F30" i="79"/>
  <c r="G22" i="79"/>
  <c r="F21" i="79"/>
  <c r="C21" i="79" s="1"/>
  <c r="F20" i="79"/>
  <c r="E19" i="79"/>
  <c r="C19" i="79"/>
  <c r="E10" i="79"/>
  <c r="E9" i="79"/>
  <c r="C8" i="79"/>
  <c r="F7" i="79"/>
  <c r="G1" i="79"/>
  <c r="E2" i="79"/>
  <c r="C36" i="79"/>
  <c r="F27" i="79"/>
  <c r="C29" i="79" l="1"/>
  <c r="D27" i="79" s="1"/>
  <c r="C40" i="79"/>
  <c r="N9" i="1"/>
  <c r="L8" i="1"/>
  <c r="AN13" i="3"/>
  <c r="AL13" i="3"/>
  <c r="J15" i="77"/>
  <c r="J14" i="77"/>
  <c r="O13" i="3"/>
  <c r="M13" i="3"/>
  <c r="F21" i="6"/>
  <c r="F22" i="6"/>
  <c r="C20" i="6"/>
  <c r="C19" i="6"/>
  <c r="D9" i="79"/>
  <c r="C9" i="79" l="1"/>
  <c r="C47" i="79"/>
  <c r="D45" i="79" s="1"/>
  <c r="J16" i="77" l="1"/>
  <c r="J13" i="77"/>
  <c r="N15" i="77"/>
  <c r="N16" i="77" s="1"/>
  <c r="J12" i="77"/>
  <c r="K13" i="3" l="1"/>
  <c r="F20" i="6"/>
  <c r="C34" i="34"/>
  <c r="N14" i="1"/>
  <c r="N7" i="1"/>
  <c r="N6" i="1"/>
  <c r="N8" i="1" s="1"/>
  <c r="AH5" i="71" l="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V1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O55" i="71" s="1"/>
  <c r="B55" i="71"/>
  <c r="S55" i="71"/>
  <c r="B54" i="71"/>
  <c r="N54" i="71" s="1"/>
  <c r="D52" i="71"/>
  <c r="Q51" i="71"/>
  <c r="P51" i="71"/>
  <c r="O51" i="71"/>
  <c r="N51" i="71"/>
  <c r="Q50" i="71"/>
  <c r="P50" i="71"/>
  <c r="O50" i="71"/>
  <c r="N50" i="71"/>
  <c r="Q49" i="71"/>
  <c r="P49" i="71"/>
  <c r="O49" i="71"/>
  <c r="N49" i="71"/>
  <c r="Q48" i="71"/>
  <c r="F49" i="71" s="1"/>
  <c r="F50" i="71" s="1"/>
  <c r="F51" i="71" s="1"/>
  <c r="V51" i="71" s="1"/>
  <c r="P48" i="71"/>
  <c r="E49" i="71"/>
  <c r="O48" i="71"/>
  <c r="C49" i="71"/>
  <c r="C50"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C41" i="71"/>
  <c r="C42" i="71" s="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P36" i="71"/>
  <c r="E37" i="71"/>
  <c r="E38" i="71" s="1"/>
  <c r="E39" i="7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c r="U31" i="71" s="1"/>
  <c r="O28" i="71"/>
  <c r="C29" i="71" s="1"/>
  <c r="N28" i="71"/>
  <c r="B29" i="71" s="1"/>
  <c r="B30" i="71" s="1"/>
  <c r="B31" i="71" s="1"/>
  <c r="S31" i="71" s="1"/>
  <c r="D28" i="71"/>
  <c r="Q27" i="71"/>
  <c r="P27" i="71"/>
  <c r="O27" i="71"/>
  <c r="N27" i="71"/>
  <c r="AB26" i="71"/>
  <c r="Q26" i="71"/>
  <c r="P26" i="71"/>
  <c r="AA26" i="71" s="1"/>
  <c r="O26" i="71"/>
  <c r="Y26" i="71"/>
  <c r="Z26" i="71" s="1"/>
  <c r="N26" i="71"/>
  <c r="X26" i="71" s="1"/>
  <c r="Q25" i="71"/>
  <c r="AB25" i="71" s="1"/>
  <c r="P25" i="71"/>
  <c r="AA25" i="71" s="1"/>
  <c r="O25" i="71"/>
  <c r="Y25" i="71"/>
  <c r="Z25" i="71" s="1"/>
  <c r="N25" i="71"/>
  <c r="Q24" i="71"/>
  <c r="F25" i="71" s="1"/>
  <c r="F26" i="71" s="1"/>
  <c r="F27" i="71" s="1"/>
  <c r="V27" i="71" s="1"/>
  <c r="P24" i="71"/>
  <c r="O24" i="71"/>
  <c r="N24" i="71"/>
  <c r="B25" i="71" s="1"/>
  <c r="B26" i="71" s="1"/>
  <c r="B27" i="71" s="1"/>
  <c r="S27" i="71" s="1"/>
  <c r="D24" i="71"/>
  <c r="Q23" i="71"/>
  <c r="AB23" i="71" s="1"/>
  <c r="P23" i="71"/>
  <c r="AA22" i="71" s="1"/>
  <c r="O23" i="71"/>
  <c r="Y23" i="71"/>
  <c r="Z23" i="71" s="1"/>
  <c r="N23" i="71"/>
  <c r="Q22" i="71"/>
  <c r="AB22" i="71"/>
  <c r="P22" i="71"/>
  <c r="O22" i="71"/>
  <c r="Y22" i="71" s="1"/>
  <c r="Z22" i="71" s="1"/>
  <c r="N22" i="71"/>
  <c r="Q21" i="71"/>
  <c r="AB21" i="71" s="1"/>
  <c r="P21" i="71"/>
  <c r="AA21" i="71" s="1"/>
  <c r="O21" i="71"/>
  <c r="Y21" i="71"/>
  <c r="Z21" i="71" s="1"/>
  <c r="N21" i="71"/>
  <c r="Q20" i="71"/>
  <c r="F21" i="71" s="1"/>
  <c r="F22" i="71" s="1"/>
  <c r="F23" i="71" s="1"/>
  <c r="V23" i="71" s="1"/>
  <c r="P20" i="71"/>
  <c r="O20" i="71"/>
  <c r="N20" i="71"/>
  <c r="D20" i="71"/>
  <c r="Q19" i="71"/>
  <c r="AB19" i="71" s="1"/>
  <c r="P19" i="71"/>
  <c r="O19" i="71"/>
  <c r="Y19" i="71"/>
  <c r="Z19" i="71" s="1"/>
  <c r="N19" i="71"/>
  <c r="X18" i="71" s="1"/>
  <c r="Q18" i="71"/>
  <c r="AB18" i="71"/>
  <c r="P18" i="71"/>
  <c r="O18" i="71"/>
  <c r="Y18" i="71" s="1"/>
  <c r="Z18" i="71" s="1"/>
  <c r="N18" i="71"/>
  <c r="Q17" i="71"/>
  <c r="AB17" i="71" s="1"/>
  <c r="P17" i="71"/>
  <c r="O17" i="71"/>
  <c r="Y17" i="71"/>
  <c r="Z17" i="71" s="1"/>
  <c r="N17" i="71"/>
  <c r="X17" i="71" s="1"/>
  <c r="Q16" i="71"/>
  <c r="F17" i="71" s="1"/>
  <c r="F18" i="71" s="1"/>
  <c r="F19" i="71" s="1"/>
  <c r="V19" i="71" s="1"/>
  <c r="P16" i="71"/>
  <c r="E17" i="71" s="1"/>
  <c r="E18" i="71" s="1"/>
  <c r="E19" i="71" s="1"/>
  <c r="U19" i="71" s="1"/>
  <c r="O16" i="71"/>
  <c r="N16" i="71"/>
  <c r="X12" i="71" s="1"/>
  <c r="D16" i="71"/>
  <c r="O15" i="71"/>
  <c r="C15" i="71" s="1"/>
  <c r="N15" i="71"/>
  <c r="B17" i="71"/>
  <c r="B18" i="71" s="1"/>
  <c r="B19" i="71" s="1"/>
  <c r="S19" i="71" s="1"/>
  <c r="X16" i="71"/>
  <c r="B21" i="71"/>
  <c r="B22" i="71" s="1"/>
  <c r="B23" i="71" s="1"/>
  <c r="S23" i="71" s="1"/>
  <c r="X20" i="71"/>
  <c r="E25" i="71"/>
  <c r="E26" i="71" s="1"/>
  <c r="E27" i="71" s="1"/>
  <c r="U27" i="71" s="1"/>
  <c r="AA24" i="71"/>
  <c r="N55" i="71"/>
  <c r="E21" i="71"/>
  <c r="E22" i="71" s="1"/>
  <c r="E23" i="71" s="1"/>
  <c r="U23" i="71" s="1"/>
  <c r="AA20" i="71"/>
  <c r="C17" i="71"/>
  <c r="Y16" i="71"/>
  <c r="Z16" i="71" s="1"/>
  <c r="AB16" i="71"/>
  <c r="AA17" i="71"/>
  <c r="AA18" i="71"/>
  <c r="AA19" i="71"/>
  <c r="C21" i="71"/>
  <c r="C22" i="71"/>
  <c r="C23" i="71" s="1"/>
  <c r="X21" i="71"/>
  <c r="X22" i="71"/>
  <c r="X23" i="71"/>
  <c r="C25" i="71"/>
  <c r="D25" i="71" s="1"/>
  <c r="Y24" i="71"/>
  <c r="Z24" i="71"/>
  <c r="X25" i="71"/>
  <c r="F38" i="71"/>
  <c r="F39" i="71" s="1"/>
  <c r="V39" i="71" s="1"/>
  <c r="Y3" i="71"/>
  <c r="Z3" i="71" s="1"/>
  <c r="Y12" i="71"/>
  <c r="Z12" i="71" s="1"/>
  <c r="Y13" i="71"/>
  <c r="Z13" i="71" s="1"/>
  <c r="Y14" i="71"/>
  <c r="Z14" i="71" s="1"/>
  <c r="Y15" i="71"/>
  <c r="Z15" i="71" s="1"/>
  <c r="B15" i="71"/>
  <c r="B14" i="71" s="1"/>
  <c r="B13" i="71" s="1"/>
  <c r="X13" i="71"/>
  <c r="X15" i="71"/>
  <c r="C18" i="71"/>
  <c r="D17" i="71"/>
  <c r="D21" i="71"/>
  <c r="C26" i="71"/>
  <c r="C27" i="71" s="1"/>
  <c r="C30" i="71"/>
  <c r="C31" i="71" s="1"/>
  <c r="D29" i="71"/>
  <c r="C34" i="71"/>
  <c r="D34" i="71" s="1"/>
  <c r="D33" i="71"/>
  <c r="C38" i="71"/>
  <c r="D37" i="71"/>
  <c r="P15" i="71"/>
  <c r="E42" i="71"/>
  <c r="E43" i="71" s="1"/>
  <c r="U43" i="71" s="1"/>
  <c r="E50" i="71"/>
  <c r="E51" i="71" s="1"/>
  <c r="U51" i="71" s="1"/>
  <c r="U55" i="71"/>
  <c r="E54" i="71"/>
  <c r="Q15" i="71"/>
  <c r="AB12" i="71" s="1"/>
  <c r="D41" i="71"/>
  <c r="C46" i="71"/>
  <c r="D45" i="71"/>
  <c r="D49" i="71"/>
  <c r="B53" i="71"/>
  <c r="N53" i="71" s="1"/>
  <c r="T55" i="71"/>
  <c r="D55" i="71"/>
  <c r="Q55" i="71"/>
  <c r="C58" i="71"/>
  <c r="E58" i="71"/>
  <c r="E57" i="71" s="1"/>
  <c r="D59" i="71"/>
  <c r="C62" i="71"/>
  <c r="E62" i="71"/>
  <c r="E61" i="71" s="1"/>
  <c r="D63" i="71"/>
  <c r="C66" i="71"/>
  <c r="E66" i="71"/>
  <c r="E65" i="71" s="1"/>
  <c r="D67" i="71"/>
  <c r="C70" i="71"/>
  <c r="C74" i="71"/>
  <c r="C73" i="71" s="1"/>
  <c r="D73" i="71" s="1"/>
  <c r="F15" i="71"/>
  <c r="F14" i="71" s="1"/>
  <c r="F13" i="71" s="1"/>
  <c r="AB13" i="71"/>
  <c r="AB15" i="71"/>
  <c r="E15" i="71"/>
  <c r="E14" i="71"/>
  <c r="E13" i="71" s="1"/>
  <c r="AA3" i="71"/>
  <c r="AA13" i="71"/>
  <c r="AA15" i="71"/>
  <c r="D70" i="71"/>
  <c r="C69" i="71"/>
  <c r="D69" i="71"/>
  <c r="D62" i="71"/>
  <c r="C61" i="71"/>
  <c r="D61" i="71" s="1"/>
  <c r="N52" i="71"/>
  <c r="D74" i="71"/>
  <c r="D66" i="71"/>
  <c r="C65" i="71"/>
  <c r="D65" i="71" s="1"/>
  <c r="D58" i="71"/>
  <c r="C57" i="71"/>
  <c r="D57" i="71"/>
  <c r="C47" i="71"/>
  <c r="D46" i="71"/>
  <c r="P54" i="71"/>
  <c r="E53" i="71"/>
  <c r="P52" i="71" s="1"/>
  <c r="C39" i="71"/>
  <c r="D38" i="71"/>
  <c r="D30" i="71"/>
  <c r="D26" i="71"/>
  <c r="D22" i="71"/>
  <c r="D18" i="71"/>
  <c r="V15" i="71"/>
  <c r="P53" i="71"/>
  <c r="T39" i="71"/>
  <c r="D39"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H21" i="21"/>
  <c r="U21" i="21" s="1"/>
  <c r="F38" i="69"/>
  <c r="E37" i="69"/>
  <c r="F36" i="69"/>
  <c r="F35" i="69"/>
  <c r="F21" i="69"/>
  <c r="C21" i="69" s="1"/>
  <c r="F20" i="69"/>
  <c r="E10" i="69"/>
  <c r="E9" i="69"/>
  <c r="C7" i="69"/>
  <c r="AC21" i="37"/>
  <c r="AC21" i="34"/>
  <c r="AB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F99" i="43"/>
  <c r="F108" i="43" s="1"/>
  <c r="G99" i="43"/>
  <c r="G108" i="43" s="1"/>
  <c r="H99" i="43"/>
  <c r="H108" i="43" s="1"/>
  <c r="I99" i="43"/>
  <c r="J99" i="43"/>
  <c r="J108" i="43" s="1"/>
  <c r="K99" i="43"/>
  <c r="K108" i="43" s="1"/>
  <c r="L99" i="43"/>
  <c r="M99" i="43"/>
  <c r="C99" i="43"/>
  <c r="C108" i="43" s="1"/>
  <c r="N100" i="43"/>
  <c r="D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D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c r="O8" i="31" s="1"/>
  <c r="P8" i="31" s="1"/>
  <c r="Q8" i="31" s="1"/>
  <c r="R8" i="31" s="1"/>
  <c r="S8" i="31" s="1"/>
  <c r="D6" i="31"/>
  <c r="E6" i="31" s="1"/>
  <c r="F6" i="31"/>
  <c r="G6" i="31" s="1"/>
  <c r="H6" i="31" s="1"/>
  <c r="I6" i="31" s="1"/>
  <c r="J6" i="31"/>
  <c r="K6" i="31" s="1"/>
  <c r="L6" i="31" s="1"/>
  <c r="M6" i="31" s="1"/>
  <c r="N6" i="31" s="1"/>
  <c r="O6" i="31" s="1"/>
  <c r="P6" i="31" s="1"/>
  <c r="Q6" i="31" s="1"/>
  <c r="R6" i="31"/>
  <c r="S6" i="31" s="1"/>
  <c r="B2" i="1"/>
  <c r="F15" i="4"/>
  <c r="F9" i="1"/>
  <c r="G9" i="1" s="1"/>
  <c r="F10" i="1"/>
  <c r="F11" i="1"/>
  <c r="F12" i="1"/>
  <c r="F13" i="1"/>
  <c r="G13" i="1" s="1"/>
  <c r="D6" i="1"/>
  <c r="D9" i="1"/>
  <c r="D10" i="1"/>
  <c r="D11" i="1"/>
  <c r="D12" i="1"/>
  <c r="D13" i="1"/>
  <c r="D7" i="1"/>
  <c r="D8" i="1"/>
  <c r="A7" i="1"/>
  <c r="B7" i="1" s="1"/>
  <c r="E7" i="1" s="1"/>
  <c r="A8" i="1"/>
  <c r="B8" i="1" s="1"/>
  <c r="E8" i="1" s="1"/>
  <c r="A9" i="1"/>
  <c r="A10" i="1"/>
  <c r="A11" i="1"/>
  <c r="A12" i="1"/>
  <c r="A13" i="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S26" i="31" s="1"/>
  <c r="R27" i="31"/>
  <c r="S27" i="31" s="1"/>
  <c r="R28" i="31"/>
  <c r="S28" i="31" s="1"/>
  <c r="R29" i="31"/>
  <c r="S29" i="31" s="1"/>
  <c r="R30"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I15" i="4"/>
  <c r="H15" i="4"/>
  <c r="G15" i="4"/>
  <c r="E15" i="4"/>
  <c r="F8" i="1" s="1"/>
  <c r="G8" i="1" s="1"/>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1" i="6" s="1"/>
  <c r="K8" i="1" s="1"/>
  <c r="M8"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6" i="31"/>
  <c r="S192" i="31"/>
  <c r="S137" i="31"/>
  <c r="S129" i="31"/>
  <c r="S497" i="31"/>
  <c r="S489" i="31"/>
  <c r="S481" i="31"/>
  <c r="S473" i="31"/>
  <c r="S441" i="31"/>
  <c r="S433" i="31"/>
  <c r="S463" i="31"/>
  <c r="S455" i="31"/>
  <c r="S76" i="31"/>
  <c r="S24" i="31"/>
  <c r="S30" i="31"/>
  <c r="S449" i="31"/>
  <c r="S513"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21"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F13" i="39" s="1"/>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H38" i="37" s="1"/>
  <c r="C23" i="37"/>
  <c r="C19" i="37"/>
  <c r="C17" i="37"/>
  <c r="C15" i="37"/>
  <c r="B112" i="37"/>
  <c r="D107" i="37"/>
  <c r="E107" i="37" s="1"/>
  <c r="F107" i="37" s="1"/>
  <c r="G107" i="37" s="1"/>
  <c r="H107" i="37" s="1"/>
  <c r="I107" i="37" s="1"/>
  <c r="J107" i="37" s="1"/>
  <c r="K107" i="37" s="1"/>
  <c r="L107" i="37" s="1"/>
  <c r="M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J46" i="34" s="1"/>
  <c r="B127" i="34"/>
  <c r="B99" i="34"/>
  <c r="F32" i="34" s="1"/>
  <c r="B97" i="34"/>
  <c r="B95" i="34"/>
  <c r="H30" i="34" s="1"/>
  <c r="B93" i="34"/>
  <c r="B75" i="34"/>
  <c r="B73" i="34"/>
  <c r="B71" i="34"/>
  <c r="F12" i="34" s="1"/>
  <c r="S12" i="34" s="1"/>
  <c r="B130" i="33"/>
  <c r="B128" i="33"/>
  <c r="B126" i="33"/>
  <c r="B98" i="33"/>
  <c r="F31" i="33" s="1"/>
  <c r="B96" i="33"/>
  <c r="B94" i="33"/>
  <c r="B74" i="33"/>
  <c r="B72" i="33"/>
  <c r="J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H46" i="21" s="1"/>
  <c r="B128" i="21"/>
  <c r="J45" i="21"/>
  <c r="W45" i="21" s="1"/>
  <c r="B126" i="21"/>
  <c r="J44" i="21" s="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U35" i="33"/>
  <c r="W33"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S19" i="34" s="1"/>
  <c r="H17" i="34"/>
  <c r="U17" i="34"/>
  <c r="F15" i="34"/>
  <c r="J15" i="34"/>
  <c r="AC15" i="34" s="1"/>
  <c r="H15" i="34"/>
  <c r="AB15" i="34"/>
  <c r="W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AC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F27" i="33"/>
  <c r="AA27" i="33"/>
  <c r="H13" i="33"/>
  <c r="AB13" i="33" s="1"/>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AB14" i="34" s="1"/>
  <c r="F30" i="34"/>
  <c r="S30" i="34" s="1"/>
  <c r="J30" i="34"/>
  <c r="W30" i="34" s="1"/>
  <c r="H32" i="34"/>
  <c r="AB32" i="34" s="1"/>
  <c r="J32" i="34"/>
  <c r="W32" i="34" s="1"/>
  <c r="H46" i="34"/>
  <c r="U46" i="34" s="1"/>
  <c r="F46" i="34"/>
  <c r="AA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AC14" i="39" s="1"/>
  <c r="F14" i="39"/>
  <c r="AA14" i="39" s="1"/>
  <c r="H14" i="39"/>
  <c r="AB14" i="39"/>
  <c r="F12" i="40"/>
  <c r="S12" i="40"/>
  <c r="H12" i="40"/>
  <c r="AB12" i="40"/>
  <c r="H30" i="40"/>
  <c r="AB30" i="40"/>
  <c r="F33" i="40"/>
  <c r="AA33" i="40"/>
  <c r="H33" i="40"/>
  <c r="U33" i="40"/>
  <c r="J35" i="40"/>
  <c r="AC35" i="40"/>
  <c r="J37" i="40"/>
  <c r="AC37" i="40"/>
  <c r="F14" i="37"/>
  <c r="S14" i="37"/>
  <c r="F27" i="37"/>
  <c r="AA27" i="37"/>
  <c r="J13" i="39"/>
  <c r="W13" i="39" s="1"/>
  <c r="H13" i="39"/>
  <c r="AB13" i="39" s="1"/>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AZ495" i="3" s="1"/>
  <c r="BQ493" i="3"/>
  <c r="AZ584" i="3"/>
  <c r="S501" i="31"/>
  <c r="O27" i="31"/>
  <c r="O28" i="31"/>
  <c r="O26" i="31"/>
  <c r="M27" i="31"/>
  <c r="M28" i="31"/>
  <c r="M26" i="31"/>
  <c r="I26" i="31"/>
  <c r="I25" i="31"/>
  <c r="Q26" i="31"/>
  <c r="K26" i="31"/>
  <c r="I27" i="31"/>
  <c r="Q27" i="31"/>
  <c r="K27" i="31"/>
  <c r="I28" i="31"/>
  <c r="Q28" i="31"/>
  <c r="K28" i="31"/>
  <c r="H25" i="21"/>
  <c r="U25" i="21"/>
  <c r="F25" i="21"/>
  <c r="S25" i="21"/>
  <c r="J25" i="21"/>
  <c r="AC25" i="21"/>
  <c r="H43" i="33"/>
  <c r="AB43" i="33"/>
  <c r="H17" i="37"/>
  <c r="U17" i="37"/>
  <c r="AB27" i="37"/>
  <c r="U32" i="33"/>
  <c r="AA36" i="39"/>
  <c r="F39" i="33"/>
  <c r="AA39" i="33" s="1"/>
  <c r="E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U43" i="33"/>
  <c r="U14" i="40"/>
  <c r="AC32" i="36"/>
  <c r="U35" i="35"/>
  <c r="W23" i="35"/>
  <c r="W14" i="37"/>
  <c r="U33" i="37"/>
  <c r="U39" i="37"/>
  <c r="W26" i="37"/>
  <c r="AC8" i="37"/>
  <c r="U26" i="37"/>
  <c r="W47" i="34"/>
  <c r="W37" i="34"/>
  <c r="AC36" i="34"/>
  <c r="AC31" i="33"/>
  <c r="W44" i="33"/>
  <c r="U11" i="33"/>
  <c r="U19" i="21"/>
  <c r="U26" i="21"/>
  <c r="U12" i="21"/>
  <c r="AB38" i="21"/>
  <c r="F43" i="33"/>
  <c r="AA43" i="33" s="1"/>
  <c r="W15" i="34"/>
  <c r="W16" i="35"/>
  <c r="H37" i="21"/>
  <c r="U37"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c r="J50" i="40"/>
  <c r="B54" i="72"/>
  <c r="H103" i="9"/>
  <c r="D8" i="53"/>
  <c r="B16" i="53"/>
  <c r="B33" i="72"/>
  <c r="C7" i="37"/>
  <c r="C7" i="34"/>
  <c r="C59" i="34" s="1"/>
  <c r="C7" i="36"/>
  <c r="W35" i="40"/>
  <c r="A118" i="9"/>
  <c r="A4" i="52"/>
  <c r="B41" i="72" s="1"/>
  <c r="J11" i="39"/>
  <c r="W11" i="39" s="1"/>
  <c r="F11" i="39"/>
  <c r="AA11" i="39" s="1"/>
  <c r="A12" i="52"/>
  <c r="B56" i="72" s="1"/>
  <c r="S11" i="39"/>
  <c r="G4" i="4"/>
  <c r="I4" i="4"/>
  <c r="K5" i="4"/>
  <c r="B47" i="48" s="1"/>
  <c r="A2" i="9"/>
  <c r="AZ20" i="3"/>
  <c r="AZ24" i="3"/>
  <c r="AZ28" i="3"/>
  <c r="AZ32" i="3"/>
  <c r="AZ494"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D5" i="3"/>
  <c r="AZ309" i="3"/>
  <c r="AZ317" i="3"/>
  <c r="AZ325" i="3"/>
  <c r="AZ333" i="3"/>
  <c r="AZ341" i="3"/>
  <c r="AC5" i="3"/>
  <c r="AZ506" i="3"/>
  <c r="G548" i="3"/>
  <c r="G538" i="3"/>
  <c r="G520" i="3"/>
  <c r="G502" i="3"/>
  <c r="BS5" i="3"/>
  <c r="BP5" i="3"/>
  <c r="AZ343" i="3"/>
  <c r="BK5" i="3"/>
  <c r="BI5" i="3"/>
  <c r="BG5" i="3"/>
  <c r="BE5" i="3"/>
  <c r="G17" i="3"/>
  <c r="BT5" i="3"/>
  <c r="AZ350" i="3"/>
  <c r="AZ352" i="3"/>
  <c r="AZ356" i="3"/>
  <c r="AZ364" i="3"/>
  <c r="AZ368" i="3"/>
  <c r="BA15" i="3"/>
  <c r="BR5" i="3"/>
  <c r="AZ380" i="3"/>
  <c r="AZ384" i="3"/>
  <c r="AZ388" i="3"/>
  <c r="AZ392" i="3"/>
  <c r="AZ396" i="3"/>
  <c r="AZ394" i="3"/>
  <c r="G509" i="3"/>
  <c r="BL493" i="3"/>
  <c r="AZ491" i="3"/>
  <c r="AZ376" i="3"/>
  <c r="AZ382" i="3"/>
  <c r="U36" i="40"/>
  <c r="F36" i="43"/>
  <c r="F81" i="43"/>
  <c r="H83" i="43" s="1"/>
  <c r="H113" i="43"/>
  <c r="F48" i="43"/>
  <c r="H52" i="43" s="1"/>
  <c r="F70" i="43"/>
  <c r="H73" i="43" s="1"/>
  <c r="M11" i="43"/>
  <c r="D17" i="43"/>
  <c r="F39" i="43"/>
  <c r="I17" i="43"/>
  <c r="F35" i="43"/>
  <c r="J17" i="43"/>
  <c r="F6" i="1"/>
  <c r="I20" i="43" s="1"/>
  <c r="S14" i="35"/>
  <c r="U43" i="21"/>
  <c r="U35" i="21"/>
  <c r="AC35" i="21"/>
  <c r="U10" i="21"/>
  <c r="G10" i="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7" i="43"/>
  <c r="K9" i="1"/>
  <c r="AE9" i="1"/>
  <c r="D93" i="9"/>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J51" i="67"/>
  <c r="C42" i="1"/>
  <c r="H100" i="43"/>
  <c r="C30" i="66"/>
  <c r="E26" i="66"/>
  <c r="AA34" i="33"/>
  <c r="B41" i="1"/>
  <c r="F53" i="9" s="1"/>
  <c r="J100" i="43"/>
  <c r="AB37" i="40"/>
  <c r="S35" i="40"/>
  <c r="U35" i="40"/>
  <c r="AC36" i="40"/>
  <c r="W38" i="40"/>
  <c r="AA32" i="40"/>
  <c r="S17" i="40"/>
  <c r="AC17" i="40"/>
  <c r="AC15" i="40"/>
  <c r="AB27" i="40"/>
  <c r="AA19" i="40"/>
  <c r="S28" i="40"/>
  <c r="AA27" i="40"/>
  <c r="AB19" i="40"/>
  <c r="U37" i="39"/>
  <c r="W39" i="39"/>
  <c r="S43" i="39"/>
  <c r="U35" i="39"/>
  <c r="F32" i="39"/>
  <c r="F107" i="39"/>
  <c r="G107" i="39" s="1"/>
  <c r="H107" i="39" s="1"/>
  <c r="I107" i="39" s="1"/>
  <c r="J107" i="39" s="1"/>
  <c r="K107" i="39" s="1"/>
  <c r="L107" i="39" s="1"/>
  <c r="M107" i="39" s="1"/>
  <c r="U25" i="39"/>
  <c r="U31" i="39"/>
  <c r="J21" i="39"/>
  <c r="AC21" i="39" s="1"/>
  <c r="F21" i="39"/>
  <c r="H21" i="39"/>
  <c r="W19" i="39"/>
  <c r="U19" i="39"/>
  <c r="S17" i="39"/>
  <c r="S15" i="39"/>
  <c r="AA12" i="39"/>
  <c r="S9" i="39"/>
  <c r="U14" i="39"/>
  <c r="U12" i="39"/>
  <c r="S23" i="36"/>
  <c r="U13" i="36"/>
  <c r="AC27" i="36"/>
  <c r="AB27" i="36"/>
  <c r="U26" i="36"/>
  <c r="S33" i="36"/>
  <c r="AA26" i="36"/>
  <c r="S29" i="36"/>
  <c r="AA22" i="36"/>
  <c r="W14" i="36"/>
  <c r="AB14" i="36"/>
  <c r="U22" i="36"/>
  <c r="S16" i="36"/>
  <c r="S24" i="36"/>
  <c r="U24" i="36"/>
  <c r="U23" i="36"/>
  <c r="U16" i="36"/>
  <c r="S14" i="36"/>
  <c r="U10" i="36"/>
  <c r="W10" i="36"/>
  <c r="AA25" i="35"/>
  <c r="W24" i="35"/>
  <c r="AB13" i="35"/>
  <c r="U29" i="35"/>
  <c r="U28" i="35"/>
  <c r="AB27" i="35"/>
  <c r="U32" i="35"/>
  <c r="AC30" i="35"/>
  <c r="S32" i="35"/>
  <c r="AA36" i="35"/>
  <c r="S28" i="35"/>
  <c r="U22" i="35"/>
  <c r="AC20" i="35"/>
  <c r="U14" i="35"/>
  <c r="AA10" i="35"/>
  <c r="AA11" i="35"/>
  <c r="S8" i="35"/>
  <c r="AC9" i="35"/>
  <c r="W9" i="35"/>
  <c r="W13" i="35"/>
  <c r="F9" i="35"/>
  <c r="S9" i="35" s="1"/>
  <c r="H9" i="35"/>
  <c r="F26" i="35"/>
  <c r="AA26" i="35" s="1"/>
  <c r="J26" i="35"/>
  <c r="W26" i="35" s="1"/>
  <c r="H26" i="35"/>
  <c r="AB40" i="37"/>
  <c r="W27" i="37"/>
  <c r="S26" i="37"/>
  <c r="AC9" i="37"/>
  <c r="U29" i="37"/>
  <c r="AB31" i="37"/>
  <c r="W30" i="37"/>
  <c r="S36" i="37"/>
  <c r="U32" i="37"/>
  <c r="AC35" i="37"/>
  <c r="W39" i="37"/>
  <c r="S30" i="37"/>
  <c r="S37" i="37"/>
  <c r="AC15" i="37"/>
  <c r="J17" i="37"/>
  <c r="W17" i="37"/>
  <c r="G73" i="37"/>
  <c r="F17" i="37"/>
  <c r="AA17" i="37" s="1"/>
  <c r="AB17" i="37"/>
  <c r="F75" i="37"/>
  <c r="F19" i="37"/>
  <c r="AA19" i="37" s="1"/>
  <c r="F79" i="37"/>
  <c r="F23" i="37"/>
  <c r="S23" i="37" s="1"/>
  <c r="U23" i="37"/>
  <c r="U15" i="37"/>
  <c r="AC13" i="37"/>
  <c r="AA13" i="37"/>
  <c r="AA9" i="37"/>
  <c r="H10" i="37"/>
  <c r="H60" i="37"/>
  <c r="F63" i="37"/>
  <c r="F11" i="37"/>
  <c r="S11" i="37" s="1"/>
  <c r="S27" i="34"/>
  <c r="AB8" i="34"/>
  <c r="U44" i="34"/>
  <c r="U43" i="34"/>
  <c r="AC39" i="34"/>
  <c r="W41" i="34"/>
  <c r="AC42" i="34"/>
  <c r="AB35" i="34"/>
  <c r="U39" i="34"/>
  <c r="AB41" i="34"/>
  <c r="AA45" i="34"/>
  <c r="W34" i="34"/>
  <c r="AA25" i="34"/>
  <c r="S17" i="34"/>
  <c r="AA29" i="34"/>
  <c r="U27" i="34"/>
  <c r="S23" i="34"/>
  <c r="U15" i="34"/>
  <c r="S10" i="34"/>
  <c r="H10" i="34"/>
  <c r="AB10" i="34" s="1"/>
  <c r="W42" i="33"/>
  <c r="AA35" i="33"/>
  <c r="S27" i="33"/>
  <c r="S32" i="33"/>
  <c r="AB29" i="33"/>
  <c r="W38" i="33"/>
  <c r="H41" i="33"/>
  <c r="AB41" i="33" s="1"/>
  <c r="F121" i="33"/>
  <c r="G121" i="33"/>
  <c r="H121" i="33" s="1"/>
  <c r="I121" i="33" s="1"/>
  <c r="J121" i="33" s="1"/>
  <c r="K121" i="33" s="1"/>
  <c r="L121" i="33" s="1"/>
  <c r="M121" i="33" s="1"/>
  <c r="S42" i="33"/>
  <c r="F36" i="33"/>
  <c r="G108" i="33"/>
  <c r="H108" i="33"/>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B14" i="33"/>
  <c r="W43" i="21"/>
  <c r="W36" i="21"/>
  <c r="W41" i="21"/>
  <c r="AB39" i="21"/>
  <c r="AA43" i="21"/>
  <c r="S39" i="21"/>
  <c r="AA38" i="21"/>
  <c r="AA36" i="21"/>
  <c r="AC40" i="21"/>
  <c r="J15" i="21"/>
  <c r="W15" i="21" s="1"/>
  <c r="F23" i="21"/>
  <c r="S23" i="21" s="1"/>
  <c r="E85" i="21"/>
  <c r="F85" i="21" s="1"/>
  <c r="G85" i="21" s="1"/>
  <c r="AC11" i="21"/>
  <c r="AA14" i="21"/>
  <c r="AB8" i="21"/>
  <c r="S8" i="21"/>
  <c r="M3" i="43"/>
  <c r="M1" i="43"/>
  <c r="N8" i="43"/>
  <c r="D120" i="9"/>
  <c r="D6" i="52" s="1"/>
  <c r="C18" i="9"/>
  <c r="D18" i="9"/>
  <c r="F34" i="67"/>
  <c r="F62" i="67" s="1"/>
  <c r="M20" i="67"/>
  <c r="F34" i="15"/>
  <c r="F62" i="15" s="1"/>
  <c r="BL13" i="3"/>
  <c r="J56" i="9"/>
  <c r="J57" i="9"/>
  <c r="J59" i="9" s="1"/>
  <c r="J61" i="9" s="1"/>
  <c r="A24" i="51"/>
  <c r="B18" i="72" s="1"/>
  <c r="U29" i="34"/>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1" i="43"/>
  <c r="H53" i="43"/>
  <c r="H78" i="43"/>
  <c r="C17" i="43"/>
  <c r="F33" i="43"/>
  <c r="K17" i="43"/>
  <c r="F34" i="43"/>
  <c r="N6" i="43"/>
  <c r="N3" i="43"/>
  <c r="F38" i="43"/>
  <c r="F37" i="43"/>
  <c r="M9" i="43"/>
  <c r="N5" i="43"/>
  <c r="M12" i="43"/>
  <c r="B19" i="53"/>
  <c r="B37" i="72"/>
  <c r="C7" i="39"/>
  <c r="C68" i="39"/>
  <c r="D68" i="39" s="1"/>
  <c r="D70" i="39" s="1"/>
  <c r="C7" i="35"/>
  <c r="C7" i="33"/>
  <c r="C58" i="33" s="1"/>
  <c r="C7" i="21"/>
  <c r="C58" i="21" s="1"/>
  <c r="C7" i="40"/>
  <c r="C63" i="40" s="1"/>
  <c r="M47" i="9"/>
  <c r="G19" i="43"/>
  <c r="O19" i="43" s="1"/>
  <c r="T35" i="4"/>
  <c r="A19" i="51" s="1"/>
  <c r="B14" i="72" s="1"/>
  <c r="C46" i="36"/>
  <c r="C52" i="37"/>
  <c r="A4" i="51"/>
  <c r="B6" i="72"/>
  <c r="C48" i="35"/>
  <c r="C4" i="12"/>
  <c r="H56" i="43"/>
  <c r="H72" i="43"/>
  <c r="L20" i="6"/>
  <c r="B6" i="1"/>
  <c r="E6" i="1" s="1"/>
  <c r="K11" i="1"/>
  <c r="M11" i="1" s="1"/>
  <c r="AP6" i="1"/>
  <c r="B9" i="1"/>
  <c r="E9" i="1" s="1"/>
  <c r="G1" i="15"/>
  <c r="G1" i="69"/>
  <c r="G1" i="67"/>
  <c r="W23" i="40"/>
  <c r="U32" i="40"/>
  <c r="AB31" i="40"/>
  <c r="AB28" i="40"/>
  <c r="W28" i="40"/>
  <c r="W34" i="40"/>
  <c r="W19" i="40"/>
  <c r="W27" i="40"/>
  <c r="W37" i="40"/>
  <c r="AC14" i="40"/>
  <c r="S33" i="40"/>
  <c r="AA15" i="40"/>
  <c r="U11" i="40"/>
  <c r="S31" i="40"/>
  <c r="U15" i="40"/>
  <c r="AB17" i="40"/>
  <c r="U8" i="40"/>
  <c r="S8" i="40"/>
  <c r="AA39" i="39"/>
  <c r="U42" i="39"/>
  <c r="AB23" i="39"/>
  <c r="U41" i="39"/>
  <c r="W25" i="39"/>
  <c r="AC25" i="39"/>
  <c r="U13" i="39"/>
  <c r="S14" i="39"/>
  <c r="U43" i="39"/>
  <c r="AB43" i="39"/>
  <c r="AB11" i="39"/>
  <c r="U11" i="39"/>
  <c r="AA27" i="39"/>
  <c r="S27" i="39"/>
  <c r="W17" i="39"/>
  <c r="AC17" i="39"/>
  <c r="W31" i="39"/>
  <c r="AC31" i="39"/>
  <c r="S23" i="39"/>
  <c r="AA45" i="39"/>
  <c r="AB39" i="39"/>
  <c r="W34" i="39"/>
  <c r="U38" i="39"/>
  <c r="S8" i="39"/>
  <c r="S20" i="36"/>
  <c r="S28" i="36"/>
  <c r="W29" i="36"/>
  <c r="AA13" i="36"/>
  <c r="W9" i="36"/>
  <c r="W22" i="36"/>
  <c r="W23" i="36"/>
  <c r="S9" i="36"/>
  <c r="AC25" i="35"/>
  <c r="U25" i="35"/>
  <c r="S24" i="35"/>
  <c r="AA30" i="35"/>
  <c r="U24" i="35"/>
  <c r="S35" i="35"/>
  <c r="W35" i="35"/>
  <c r="AA16" i="35"/>
  <c r="AA35" i="37"/>
  <c r="W36" i="37"/>
  <c r="S27" i="37"/>
  <c r="W32" i="37"/>
  <c r="U36" i="37"/>
  <c r="S33" i="37"/>
  <c r="AC34" i="37"/>
  <c r="AB35" i="37"/>
  <c r="AA31" i="37"/>
  <c r="AA29" i="37"/>
  <c r="AA8" i="37"/>
  <c r="U8" i="37"/>
  <c r="AB40" i="34"/>
  <c r="W19" i="34"/>
  <c r="AC45" i="34"/>
  <c r="AA31" i="34"/>
  <c r="AA30" i="34"/>
  <c r="AB45" i="34"/>
  <c r="AB47" i="34"/>
  <c r="AB36" i="34"/>
  <c r="W33" i="34"/>
  <c r="AC14" i="34"/>
  <c r="AC29" i="34"/>
  <c r="S37" i="34"/>
  <c r="AC40" i="34"/>
  <c r="W40" i="34"/>
  <c r="AA19" i="34"/>
  <c r="AA36" i="34"/>
  <c r="S36" i="34"/>
  <c r="AA8" i="34"/>
  <c r="S8" i="34"/>
  <c r="S46" i="34"/>
  <c r="U32" i="34"/>
  <c r="U14" i="34"/>
  <c r="AC43" i="34"/>
  <c r="W43" i="34"/>
  <c r="W23" i="34"/>
  <c r="AC23" i="34"/>
  <c r="AC35" i="34"/>
  <c r="W35" i="34"/>
  <c r="U12" i="34"/>
  <c r="AB12" i="34"/>
  <c r="AC37" i="33"/>
  <c r="U39" i="33"/>
  <c r="U38" i="33"/>
  <c r="S33" i="33"/>
  <c r="U44" i="33"/>
  <c r="AB44" i="33"/>
  <c r="S30" i="33"/>
  <c r="AA30" i="33"/>
  <c r="AC14" i="33"/>
  <c r="AC30" i="33"/>
  <c r="U15" i="33"/>
  <c r="S11" i="33"/>
  <c r="U37" i="33"/>
  <c r="S28" i="33"/>
  <c r="W9" i="33"/>
  <c r="W8" i="33"/>
  <c r="AB42" i="21"/>
  <c r="U28" i="21"/>
  <c r="AA11" i="21"/>
  <c r="S45" i="21"/>
  <c r="F33" i="21"/>
  <c r="J33" i="21"/>
  <c r="AC33" i="21" s="1"/>
  <c r="H33" i="21"/>
  <c r="AB33" i="21"/>
  <c r="F37" i="21"/>
  <c r="AA37" i="21"/>
  <c r="AA26" i="21"/>
  <c r="AB14" i="21"/>
  <c r="U40" i="21"/>
  <c r="AB31" i="21"/>
  <c r="U31" i="21"/>
  <c r="W8" i="21"/>
  <c r="S35" i="21"/>
  <c r="AB37" i="21"/>
  <c r="J37" i="21"/>
  <c r="W37" i="21"/>
  <c r="H15" i="21"/>
  <c r="U15" i="21"/>
  <c r="J17" i="21"/>
  <c r="AC17" i="21"/>
  <c r="AC19" i="21"/>
  <c r="W39" i="21"/>
  <c r="AC14" i="21"/>
  <c r="W30" i="21"/>
  <c r="H45" i="21"/>
  <c r="U45" i="21" s="1"/>
  <c r="F29" i="21"/>
  <c r="S29" i="21" s="1"/>
  <c r="F13" i="21"/>
  <c r="AA13" i="21" s="1"/>
  <c r="AC38" i="21"/>
  <c r="H32" i="21"/>
  <c r="H9" i="21"/>
  <c r="AB9" i="21" s="1"/>
  <c r="J9" i="21"/>
  <c r="J32" i="21"/>
  <c r="W32" i="21" s="1"/>
  <c r="F32" i="21"/>
  <c r="AA31" i="21"/>
  <c r="U17" i="21"/>
  <c r="S19" i="21"/>
  <c r="S9" i="21"/>
  <c r="AA9" i="21"/>
  <c r="K141" i="21"/>
  <c r="K144" i="21"/>
  <c r="K143" i="21"/>
  <c r="AB25" i="21"/>
  <c r="AA30" i="21"/>
  <c r="W42" i="21"/>
  <c r="AC45" i="21"/>
  <c r="F10" i="21"/>
  <c r="AA10" i="21" s="1"/>
  <c r="K145" i="21"/>
  <c r="W17" i="21"/>
  <c r="W25" i="21"/>
  <c r="AA29" i="21"/>
  <c r="W31" i="21"/>
  <c r="S17" i="21"/>
  <c r="AA15" i="21"/>
  <c r="AC26" i="21"/>
  <c r="S28" i="21"/>
  <c r="AC34" i="21"/>
  <c r="W10" i="21"/>
  <c r="W12" i="21"/>
  <c r="AB36" i="21"/>
  <c r="C19" i="39"/>
  <c r="C15" i="40"/>
  <c r="C17" i="40"/>
  <c r="C23" i="40"/>
  <c r="C21" i="40"/>
  <c r="U30" i="40"/>
  <c r="B54" i="43"/>
  <c r="B65" i="43"/>
  <c r="B49" i="43"/>
  <c r="B52" i="43"/>
  <c r="B56" i="43"/>
  <c r="B60" i="43"/>
  <c r="B63" i="43"/>
  <c r="B67" i="43"/>
  <c r="D23" i="15"/>
  <c r="D22" i="15"/>
  <c r="E4" i="4"/>
  <c r="B5" i="62" s="1"/>
  <c r="C4" i="4"/>
  <c r="B4" i="62" s="1"/>
  <c r="B71" i="72" s="1"/>
  <c r="F30" i="11"/>
  <c r="C48" i="11" s="1"/>
  <c r="E7" i="70"/>
  <c r="AA39" i="40"/>
  <c r="S39" i="40"/>
  <c r="AA12" i="33"/>
  <c r="J32" i="39"/>
  <c r="H32" i="39"/>
  <c r="AB32" i="39" s="1"/>
  <c r="AA32" i="39"/>
  <c r="S32" i="39"/>
  <c r="AB21" i="39"/>
  <c r="U21" i="39"/>
  <c r="AA21" i="39"/>
  <c r="S21" i="39"/>
  <c r="W21" i="39"/>
  <c r="U9" i="35"/>
  <c r="AB9" i="35"/>
  <c r="AA9" i="35"/>
  <c r="AC26" i="35"/>
  <c r="AB26" i="35"/>
  <c r="U26" i="35"/>
  <c r="AC17" i="37"/>
  <c r="J19" i="37"/>
  <c r="AC19" i="37" s="1"/>
  <c r="G75" i="37"/>
  <c r="S19" i="37"/>
  <c r="AA23" i="37"/>
  <c r="J23" i="37"/>
  <c r="G79" i="37"/>
  <c r="J10" i="37"/>
  <c r="I60" i="37"/>
  <c r="G63" i="37"/>
  <c r="H11" i="37"/>
  <c r="U11" i="37" s="1"/>
  <c r="AB10" i="37"/>
  <c r="U10" i="37"/>
  <c r="J10" i="34"/>
  <c r="W10" i="34" s="1"/>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AC37" i="21"/>
  <c r="U33" i="21"/>
  <c r="S37" i="21"/>
  <c r="AA23" i="21"/>
  <c r="AB15" i="21"/>
  <c r="J23" i="21"/>
  <c r="W23" i="21" s="1"/>
  <c r="H23" i="21"/>
  <c r="S13" i="21"/>
  <c r="D121" i="9"/>
  <c r="D7" i="52" s="1"/>
  <c r="K120" i="9"/>
  <c r="B73" i="72"/>
  <c r="AP7" i="1"/>
  <c r="AB45" i="21"/>
  <c r="W33" i="21"/>
  <c r="S33" i="21"/>
  <c r="AA33" i="21"/>
  <c r="AC32" i="21"/>
  <c r="U9" i="21"/>
  <c r="AA32" i="21"/>
  <c r="S32" i="21"/>
  <c r="W9" i="21"/>
  <c r="AC9" i="21"/>
  <c r="AB32" i="21"/>
  <c r="U32" i="21"/>
  <c r="S10" i="21"/>
  <c r="E6" i="70"/>
  <c r="A18" i="62"/>
  <c r="B64" i="72" s="1"/>
  <c r="U32" i="39"/>
  <c r="AC32" i="39"/>
  <c r="W32" i="39"/>
  <c r="W19" i="37"/>
  <c r="W23" i="37"/>
  <c r="AC23" i="37"/>
  <c r="AB11" i="37"/>
  <c r="H63" i="37"/>
  <c r="I63" i="37" s="1"/>
  <c r="J63" i="37"/>
  <c r="K63" i="37" s="1"/>
  <c r="L63" i="37" s="1"/>
  <c r="M63" i="37" s="1"/>
  <c r="J11" i="37"/>
  <c r="W11" i="37" s="1"/>
  <c r="W10" i="37"/>
  <c r="AC10" i="37"/>
  <c r="AC36" i="33"/>
  <c r="W36" i="33"/>
  <c r="U36" i="33"/>
  <c r="W27" i="33"/>
  <c r="W25" i="33"/>
  <c r="AA23" i="33"/>
  <c r="S23" i="33"/>
  <c r="AB19" i="33"/>
  <c r="AA17" i="33"/>
  <c r="U17" i="33"/>
  <c r="AB17" i="33"/>
  <c r="U23" i="21"/>
  <c r="AB23" i="21"/>
  <c r="AC23" i="21"/>
  <c r="AC11" i="37"/>
  <c r="F34" i="11"/>
  <c r="F11" i="12"/>
  <c r="F34" i="68"/>
  <c r="AE7" i="1"/>
  <c r="AE8" i="1"/>
  <c r="AE6" i="1"/>
  <c r="AG6" i="1"/>
  <c r="H109" i="9"/>
  <c r="M49" i="9"/>
  <c r="H110" i="9"/>
  <c r="D18" i="53" s="1"/>
  <c r="B35" i="72" s="1"/>
  <c r="D124" i="9"/>
  <c r="H14" i="74" s="1"/>
  <c r="B7" i="74" s="1"/>
  <c r="D16" i="53"/>
  <c r="B34" i="72"/>
  <c r="D10" i="52"/>
  <c r="D17" i="53"/>
  <c r="B36" i="72" s="1"/>
  <c r="D125" i="9"/>
  <c r="D11" i="52" s="1"/>
  <c r="H112" i="9"/>
  <c r="D21" i="53" s="1"/>
  <c r="B39" i="72" s="1"/>
  <c r="H111" i="9"/>
  <c r="D126" i="9"/>
  <c r="D19" i="53"/>
  <c r="D59" i="9"/>
  <c r="M55" i="9" s="1"/>
  <c r="B38" i="72"/>
  <c r="D20" i="53"/>
  <c r="B40" i="72"/>
  <c r="AD3" i="71"/>
  <c r="J1" i="73"/>
  <c r="H76" i="43"/>
  <c r="M4" i="43"/>
  <c r="M5" i="43"/>
  <c r="N12" i="43"/>
  <c r="N11" i="43"/>
  <c r="M10" i="43"/>
  <c r="M2" i="43"/>
  <c r="C6" i="43" s="1"/>
  <c r="M7" i="43"/>
  <c r="N9" i="43"/>
  <c r="M8" i="43"/>
  <c r="N10" i="43"/>
  <c r="M6" i="43"/>
  <c r="N7" i="43"/>
  <c r="N4" i="43"/>
  <c r="N2" i="43"/>
  <c r="F59" i="43" s="1"/>
  <c r="H49" i="43"/>
  <c r="N17" i="43"/>
  <c r="L17" i="43"/>
  <c r="O17" i="43"/>
  <c r="M17" i="43"/>
  <c r="E17" i="43"/>
  <c r="C70" i="39"/>
  <c r="AB9" i="71"/>
  <c r="X7" i="71"/>
  <c r="X6" i="71"/>
  <c r="AA7" i="71"/>
  <c r="AA6" i="71"/>
  <c r="X10" i="71"/>
  <c r="Y6" i="71"/>
  <c r="Z6" i="71" s="1"/>
  <c r="AB7" i="71"/>
  <c r="AB6" i="71"/>
  <c r="F8" i="71"/>
  <c r="F7" i="71" s="1"/>
  <c r="F6" i="71"/>
  <c r="F5" i="71" s="1"/>
  <c r="Y7" i="71"/>
  <c r="Z7" i="71" s="1"/>
  <c r="AB3" i="71"/>
  <c r="X3" i="71"/>
  <c r="E8" i="71"/>
  <c r="E7" i="71" s="1"/>
  <c r="AF3" i="71"/>
  <c r="E68" i="39"/>
  <c r="F68" i="39" s="1"/>
  <c r="P25" i="43"/>
  <c r="F31" i="15"/>
  <c r="F31" i="67"/>
  <c r="L48" i="15"/>
  <c r="M23" i="15"/>
  <c r="E13" i="76"/>
  <c r="F9" i="15"/>
  <c r="F41" i="67"/>
  <c r="E7" i="76"/>
  <c r="L47" i="67"/>
  <c r="M26" i="15"/>
  <c r="M29" i="15"/>
  <c r="F16" i="67"/>
  <c r="M22" i="67"/>
  <c r="F6" i="73"/>
  <c r="M8" i="67"/>
  <c r="D2" i="37"/>
  <c r="E2" i="69"/>
  <c r="M27" i="15"/>
  <c r="E12" i="76"/>
  <c r="M28" i="15"/>
  <c r="M22" i="15"/>
  <c r="F6" i="15"/>
  <c r="F42" i="15"/>
  <c r="F37" i="15"/>
  <c r="AO11" i="1"/>
  <c r="F41" i="15"/>
  <c r="D2" i="34"/>
  <c r="D2" i="33"/>
  <c r="F40" i="15"/>
  <c r="M27" i="67"/>
  <c r="B8" i="76"/>
  <c r="AO7" i="1"/>
  <c r="M21" i="15"/>
  <c r="D2" i="21"/>
  <c r="E11" i="76"/>
  <c r="F43" i="15"/>
  <c r="F36" i="67"/>
  <c r="AO12" i="1"/>
  <c r="D34" i="9"/>
  <c r="E9" i="76"/>
  <c r="F42" i="67"/>
  <c r="E2" i="68"/>
  <c r="F36" i="15"/>
  <c r="C76" i="15"/>
  <c r="D2" i="36"/>
  <c r="F13" i="67"/>
  <c r="C76" i="67"/>
  <c r="B13" i="76"/>
  <c r="M8" i="15"/>
  <c r="B7" i="76"/>
  <c r="F38" i="15"/>
  <c r="D5" i="73"/>
  <c r="D3" i="73"/>
  <c r="F43" i="67"/>
  <c r="J15" i="67"/>
  <c r="F3" i="73"/>
  <c r="M24" i="15"/>
  <c r="E10" i="76"/>
  <c r="AO10" i="1"/>
  <c r="M23" i="67"/>
  <c r="L47" i="15"/>
  <c r="F9" i="67"/>
  <c r="B11" i="76"/>
  <c r="F26" i="15"/>
  <c r="D35" i="9"/>
  <c r="F26" i="67"/>
  <c r="B10" i="76"/>
  <c r="M29" i="67"/>
  <c r="F5" i="73"/>
  <c r="F7" i="73"/>
  <c r="M6" i="67"/>
  <c r="F8" i="15"/>
  <c r="M21" i="67"/>
  <c r="J15" i="15"/>
  <c r="M24" i="67"/>
  <c r="F7" i="15"/>
  <c r="M28" i="67"/>
  <c r="D7" i="73"/>
  <c r="D4" i="73"/>
  <c r="L48" i="67"/>
  <c r="F8" i="67"/>
  <c r="AO8" i="1"/>
  <c r="D2" i="35"/>
  <c r="B12" i="76"/>
  <c r="M9" i="15"/>
  <c r="M26" i="67"/>
  <c r="F4" i="73"/>
  <c r="M6" i="15"/>
  <c r="AO9" i="1"/>
  <c r="F37" i="67"/>
  <c r="F38" i="67"/>
  <c r="E8" i="76"/>
  <c r="M9" i="67"/>
  <c r="F16" i="15"/>
  <c r="F20" i="31"/>
  <c r="AO6" i="1"/>
  <c r="F35" i="15"/>
  <c r="F6" i="67"/>
  <c r="F40" i="67"/>
  <c r="F35" i="67"/>
  <c r="F7" i="67"/>
  <c r="AO13" i="1"/>
  <c r="B9" i="76"/>
  <c r="F13" i="15"/>
  <c r="D6" i="73"/>
  <c r="C30" i="79" l="1"/>
  <c r="C48" i="79"/>
  <c r="P23" i="43"/>
  <c r="B71" i="39" s="1"/>
  <c r="P21" i="43"/>
  <c r="W10" i="33"/>
  <c r="S9" i="33"/>
  <c r="AR12" i="1"/>
  <c r="BA13" i="3"/>
  <c r="M9" i="1"/>
  <c r="G13" i="3"/>
  <c r="K6" i="1"/>
  <c r="M6" i="1" s="1"/>
  <c r="O6" i="1" s="1"/>
  <c r="D3" i="34"/>
  <c r="R25" i="31"/>
  <c r="S25" i="31" s="1"/>
  <c r="S22" i="31" s="1"/>
  <c r="BB5" i="3"/>
  <c r="E8" i="6" s="1"/>
  <c r="L27" i="6"/>
  <c r="AZ13" i="3"/>
  <c r="I4" i="6"/>
  <c r="G3" i="43" s="1"/>
  <c r="G101" i="43" s="1"/>
  <c r="E5" i="6"/>
  <c r="D19" i="12" s="1"/>
  <c r="C19" i="12" s="1"/>
  <c r="BL16" i="3"/>
  <c r="AZ16" i="3" s="1"/>
  <c r="T12" i="1"/>
  <c r="C5" i="11"/>
  <c r="T10" i="1"/>
  <c r="E6" i="49"/>
  <c r="AC10" i="34"/>
  <c r="U10" i="34"/>
  <c r="G11" i="1"/>
  <c r="F70" i="39"/>
  <c r="G68" i="39"/>
  <c r="E6" i="71"/>
  <c r="E5" i="71" s="1"/>
  <c r="V7" i="71"/>
  <c r="AZ586" i="3"/>
  <c r="S12" i="21"/>
  <c r="AA12" i="21"/>
  <c r="AB46" i="21"/>
  <c r="U46" i="21"/>
  <c r="AA28" i="34"/>
  <c r="S28" i="34"/>
  <c r="S13" i="39"/>
  <c r="AA13" i="39"/>
  <c r="E70" i="39"/>
  <c r="I14" i="74"/>
  <c r="B8" i="74" s="1"/>
  <c r="D127" i="9"/>
  <c r="D13" i="52" s="1"/>
  <c r="D12" i="52"/>
  <c r="L68" i="9"/>
  <c r="M68" i="9" s="1"/>
  <c r="L65" i="9"/>
  <c r="M65" i="9" s="1"/>
  <c r="L66" i="9"/>
  <c r="M66" i="9" s="1"/>
  <c r="L64" i="9"/>
  <c r="M64" i="9" s="1"/>
  <c r="L63" i="9"/>
  <c r="M63" i="9" s="1"/>
  <c r="M69" i="9" s="1"/>
  <c r="N69" i="9" s="1"/>
  <c r="L67" i="9"/>
  <c r="M67" i="9" s="1"/>
  <c r="AZ521" i="3"/>
  <c r="AZ501" i="3"/>
  <c r="AZ549" i="3"/>
  <c r="AB13" i="21"/>
  <c r="U13" i="21"/>
  <c r="AC27" i="21"/>
  <c r="W27" i="21"/>
  <c r="AC29" i="21"/>
  <c r="W29" i="21"/>
  <c r="W44" i="21"/>
  <c r="AC44" i="21"/>
  <c r="AC13" i="33"/>
  <c r="W13" i="33"/>
  <c r="AA31" i="33"/>
  <c r="S31" i="33"/>
  <c r="AB30" i="34"/>
  <c r="U30" i="34"/>
  <c r="AA32" i="34"/>
  <c r="S32" i="34"/>
  <c r="AC46" i="34"/>
  <c r="W46" i="34"/>
  <c r="W12" i="35"/>
  <c r="AC12" i="35"/>
  <c r="AC25" i="36"/>
  <c r="W25" i="36"/>
  <c r="AA28" i="37"/>
  <c r="S28" i="37"/>
  <c r="AB38" i="37"/>
  <c r="U38" i="37"/>
  <c r="AB13" i="40"/>
  <c r="U13" i="40"/>
  <c r="AZ551" i="3"/>
  <c r="K4" i="4"/>
  <c r="B46" i="48" s="1"/>
  <c r="B4" i="72" s="1"/>
  <c r="J9" i="34"/>
  <c r="H9" i="34"/>
  <c r="J34" i="35"/>
  <c r="H34" i="35"/>
  <c r="F34" i="35"/>
  <c r="P22" i="43"/>
  <c r="P24" i="43"/>
  <c r="B66" i="40" s="1"/>
  <c r="H48" i="43"/>
  <c r="H54" i="43"/>
  <c r="H51" i="43"/>
  <c r="C23" i="12"/>
  <c r="E2" i="70"/>
  <c r="S17" i="37"/>
  <c r="S26" i="35"/>
  <c r="T13" i="1"/>
  <c r="AR11" i="1"/>
  <c r="T11" i="1"/>
  <c r="AQ13" i="1"/>
  <c r="W30" i="40"/>
  <c r="AC15" i="21"/>
  <c r="AC28" i="33"/>
  <c r="AB34" i="33"/>
  <c r="W46" i="33"/>
  <c r="AB28" i="33"/>
  <c r="U38" i="34"/>
  <c r="AC32" i="34"/>
  <c r="U25" i="34"/>
  <c r="AB33" i="34"/>
  <c r="U19" i="34"/>
  <c r="AA40" i="34"/>
  <c r="U19" i="37"/>
  <c r="AA11" i="37"/>
  <c r="AB37" i="37"/>
  <c r="S40" i="37"/>
  <c r="W33" i="35"/>
  <c r="AB20" i="35"/>
  <c r="AB28" i="36"/>
  <c r="AC20" i="36"/>
  <c r="U32" i="36"/>
  <c r="AC41" i="39"/>
  <c r="S36" i="40"/>
  <c r="S37" i="40"/>
  <c r="H55" i="43"/>
  <c r="H88" i="43"/>
  <c r="G6" i="1"/>
  <c r="AR10" i="1"/>
  <c r="AC11" i="33"/>
  <c r="S43" i="33"/>
  <c r="S46" i="33"/>
  <c r="S39" i="33"/>
  <c r="U42" i="33"/>
  <c r="AA29" i="33"/>
  <c r="S13" i="34"/>
  <c r="S43" i="34"/>
  <c r="AA33" i="34"/>
  <c r="W25" i="34"/>
  <c r="AA12" i="37"/>
  <c r="U9" i="37"/>
  <c r="S32" i="37"/>
  <c r="AC29" i="37"/>
  <c r="AB10" i="35"/>
  <c r="AC10" i="35"/>
  <c r="S22" i="35"/>
  <c r="S20" i="35"/>
  <c r="AB16" i="35"/>
  <c r="W32" i="35"/>
  <c r="AA33" i="35"/>
  <c r="S23" i="35"/>
  <c r="AB20" i="36"/>
  <c r="AC26" i="36"/>
  <c r="AA34" i="36"/>
  <c r="S27" i="36"/>
  <c r="AC13" i="39"/>
  <c r="AB15" i="39"/>
  <c r="AC15" i="39"/>
  <c r="S25" i="39"/>
  <c r="AB27" i="39"/>
  <c r="W42" i="39"/>
  <c r="U21" i="40"/>
  <c r="S30" i="40"/>
  <c r="S23" i="40"/>
  <c r="AC34" i="33"/>
  <c r="H86" i="43"/>
  <c r="AC11" i="39"/>
  <c r="U17" i="39"/>
  <c r="BQ5" i="3"/>
  <c r="F28" i="6" s="1"/>
  <c r="W14" i="39"/>
  <c r="U40" i="39"/>
  <c r="U12" i="37"/>
  <c r="S42" i="21"/>
  <c r="W40" i="37"/>
  <c r="AC45" i="33"/>
  <c r="AA13" i="33"/>
  <c r="AB37" i="34"/>
  <c r="AB13" i="34"/>
  <c r="AC33" i="36"/>
  <c r="H28" i="34"/>
  <c r="S21" i="40"/>
  <c r="W29" i="33"/>
  <c r="S45" i="33"/>
  <c r="AC30" i="34"/>
  <c r="W11" i="35"/>
  <c r="S11" i="36"/>
  <c r="AB26" i="33"/>
  <c r="AB11" i="36"/>
  <c r="AA14" i="33"/>
  <c r="AA44" i="33"/>
  <c r="F13" i="40"/>
  <c r="J13" i="40"/>
  <c r="F38" i="37"/>
  <c r="J38" i="37"/>
  <c r="H28" i="37"/>
  <c r="J28" i="37"/>
  <c r="H25" i="36"/>
  <c r="F25" i="36"/>
  <c r="H29" i="21"/>
  <c r="F27" i="21"/>
  <c r="H27" i="21"/>
  <c r="J13" i="21"/>
  <c r="F46" i="21"/>
  <c r="J46" i="21"/>
  <c r="F44" i="21"/>
  <c r="H44" i="21"/>
  <c r="AA38" i="34"/>
  <c r="U30" i="35"/>
  <c r="S8" i="33"/>
  <c r="S26" i="33"/>
  <c r="S38" i="33"/>
  <c r="J28" i="34"/>
  <c r="U8" i="35"/>
  <c r="F37" i="39"/>
  <c r="W32" i="40"/>
  <c r="AB12" i="35"/>
  <c r="AB8" i="39"/>
  <c r="S40" i="39"/>
  <c r="U40" i="40"/>
  <c r="U34" i="40"/>
  <c r="W8" i="40"/>
  <c r="W39" i="33"/>
  <c r="S40" i="33"/>
  <c r="U33" i="33"/>
  <c r="W28" i="35"/>
  <c r="U9" i="36"/>
  <c r="U14" i="37"/>
  <c r="W31" i="37"/>
  <c r="W25" i="37"/>
  <c r="J44" i="39"/>
  <c r="F9" i="34"/>
  <c r="J12" i="34"/>
  <c r="F12" i="35"/>
  <c r="H36" i="35"/>
  <c r="J36" i="35"/>
  <c r="F25" i="37"/>
  <c r="W31" i="35"/>
  <c r="AC31" i="35"/>
  <c r="G551" i="3"/>
  <c r="BL548" i="3"/>
  <c r="AZ548" i="3" s="1"/>
  <c r="AZ409" i="3"/>
  <c r="AZ416" i="3"/>
  <c r="AZ425" i="3"/>
  <c r="AZ432" i="3"/>
  <c r="AZ445" i="3"/>
  <c r="AZ447" i="3"/>
  <c r="AZ464" i="3"/>
  <c r="AZ467" i="3"/>
  <c r="BJ5" i="3"/>
  <c r="BF5" i="3"/>
  <c r="BA17" i="3"/>
  <c r="BA5" i="3" s="1"/>
  <c r="BN5" i="3"/>
  <c r="G29" i="6" s="1"/>
  <c r="BM5" i="3"/>
  <c r="F29" i="6" s="1"/>
  <c r="BL15" i="3"/>
  <c r="AZ15" i="3" s="1"/>
  <c r="A15" i="62"/>
  <c r="B61" i="72" s="1"/>
  <c r="AZ471" i="3"/>
  <c r="AZ474" i="3"/>
  <c r="AZ476" i="3"/>
  <c r="AZ478" i="3"/>
  <c r="AZ480" i="3"/>
  <c r="AZ482" i="3"/>
  <c r="AZ484" i="3"/>
  <c r="AZ486" i="3"/>
  <c r="AZ488" i="3"/>
  <c r="AZ492" i="3"/>
  <c r="AZ208" i="3"/>
  <c r="AZ226" i="3"/>
  <c r="AZ246" i="3"/>
  <c r="AZ252" i="3"/>
  <c r="AZ258" i="3"/>
  <c r="AZ267" i="3"/>
  <c r="AZ272" i="3"/>
  <c r="AZ284" i="3"/>
  <c r="AZ289" i="3"/>
  <c r="AZ292" i="3"/>
  <c r="AZ294" i="3"/>
  <c r="AZ118" i="3"/>
  <c r="AZ121" i="3"/>
  <c r="AZ134" i="3"/>
  <c r="AZ137" i="3"/>
  <c r="AZ145" i="3"/>
  <c r="W21" i="33"/>
  <c r="AC21" i="33"/>
  <c r="AZ161" i="3"/>
  <c r="AZ193" i="3"/>
  <c r="AZ205" i="3"/>
  <c r="AZ23" i="3"/>
  <c r="AZ38" i="3"/>
  <c r="AZ48" i="3"/>
  <c r="AZ52" i="3"/>
  <c r="L108" i="43"/>
  <c r="L100" i="43"/>
  <c r="AZ64" i="3"/>
  <c r="AZ68" i="3"/>
  <c r="AZ108" i="3"/>
  <c r="B13" i="1"/>
  <c r="E13" i="1" s="1"/>
  <c r="K13" i="1"/>
  <c r="M13" i="1" s="1"/>
  <c r="O13" i="1" s="1"/>
  <c r="P13" i="1" s="1"/>
  <c r="M108" i="43"/>
  <c r="M100" i="43"/>
  <c r="I108" i="43"/>
  <c r="I100" i="43"/>
  <c r="E108" i="43"/>
  <c r="E100" i="43"/>
  <c r="AB21" i="33"/>
  <c r="D27" i="71"/>
  <c r="M19" i="43" s="1"/>
  <c r="T27" i="71"/>
  <c r="D23" i="71"/>
  <c r="T23" i="71"/>
  <c r="T15" i="71"/>
  <c r="D15" i="71"/>
  <c r="U15" i="71" s="1"/>
  <c r="C14" i="71"/>
  <c r="D31" i="71"/>
  <c r="T31" i="71"/>
  <c r="C43" i="71"/>
  <c r="D42" i="71"/>
  <c r="D50" i="71"/>
  <c r="C51" i="71"/>
  <c r="V55" i="71"/>
  <c r="F54" i="71"/>
  <c r="Y9" i="71"/>
  <c r="Z9" i="71" s="1"/>
  <c r="AB10" i="71"/>
  <c r="AA8" i="71"/>
  <c r="X5" i="71"/>
  <c r="C19" i="43" s="1"/>
  <c r="Y8" i="71"/>
  <c r="Z8" i="71" s="1"/>
  <c r="Y5" i="71"/>
  <c r="Z5" i="71" s="1"/>
  <c r="AB5" i="71"/>
  <c r="C19" i="71"/>
  <c r="AA14" i="71"/>
  <c r="AA12" i="71"/>
  <c r="AB14" i="71"/>
  <c r="S15" i="71"/>
  <c r="C54" i="71"/>
  <c r="X14" i="71"/>
  <c r="AB24" i="71"/>
  <c r="AA23" i="71"/>
  <c r="AB20" i="71"/>
  <c r="Y20" i="71"/>
  <c r="Z20" i="71" s="1"/>
  <c r="X19" i="71"/>
  <c r="X24" i="71"/>
  <c r="AA16" i="71"/>
  <c r="X11" i="71"/>
  <c r="Y11" i="71"/>
  <c r="Z11" i="71" s="1"/>
  <c r="AA10" i="71"/>
  <c r="X9" i="71"/>
  <c r="AA5" i="71"/>
  <c r="AB8" i="71"/>
  <c r="AA9" i="71"/>
  <c r="X8" i="71"/>
  <c r="AA11" i="71"/>
  <c r="AB11" i="71"/>
  <c r="B11" i="71"/>
  <c r="C11" i="71"/>
  <c r="Y10" i="71"/>
  <c r="Z10" i="71" s="1"/>
  <c r="J59" i="43"/>
  <c r="J60" i="43"/>
  <c r="J61" i="43"/>
  <c r="J62" i="43"/>
  <c r="J63" i="43"/>
  <c r="J64" i="43"/>
  <c r="J65" i="43"/>
  <c r="J67" i="43"/>
  <c r="E59" i="43"/>
  <c r="B57" i="43" s="1"/>
  <c r="C24" i="43" s="1"/>
  <c r="H62" i="43"/>
  <c r="H66" i="43"/>
  <c r="H64" i="43"/>
  <c r="H59" i="43"/>
  <c r="H61" i="43"/>
  <c r="H65" i="43"/>
  <c r="H63" i="43"/>
  <c r="H67" i="43"/>
  <c r="H60" i="43"/>
  <c r="B14" i="49"/>
  <c r="E14" i="49"/>
  <c r="B7" i="49"/>
  <c r="G17" i="43"/>
  <c r="C16" i="43" s="1"/>
  <c r="D5" i="43" s="1"/>
  <c r="H74" i="43"/>
  <c r="H70" i="43"/>
  <c r="H77" i="43"/>
  <c r="H71" i="43"/>
  <c r="H84" i="43"/>
  <c r="H85" i="43"/>
  <c r="H82" i="43"/>
  <c r="H50" i="43"/>
  <c r="H75" i="43"/>
  <c r="C94" i="9"/>
  <c r="C92" i="9"/>
  <c r="F30" i="69"/>
  <c r="C30" i="69" s="1"/>
  <c r="F54" i="9"/>
  <c r="F52" i="9"/>
  <c r="F28" i="15"/>
  <c r="F32" i="67"/>
  <c r="F60" i="67" s="1"/>
  <c r="F28" i="67"/>
  <c r="C28" i="67" s="1"/>
  <c r="C24" i="12"/>
  <c r="C77" i="9"/>
  <c r="C74" i="9" s="1"/>
  <c r="C13" i="12"/>
  <c r="C30" i="11"/>
  <c r="D68" i="9"/>
  <c r="M18" i="15"/>
  <c r="F32" i="15"/>
  <c r="F60" i="15" s="1"/>
  <c r="M18" i="67"/>
  <c r="F31" i="12"/>
  <c r="C31" i="12" s="1"/>
  <c r="F30" i="68"/>
  <c r="E9" i="49"/>
  <c r="B5" i="49"/>
  <c r="E22" i="49"/>
  <c r="E13" i="49"/>
  <c r="E4" i="49"/>
  <c r="E5" i="49"/>
  <c r="E11" i="49"/>
  <c r="B4" i="49"/>
  <c r="E10" i="49"/>
  <c r="B15" i="49"/>
  <c r="F3" i="35"/>
  <c r="E12" i="6"/>
  <c r="B22" i="49"/>
  <c r="E15" i="49"/>
  <c r="B16" i="49"/>
  <c r="B11" i="49"/>
  <c r="E21" i="49"/>
  <c r="B8" i="49"/>
  <c r="E8" i="49"/>
  <c r="B10" i="49"/>
  <c r="E16" i="49"/>
  <c r="B9" i="49"/>
  <c r="B13" i="49"/>
  <c r="B6" i="49"/>
  <c r="E7" i="49"/>
  <c r="C36" i="69"/>
  <c r="BL17" i="3"/>
  <c r="BL5" i="3" s="1"/>
  <c r="E13" i="6"/>
  <c r="G28" i="6"/>
  <c r="G30" i="6" s="1"/>
  <c r="G31" i="6" s="1"/>
  <c r="P6" i="1"/>
  <c r="O9" i="1"/>
  <c r="P9" i="1" s="1"/>
  <c r="O8" i="1"/>
  <c r="P8" i="1" s="1"/>
  <c r="O11" i="1"/>
  <c r="P11" i="1" s="1"/>
  <c r="O12" i="1"/>
  <c r="P12" i="1" s="1"/>
  <c r="C36" i="11"/>
  <c r="B113" i="43"/>
  <c r="C101" i="43"/>
  <c r="N104" i="46"/>
  <c r="D101" i="43"/>
  <c r="I101" i="43"/>
  <c r="AJ11" i="43"/>
  <c r="AJ13" i="43" s="1"/>
  <c r="AF11" i="43"/>
  <c r="AF13" i="43" s="1"/>
  <c r="AB11" i="43"/>
  <c r="AB13" i="43" s="1"/>
  <c r="Z7" i="43"/>
  <c r="AG11" i="43"/>
  <c r="AG13" i="43" s="1"/>
  <c r="AC11" i="43"/>
  <c r="AC13" i="43" s="1"/>
  <c r="Y11" i="43"/>
  <c r="Y13" i="43" s="1"/>
  <c r="F22" i="43"/>
  <c r="F101" i="43"/>
  <c r="E22" i="43"/>
  <c r="H101" i="43"/>
  <c r="D48" i="35"/>
  <c r="E48" i="35" s="1"/>
  <c r="F48" i="35" s="1"/>
  <c r="G48" i="35" s="1"/>
  <c r="H48" i="35" s="1"/>
  <c r="I48" i="35" s="1"/>
  <c r="J48" i="35" s="1"/>
  <c r="K48" i="35" s="1"/>
  <c r="L48" i="35" s="1"/>
  <c r="M48" i="35" s="1"/>
  <c r="N48" i="35" s="1"/>
  <c r="O48" i="35" s="1"/>
  <c r="H7" i="35"/>
  <c r="J7" i="35"/>
  <c r="F7" i="35"/>
  <c r="D59" i="34"/>
  <c r="D63" i="40"/>
  <c r="C65" i="40"/>
  <c r="D58" i="33"/>
  <c r="E58" i="33" s="1"/>
  <c r="F58" i="33" s="1"/>
  <c r="G58" i="33" s="1"/>
  <c r="H58" i="33" s="1"/>
  <c r="I58" i="33" s="1"/>
  <c r="J58" i="33" s="1"/>
  <c r="K58" i="33" s="1"/>
  <c r="L58" i="33" s="1"/>
  <c r="M58" i="33" s="1"/>
  <c r="N58" i="33" s="1"/>
  <c r="O58" i="33" s="1"/>
  <c r="D52" i="37"/>
  <c r="D46" i="36"/>
  <c r="D58" i="21"/>
  <c r="C28" i="15"/>
  <c r="C48" i="69"/>
  <c r="E20" i="43"/>
  <c r="K1" i="73"/>
  <c r="F66" i="15"/>
  <c r="F50" i="15"/>
  <c r="M7" i="15"/>
  <c r="J6" i="15" s="1"/>
  <c r="Q71" i="67"/>
  <c r="B13" i="70"/>
  <c r="M7" i="67"/>
  <c r="J6" i="67" s="1"/>
  <c r="F50" i="67"/>
  <c r="Q71" i="15"/>
  <c r="F64" i="15"/>
  <c r="C34" i="67"/>
  <c r="F63" i="67"/>
  <c r="C62" i="67" s="1"/>
  <c r="J20" i="67"/>
  <c r="F70" i="67"/>
  <c r="F68" i="67"/>
  <c r="F51" i="15"/>
  <c r="C6" i="67"/>
  <c r="B12" i="70"/>
  <c r="F64" i="67"/>
  <c r="C34" i="15"/>
  <c r="F63" i="15"/>
  <c r="C62" i="15" s="1"/>
  <c r="F71" i="15"/>
  <c r="B6" i="70"/>
  <c r="J20" i="15"/>
  <c r="B7" i="70"/>
  <c r="F68" i="15"/>
  <c r="C27" i="67"/>
  <c r="F69" i="15"/>
  <c r="B11" i="70"/>
  <c r="F66" i="67"/>
  <c r="F65" i="15"/>
  <c r="C27" i="15"/>
  <c r="F65" i="67"/>
  <c r="C6" i="15"/>
  <c r="B9" i="70"/>
  <c r="N59" i="15"/>
  <c r="M59" i="15"/>
  <c r="L59" i="15"/>
  <c r="L58" i="15"/>
  <c r="I1" i="73"/>
  <c r="B39" i="1" s="1"/>
  <c r="B10" i="70"/>
  <c r="M59" i="67"/>
  <c r="L58" i="67"/>
  <c r="N59" i="67"/>
  <c r="L59" i="67"/>
  <c r="F69" i="67"/>
  <c r="B8" i="70"/>
  <c r="F51" i="67"/>
  <c r="F71" i="67"/>
  <c r="J53" i="15"/>
  <c r="L56" i="15" s="1"/>
  <c r="J57" i="15"/>
  <c r="J55" i="15" s="1"/>
  <c r="J58" i="15" s="1"/>
  <c r="Q50" i="15" s="1"/>
  <c r="I54" i="15"/>
  <c r="J53" i="67"/>
  <c r="J57" i="67"/>
  <c r="J55" i="67" s="1"/>
  <c r="J58" i="67" s="1"/>
  <c r="Q50" i="67" s="1"/>
  <c r="L56" i="67"/>
  <c r="I54" i="67"/>
  <c r="M17" i="15"/>
  <c r="M17" i="67"/>
  <c r="F59" i="15"/>
  <c r="F59" i="67"/>
  <c r="C36" i="68"/>
  <c r="C14" i="67"/>
  <c r="C17" i="67"/>
  <c r="C14" i="15"/>
  <c r="C16" i="15"/>
  <c r="G1" i="73"/>
  <c r="C16" i="67"/>
  <c r="C17" i="15"/>
  <c r="E10" i="6" l="1"/>
  <c r="E14" i="6"/>
  <c r="E64" i="39" s="1"/>
  <c r="E11" i="6"/>
  <c r="E61" i="39" s="1"/>
  <c r="G5" i="3"/>
  <c r="B3" i="3" s="1"/>
  <c r="D9" i="11"/>
  <c r="C9" i="11" s="1"/>
  <c r="R22" i="31"/>
  <c r="B21" i="31" s="1"/>
  <c r="B20" i="31"/>
  <c r="F27" i="6"/>
  <c r="D29" i="43" s="1"/>
  <c r="D1" i="43" s="1"/>
  <c r="E56" i="39"/>
  <c r="E51" i="40"/>
  <c r="G22" i="43"/>
  <c r="L101" i="43"/>
  <c r="L109" i="43" s="1"/>
  <c r="N101" i="43"/>
  <c r="N102" i="43" s="1"/>
  <c r="K101" i="43"/>
  <c r="K103" i="43" s="1"/>
  <c r="J22" i="43"/>
  <c r="AA11" i="43"/>
  <c r="AA13" i="43" s="1"/>
  <c r="AE11" i="43"/>
  <c r="AE13" i="43" s="1"/>
  <c r="AI11" i="43"/>
  <c r="AI13" i="43" s="1"/>
  <c r="Z11" i="43"/>
  <c r="Z13" i="43" s="1"/>
  <c r="AD11" i="43"/>
  <c r="AD13" i="43" s="1"/>
  <c r="AH11" i="43"/>
  <c r="AH13" i="43" s="1"/>
  <c r="E101" i="43"/>
  <c r="E106" i="43" s="1"/>
  <c r="M101" i="43"/>
  <c r="M102" i="43" s="1"/>
  <c r="H22" i="43"/>
  <c r="J101" i="43"/>
  <c r="J103" i="43" s="1"/>
  <c r="E28" i="6"/>
  <c r="D9" i="69"/>
  <c r="C9" i="69" s="1"/>
  <c r="G16" i="1"/>
  <c r="H10" i="40" s="1"/>
  <c r="AB10" i="40" s="1"/>
  <c r="E59" i="40"/>
  <c r="K14" i="1"/>
  <c r="C34" i="69" s="1"/>
  <c r="E15" i="6"/>
  <c r="E29" i="6"/>
  <c r="K15" i="1" s="1"/>
  <c r="Q16" i="1"/>
  <c r="F27" i="69" s="1"/>
  <c r="C47" i="69" s="1"/>
  <c r="D45" i="69" s="1"/>
  <c r="H16" i="1"/>
  <c r="E549" i="3"/>
  <c r="E453" i="3"/>
  <c r="E244" i="3"/>
  <c r="E196" i="3"/>
  <c r="E156" i="3"/>
  <c r="E188" i="3"/>
  <c r="E148" i="3"/>
  <c r="E228" i="3"/>
  <c r="E269" i="3"/>
  <c r="E181" i="3"/>
  <c r="E122" i="3"/>
  <c r="E89" i="3"/>
  <c r="E149" i="3"/>
  <c r="E207" i="3"/>
  <c r="E77" i="3"/>
  <c r="E252" i="3"/>
  <c r="E212" i="3"/>
  <c r="E271" i="3"/>
  <c r="E253" i="3"/>
  <c r="E204" i="3"/>
  <c r="E167" i="3"/>
  <c r="E199" i="3"/>
  <c r="E164" i="3"/>
  <c r="E107" i="3"/>
  <c r="E286" i="3"/>
  <c r="E327" i="3"/>
  <c r="E312" i="3"/>
  <c r="AD6" i="3"/>
  <c r="E585" i="3"/>
  <c r="Z6" i="3"/>
  <c r="E542" i="3"/>
  <c r="U6" i="3"/>
  <c r="R6" i="3"/>
  <c r="AG6" i="3"/>
  <c r="E552" i="3"/>
  <c r="E502" i="3"/>
  <c r="AO6" i="3"/>
  <c r="E421" i="3"/>
  <c r="E411" i="3"/>
  <c r="E442" i="3"/>
  <c r="E448" i="3"/>
  <c r="E464" i="3"/>
  <c r="E478" i="3"/>
  <c r="E466" i="3"/>
  <c r="E485" i="3"/>
  <c r="E487" i="3"/>
  <c r="E541" i="3"/>
  <c r="P6" i="3"/>
  <c r="E398" i="3"/>
  <c r="E414" i="3"/>
  <c r="E430" i="3"/>
  <c r="E400" i="3"/>
  <c r="E416" i="3"/>
  <c r="E432" i="3"/>
  <c r="E449" i="3"/>
  <c r="E443" i="3"/>
  <c r="E459" i="3"/>
  <c r="E477" i="3"/>
  <c r="E255" i="3"/>
  <c r="E345" i="3"/>
  <c r="E374" i="3"/>
  <c r="I3" i="6"/>
  <c r="E558" i="3"/>
  <c r="E566" i="3"/>
  <c r="E505" i="3"/>
  <c r="AP6" i="3"/>
  <c r="E554" i="3"/>
  <c r="E581" i="3"/>
  <c r="E582" i="3"/>
  <c r="AS6" i="3"/>
  <c r="E517" i="3"/>
  <c r="E531" i="3"/>
  <c r="E413" i="3"/>
  <c r="E403" i="3"/>
  <c r="E435" i="3"/>
  <c r="E444" i="3"/>
  <c r="E460" i="3"/>
  <c r="E476" i="3"/>
  <c r="E491" i="3"/>
  <c r="E489"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8" i="3"/>
  <c r="E349" i="3"/>
  <c r="E334" i="3"/>
  <c r="E375" i="3"/>
  <c r="E384" i="3"/>
  <c r="E572" i="3"/>
  <c r="E504" i="3"/>
  <c r="AM6"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54" i="3"/>
  <c r="E492" i="3"/>
  <c r="E23" i="3"/>
  <c r="E66" i="3"/>
  <c r="E84" i="3"/>
  <c r="E24" i="3"/>
  <c r="E67" i="3"/>
  <c r="E48" i="3"/>
  <c r="E33" i="3"/>
  <c r="E87" i="3"/>
  <c r="E144" i="3"/>
  <c r="E127" i="3"/>
  <c r="E184" i="3"/>
  <c r="E250" i="3"/>
  <c r="E233" i="3"/>
  <c r="E284" i="3"/>
  <c r="Y6" i="3"/>
  <c r="E68" i="3"/>
  <c r="E51" i="3"/>
  <c r="E63" i="3"/>
  <c r="E19" i="3"/>
  <c r="E81" i="3"/>
  <c r="E154" i="3"/>
  <c r="E118" i="3"/>
  <c r="E179" i="3"/>
  <c r="E264" i="3"/>
  <c r="E222" i="3"/>
  <c r="E283" i="3"/>
  <c r="E323" i="3"/>
  <c r="E373" i="3"/>
  <c r="E513" i="3"/>
  <c r="E82" i="3"/>
  <c r="E21" i="3"/>
  <c r="AK6" i="3"/>
  <c r="E434" i="3"/>
  <c r="E306" i="3"/>
  <c r="E296" i="3"/>
  <c r="E262" i="3"/>
  <c r="E136" i="3"/>
  <c r="E236"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48" i="3"/>
  <c r="E367" i="3"/>
  <c r="E317" i="3"/>
  <c r="E379" i="3"/>
  <c r="E310" i="3"/>
  <c r="E521" i="3"/>
  <c r="E557" i="3"/>
  <c r="E576" i="3"/>
  <c r="E500" i="3"/>
  <c r="E544" i="3"/>
  <c r="E389" i="3"/>
  <c r="E355" i="3"/>
  <c r="E368" i="3"/>
  <c r="E309" i="3"/>
  <c r="E141" i="3"/>
  <c r="E515" i="3"/>
  <c r="E575"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191" i="3"/>
  <c r="E245" i="3"/>
  <c r="E263" i="3"/>
  <c r="E382" i="3"/>
  <c r="E423" i="3"/>
  <c r="E578" i="3"/>
  <c r="AI6" i="3"/>
  <c r="E520" i="3"/>
  <c r="E371" i="3"/>
  <c r="E316" i="3"/>
  <c r="E157" i="3"/>
  <c r="E377" i="3"/>
  <c r="E499" i="3"/>
  <c r="E547" i="3"/>
  <c r="E584" i="3"/>
  <c r="E536" i="3"/>
  <c r="E381" i="3"/>
  <c r="E386" i="3"/>
  <c r="E341" i="3"/>
  <c r="E145" i="3"/>
  <c r="E54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99" i="3"/>
  <c r="E159" i="3"/>
  <c r="E301" i="3"/>
  <c r="E303" i="3"/>
  <c r="E350" i="3"/>
  <c r="E402" i="3"/>
  <c r="E586" i="3"/>
  <c r="AZ17" i="3"/>
  <c r="AZ5" i="3" s="1"/>
  <c r="B10" i="71"/>
  <c r="B9" i="71" s="1"/>
  <c r="B8" i="71" s="1"/>
  <c r="B7" i="71" s="1"/>
  <c r="S11" i="71"/>
  <c r="D19" i="71"/>
  <c r="T19" i="71"/>
  <c r="F53" i="71"/>
  <c r="Q54" i="71"/>
  <c r="D51" i="71"/>
  <c r="T51" i="71"/>
  <c r="C13" i="71"/>
  <c r="D13" i="71" s="1"/>
  <c r="D14" i="71"/>
  <c r="AC36" i="35"/>
  <c r="W36" i="35"/>
  <c r="S12" i="35"/>
  <c r="AA12" i="35"/>
  <c r="AA9" i="34"/>
  <c r="S9" i="34"/>
  <c r="S44" i="21"/>
  <c r="AA44" i="21"/>
  <c r="S46" i="21"/>
  <c r="AA46" i="21"/>
  <c r="U27" i="21"/>
  <c r="AB27" i="21"/>
  <c r="AB29" i="21"/>
  <c r="U29" i="21"/>
  <c r="AB25" i="36"/>
  <c r="U25" i="36"/>
  <c r="U28" i="37"/>
  <c r="AB28" i="37"/>
  <c r="AA38" i="37"/>
  <c r="S38" i="37"/>
  <c r="AA13" i="40"/>
  <c r="S13" i="40"/>
  <c r="F30" i="6"/>
  <c r="F31" i="6" s="1"/>
  <c r="S34" i="35"/>
  <c r="AA34" i="35"/>
  <c r="AC34" i="35"/>
  <c r="W34" i="35"/>
  <c r="W9" i="34"/>
  <c r="AC9" i="34"/>
  <c r="C10" i="71"/>
  <c r="D11" i="71"/>
  <c r="U11" i="71" s="1"/>
  <c r="T11" i="71"/>
  <c r="C53" i="71"/>
  <c r="D54" i="71"/>
  <c r="O54" i="71"/>
  <c r="D43" i="71"/>
  <c r="T43" i="71"/>
  <c r="AA25" i="37"/>
  <c r="S25" i="37"/>
  <c r="U36" i="35"/>
  <c r="AB36" i="35"/>
  <c r="W12" i="34"/>
  <c r="AC12" i="34"/>
  <c r="W44" i="39"/>
  <c r="AC44" i="39"/>
  <c r="S37" i="39"/>
  <c r="AA37" i="39"/>
  <c r="W28" i="34"/>
  <c r="AC28" i="34"/>
  <c r="AB44" i="21"/>
  <c r="U44" i="21"/>
  <c r="AC46" i="21"/>
  <c r="W46" i="21"/>
  <c r="W13" i="21"/>
  <c r="AC13" i="21"/>
  <c r="S27" i="21"/>
  <c r="AA27" i="21"/>
  <c r="AA25" i="36"/>
  <c r="S25" i="36"/>
  <c r="W28" i="37"/>
  <c r="AC28" i="37"/>
  <c r="W38" i="37"/>
  <c r="AC38" i="37"/>
  <c r="AC13" i="40"/>
  <c r="W13" i="40"/>
  <c r="U28" i="34"/>
  <c r="AB28" i="34"/>
  <c r="AB34" i="35"/>
  <c r="U34" i="35"/>
  <c r="U9" i="34"/>
  <c r="AB9" i="34"/>
  <c r="H68" i="39"/>
  <c r="G70" i="39"/>
  <c r="C5" i="43"/>
  <c r="C30" i="68"/>
  <c r="C48" i="68"/>
  <c r="F10" i="39"/>
  <c r="S10" i="39" s="1"/>
  <c r="C18" i="15"/>
  <c r="C15" i="15"/>
  <c r="E27" i="6"/>
  <c r="K20" i="6" s="1"/>
  <c r="E65" i="39"/>
  <c r="E57" i="40"/>
  <c r="E62" i="39"/>
  <c r="E58" i="40"/>
  <c r="E63" i="39"/>
  <c r="L104" i="43"/>
  <c r="N103" i="43"/>
  <c r="N107" i="43"/>
  <c r="N104" i="43"/>
  <c r="K106" i="43"/>
  <c r="E102" i="43"/>
  <c r="E105" i="43"/>
  <c r="M106" i="43"/>
  <c r="M109" i="43"/>
  <c r="M104" i="43"/>
  <c r="G102" i="43"/>
  <c r="G103" i="43"/>
  <c r="G109" i="43"/>
  <c r="G105" i="43"/>
  <c r="G107" i="43"/>
  <c r="G104" i="43"/>
  <c r="G106" i="43"/>
  <c r="H102" i="43"/>
  <c r="H103" i="43"/>
  <c r="H104" i="43"/>
  <c r="H107" i="43"/>
  <c r="H105" i="43"/>
  <c r="H106" i="43"/>
  <c r="H109" i="43"/>
  <c r="F104" i="43"/>
  <c r="F107" i="43"/>
  <c r="F106" i="43"/>
  <c r="F103" i="43"/>
  <c r="F102" i="43"/>
  <c r="F105" i="43"/>
  <c r="F109" i="43"/>
  <c r="I109" i="43"/>
  <c r="I102" i="43"/>
  <c r="I106" i="43"/>
  <c r="I103" i="43"/>
  <c r="I104" i="43"/>
  <c r="I107" i="43"/>
  <c r="I105" i="43"/>
  <c r="D109" i="43"/>
  <c r="D103" i="43"/>
  <c r="D104" i="43"/>
  <c r="D107" i="43"/>
  <c r="D105" i="43"/>
  <c r="D106" i="43"/>
  <c r="D102"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C49" i="15"/>
  <c r="C49" i="67"/>
  <c r="E46" i="36"/>
  <c r="E52" i="37"/>
  <c r="H7" i="33"/>
  <c r="J7" i="33"/>
  <c r="E63" i="40"/>
  <c r="D65" i="40"/>
  <c r="E59" i="34"/>
  <c r="AC7" i="35"/>
  <c r="V38" i="35" s="1"/>
  <c r="I38" i="35" s="1"/>
  <c r="W7" i="35"/>
  <c r="E58" i="21"/>
  <c r="F58" i="21" s="1"/>
  <c r="G58" i="21" s="1"/>
  <c r="H58" i="21" s="1"/>
  <c r="I58" i="21" s="1"/>
  <c r="J58" i="21" s="1"/>
  <c r="K58" i="21" s="1"/>
  <c r="L58" i="21" s="1"/>
  <c r="M58" i="21" s="1"/>
  <c r="N58" i="21" s="1"/>
  <c r="O58" i="21" s="1"/>
  <c r="J7" i="21"/>
  <c r="F7" i="33"/>
  <c r="AA7" i="35"/>
  <c r="R38" i="35" s="1"/>
  <c r="S7" i="35"/>
  <c r="AB7" i="35"/>
  <c r="T38" i="35" s="1"/>
  <c r="G38" i="35" s="1"/>
  <c r="U7" i="35"/>
  <c r="B40" i="1"/>
  <c r="F22" i="79" s="1"/>
  <c r="C15" i="67"/>
  <c r="C18" i="67"/>
  <c r="J18" i="67"/>
  <c r="Q61" i="67"/>
  <c r="Q74" i="67"/>
  <c r="Q60" i="67"/>
  <c r="Q73" i="67"/>
  <c r="F11" i="67"/>
  <c r="M11" i="67"/>
  <c r="J10" i="67" s="1"/>
  <c r="J5" i="67" s="1"/>
  <c r="M11" i="15"/>
  <c r="J10" i="15" s="1"/>
  <c r="J5" i="15" s="1"/>
  <c r="F11" i="15"/>
  <c r="Q74" i="15"/>
  <c r="Q61" i="15"/>
  <c r="B2" i="70"/>
  <c r="C32" i="67"/>
  <c r="F1" i="67"/>
  <c r="Q52" i="67"/>
  <c r="F1" i="15"/>
  <c r="Q52" i="15"/>
  <c r="Q60" i="15"/>
  <c r="Q73" i="15"/>
  <c r="J18" i="15"/>
  <c r="C32" i="15"/>
  <c r="M28" i="43"/>
  <c r="O28" i="43"/>
  <c r="P28" i="43"/>
  <c r="N28" i="43"/>
  <c r="G20" i="43" s="1"/>
  <c r="D9" i="68"/>
  <c r="F27" i="68"/>
  <c r="D19" i="9"/>
  <c r="D22" i="43" l="1"/>
  <c r="J109" i="43"/>
  <c r="J106" i="43"/>
  <c r="J107" i="43"/>
  <c r="J105" i="43"/>
  <c r="E16" i="6"/>
  <c r="E56" i="40"/>
  <c r="J102" i="43"/>
  <c r="J104" i="43"/>
  <c r="M105" i="43"/>
  <c r="M107" i="43"/>
  <c r="M103" i="43"/>
  <c r="N109" i="43"/>
  <c r="N105" i="43"/>
  <c r="N106" i="43"/>
  <c r="E60" i="40"/>
  <c r="C24" i="79"/>
  <c r="C26" i="79"/>
  <c r="D22" i="79" s="1"/>
  <c r="C44" i="79"/>
  <c r="D41" i="79" s="1"/>
  <c r="C9" i="68"/>
  <c r="E107" i="43"/>
  <c r="E103" i="43"/>
  <c r="K105" i="43"/>
  <c r="K107" i="43"/>
  <c r="L107" i="43"/>
  <c r="L102" i="43"/>
  <c r="E109" i="43"/>
  <c r="E104" i="43"/>
  <c r="K109" i="43"/>
  <c r="K102" i="43"/>
  <c r="K104" i="43"/>
  <c r="L103" i="43"/>
  <c r="L106" i="43"/>
  <c r="L105" i="43"/>
  <c r="F27" i="11"/>
  <c r="C47" i="11" s="1"/>
  <c r="D45" i="11" s="1"/>
  <c r="C29" i="69"/>
  <c r="D27" i="69" s="1"/>
  <c r="C29" i="11"/>
  <c r="D27" i="11" s="1"/>
  <c r="F10" i="40"/>
  <c r="AA10" i="40" s="1"/>
  <c r="M14" i="1"/>
  <c r="M16" i="1" s="1"/>
  <c r="K16" i="1"/>
  <c r="B29" i="1" s="1"/>
  <c r="C8" i="68" s="1"/>
  <c r="H10" i="39"/>
  <c r="AB10" i="39" s="1"/>
  <c r="J10" i="39"/>
  <c r="U10" i="40"/>
  <c r="J10" i="40"/>
  <c r="H6" i="3"/>
  <c r="AC6" i="3"/>
  <c r="AA10" i="39"/>
  <c r="E30" i="6"/>
  <c r="E31" i="6" s="1"/>
  <c r="K21" i="6"/>
  <c r="M21" i="6" s="1"/>
  <c r="I21" i="6" s="1"/>
  <c r="S21" i="6" s="1"/>
  <c r="F28" i="12"/>
  <c r="C29" i="12" s="1"/>
  <c r="D28" i="12" s="1"/>
  <c r="AY6" i="3"/>
  <c r="E3" i="6"/>
  <c r="O53" i="71"/>
  <c r="O52" i="71"/>
  <c r="D53" i="71"/>
  <c r="Q53" i="71"/>
  <c r="Q52" i="71"/>
  <c r="B6" i="71"/>
  <c r="B5" i="71" s="1"/>
  <c r="S7" i="71"/>
  <c r="I68" i="39"/>
  <c r="H70" i="39"/>
  <c r="C9" i="71"/>
  <c r="D10" i="71"/>
  <c r="D102" i="9"/>
  <c r="B3" i="70"/>
  <c r="E41" i="43"/>
  <c r="C41" i="43" s="1"/>
  <c r="C20" i="43"/>
  <c r="T15" i="43" s="1"/>
  <c r="V15" i="43" s="1"/>
  <c r="S10" i="40"/>
  <c r="K19" i="6"/>
  <c r="S6" i="1" s="1"/>
  <c r="T6" i="1" s="1"/>
  <c r="K23" i="6"/>
  <c r="M23" i="6" s="1"/>
  <c r="I23" i="6" s="1"/>
  <c r="S23" i="6" s="1"/>
  <c r="K25" i="6"/>
  <c r="M25" i="6" s="1"/>
  <c r="I25" i="6" s="1"/>
  <c r="S25" i="6" s="1"/>
  <c r="K26" i="6"/>
  <c r="M26" i="6" s="1"/>
  <c r="I26" i="6" s="1"/>
  <c r="S26" i="6" s="1"/>
  <c r="K24" i="6"/>
  <c r="M24" i="6" s="1"/>
  <c r="I24" i="6" s="1"/>
  <c r="S24" i="6" s="1"/>
  <c r="K22" i="6"/>
  <c r="M20" i="6"/>
  <c r="I20" i="6" s="1"/>
  <c r="S20" i="6" s="1"/>
  <c r="S7" i="1"/>
  <c r="C19" i="15"/>
  <c r="C20" i="15" s="1"/>
  <c r="C26" i="15" s="1"/>
  <c r="C29" i="68"/>
  <c r="D27" i="68" s="1"/>
  <c r="C47" i="68"/>
  <c r="D45" i="68" s="1"/>
  <c r="E66" i="39"/>
  <c r="C35" i="69"/>
  <c r="C38" i="69"/>
  <c r="O14" i="1"/>
  <c r="C115" i="43"/>
  <c r="D113" i="43" s="1"/>
  <c r="S3" i="43"/>
  <c r="S2" i="43"/>
  <c r="C23" i="43"/>
  <c r="C21" i="43" s="1"/>
  <c r="S7" i="43"/>
  <c r="S6" i="43"/>
  <c r="S5" i="43"/>
  <c r="S4" i="43"/>
  <c r="C19" i="67"/>
  <c r="C20" i="67" s="1"/>
  <c r="C26" i="67" s="1"/>
  <c r="S7" i="33"/>
  <c r="AA7" i="33"/>
  <c r="R48" i="33" s="1"/>
  <c r="W7" i="21"/>
  <c r="AC7" i="21"/>
  <c r="V48" i="21" s="1"/>
  <c r="I48" i="21" s="1"/>
  <c r="I42" i="35"/>
  <c r="J42" i="35" s="1"/>
  <c r="AC7" i="33"/>
  <c r="V48" i="33" s="1"/>
  <c r="I48" i="33" s="1"/>
  <c r="W7" i="33"/>
  <c r="F46" i="36"/>
  <c r="F7" i="21"/>
  <c r="G43" i="35"/>
  <c r="H43" i="35" s="1"/>
  <c r="G42" i="35"/>
  <c r="H42" i="35" s="1"/>
  <c r="E38" i="35"/>
  <c r="R39" i="35"/>
  <c r="H7" i="21"/>
  <c r="F59" i="34"/>
  <c r="E65" i="40"/>
  <c r="F63" i="40"/>
  <c r="U7" i="33"/>
  <c r="AB7" i="33"/>
  <c r="T48" i="33" s="1"/>
  <c r="G48" i="33" s="1"/>
  <c r="F52" i="37"/>
  <c r="J26" i="15"/>
  <c r="J29" i="15" s="1"/>
  <c r="J24" i="15"/>
  <c r="C53" i="67"/>
  <c r="C48" i="67" s="1"/>
  <c r="C10" i="67"/>
  <c r="C5" i="67" s="1"/>
  <c r="J26" i="67"/>
  <c r="J29" i="67" s="1"/>
  <c r="J24" i="67"/>
  <c r="F22" i="68"/>
  <c r="F24" i="67"/>
  <c r="C24" i="67" s="1"/>
  <c r="F25" i="12"/>
  <c r="F24" i="15"/>
  <c r="C24" i="15" s="1"/>
  <c r="F22" i="69"/>
  <c r="F22" i="11"/>
  <c r="C53" i="15"/>
  <c r="C48" i="15" s="1"/>
  <c r="C10" i="15"/>
  <c r="C5" i="15" s="1"/>
  <c r="D20" i="9"/>
  <c r="M19" i="6" l="1"/>
  <c r="S8" i="1"/>
  <c r="AR8" i="1" s="1"/>
  <c r="U10" i="39"/>
  <c r="E6" i="3"/>
  <c r="W10" i="40"/>
  <c r="AC10" i="40"/>
  <c r="AC10" i="39"/>
  <c r="W10" i="39"/>
  <c r="M22" i="6"/>
  <c r="I22" i="6" s="1"/>
  <c r="S22" i="6" s="1"/>
  <c r="S9" i="1"/>
  <c r="D9" i="71"/>
  <c r="C8" i="71"/>
  <c r="I70" i="39"/>
  <c r="J68" i="39"/>
  <c r="D19" i="11"/>
  <c r="C19" i="11" s="1"/>
  <c r="C20" i="11" s="1"/>
  <c r="C28" i="11" s="1"/>
  <c r="C27" i="11" s="1"/>
  <c r="D3" i="21"/>
  <c r="C17" i="4"/>
  <c r="B4" i="52" s="1"/>
  <c r="B43" i="72" s="1"/>
  <c r="D14" i="12"/>
  <c r="D3" i="33"/>
  <c r="L18" i="9"/>
  <c r="D37" i="11"/>
  <c r="C37" i="11" s="1"/>
  <c r="M18" i="9"/>
  <c r="B118" i="9" s="1"/>
  <c r="B14" i="74" s="1"/>
  <c r="B1" i="74" s="1"/>
  <c r="E6" i="6"/>
  <c r="D3" i="37"/>
  <c r="AQ6"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7" i="3"/>
  <c r="AY196" i="3"/>
  <c r="AY139" i="3"/>
  <c r="AY74" i="3"/>
  <c r="AY123" i="3"/>
  <c r="AY204" i="3"/>
  <c r="AY252" i="3"/>
  <c r="AY363" i="3"/>
  <c r="AY489" i="3"/>
  <c r="AY412" i="3"/>
  <c r="AY43" i="3"/>
  <c r="AY229" i="3"/>
  <c r="AY379" i="3"/>
  <c r="AY326" i="3"/>
  <c r="AY436" i="3"/>
  <c r="AY557" i="3"/>
  <c r="AY540" i="3"/>
  <c r="AY105"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18" i="3"/>
  <c r="AY90" i="3"/>
  <c r="AY75" i="3"/>
  <c r="AY387" i="3"/>
  <c r="AY444" i="3"/>
  <c r="AY269" i="3"/>
  <c r="AY311" i="3"/>
  <c r="AY535" i="3"/>
  <c r="AY555"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415" i="3"/>
  <c r="AY538" i="3"/>
  <c r="AY515" i="3"/>
  <c r="AY545" i="3"/>
  <c r="AY493" i="3"/>
  <c r="AY62" i="3"/>
  <c r="AY172" i="3"/>
  <c r="AY301" i="3"/>
  <c r="AY248" i="3"/>
  <c r="AY359" i="3"/>
  <c r="AY485" i="3"/>
  <c r="AY408" i="3"/>
  <c r="AY547" i="3"/>
  <c r="AY107" i="3"/>
  <c r="AY54" i="3"/>
  <c r="AY164" i="3"/>
  <c r="AY293" i="3"/>
  <c r="AY240" i="3"/>
  <c r="AY351" i="3"/>
  <c r="AY477" i="3"/>
  <c r="AY400" i="3"/>
  <c r="AY56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103" i="3"/>
  <c r="AY50" i="3"/>
  <c r="AY160" i="3"/>
  <c r="AY289" i="3"/>
  <c r="AY183" i="3"/>
  <c r="AY261" i="3"/>
  <c r="AY284" i="3"/>
  <c r="AY209" i="3"/>
  <c r="AY319" i="3"/>
  <c r="AY455" i="3"/>
  <c r="AY497" i="3"/>
  <c r="AY116" i="3"/>
  <c r="AY212" i="3"/>
  <c r="AY343" i="3"/>
  <c r="AY478" i="3"/>
  <c r="AY417" i="3"/>
  <c r="AY573" i="3"/>
  <c r="AY539" i="3"/>
  <c r="AY100"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98" i="3"/>
  <c r="AY171" i="3"/>
  <c r="AY163" i="3"/>
  <c r="AY237" i="3"/>
  <c r="AY334" i="3"/>
  <c r="AY526" i="3"/>
  <c r="AY390" i="3"/>
  <c r="AY447" i="3"/>
  <c r="AY574"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10" i="3"/>
  <c r="AY423" i="3"/>
  <c r="AY579" i="3"/>
  <c r="AY499" i="3"/>
  <c r="D3" i="6"/>
  <c r="H26"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31" i="3"/>
  <c r="AY147" i="3"/>
  <c r="AY350" i="3"/>
  <c r="AY425" i="3"/>
  <c r="AY244" i="3"/>
  <c r="AY481" i="3"/>
  <c r="AY562" i="3"/>
  <c r="AY89"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402" i="3"/>
  <c r="AY505" i="3"/>
  <c r="AY522" i="3"/>
  <c r="AY551" i="3"/>
  <c r="BP6" i="3"/>
  <c r="AY79" i="3"/>
  <c r="AY19" i="3"/>
  <c r="AY151" i="3"/>
  <c r="AY265" i="3"/>
  <c r="AY394" i="3"/>
  <c r="AY315" i="3"/>
  <c r="AY451" i="3"/>
  <c r="AY500" i="3"/>
  <c r="AY568" i="3"/>
  <c r="AY71" i="3"/>
  <c r="AY200" i="3"/>
  <c r="AY143" i="3"/>
  <c r="AY257" i="3"/>
  <c r="AY386" i="3"/>
  <c r="AY307" i="3"/>
  <c r="AY443" i="3"/>
  <c r="AY521" i="3"/>
  <c r="BT6" i="3"/>
  <c r="D103" i="9"/>
  <c r="T4" i="43"/>
  <c r="V4" i="43" s="1"/>
  <c r="T6" i="43"/>
  <c r="V6" i="43" s="1"/>
  <c r="C29" i="43"/>
  <c r="C6" i="79" s="1"/>
  <c r="T3" i="43"/>
  <c r="V3" i="43" s="1"/>
  <c r="T14" i="43"/>
  <c r="V14" i="43" s="1"/>
  <c r="T12" i="43"/>
  <c r="V12" i="43" s="1"/>
  <c r="T5" i="43"/>
  <c r="V5" i="43" s="1"/>
  <c r="T7" i="43"/>
  <c r="V7" i="43" s="1"/>
  <c r="T2" i="43"/>
  <c r="V2" i="43" s="1"/>
  <c r="T13" i="43"/>
  <c r="V13" i="43" s="1"/>
  <c r="T10" i="43"/>
  <c r="V10" i="43" s="1"/>
  <c r="T8" i="43"/>
  <c r="V8" i="43" s="1"/>
  <c r="T16" i="43"/>
  <c r="V16" i="43" s="1"/>
  <c r="T11" i="43"/>
  <c r="V11" i="43" s="1"/>
  <c r="C38" i="43"/>
  <c r="C39" i="43"/>
  <c r="C33" i="43"/>
  <c r="C35" i="43"/>
  <c r="C34" i="43"/>
  <c r="C37" i="43"/>
  <c r="C36" i="43"/>
  <c r="T9" i="43"/>
  <c r="V9" i="43" s="1"/>
  <c r="K27" i="6"/>
  <c r="AQ8" i="1"/>
  <c r="T8" i="1"/>
  <c r="AR6" i="1"/>
  <c r="AQ7" i="1"/>
  <c r="AR7" i="1"/>
  <c r="T7" i="1"/>
  <c r="C34" i="11"/>
  <c r="N16" i="1"/>
  <c r="F50" i="79" s="1"/>
  <c r="L16" i="1"/>
  <c r="P14" i="1"/>
  <c r="P16" i="1" s="1"/>
  <c r="C11" i="12" s="1"/>
  <c r="O16" i="1"/>
  <c r="I19" i="6"/>
  <c r="C23" i="15"/>
  <c r="C29" i="15" s="1"/>
  <c r="C33" i="15" s="1"/>
  <c r="C31" i="15" s="1"/>
  <c r="G52" i="37"/>
  <c r="G59" i="34"/>
  <c r="C38" i="35"/>
  <c r="C39" i="35"/>
  <c r="B2" i="35" s="1"/>
  <c r="B3" i="35" s="1"/>
  <c r="S7" i="21"/>
  <c r="AA7" i="21"/>
  <c r="R48" i="21" s="1"/>
  <c r="I52" i="33"/>
  <c r="J52" i="33" s="1"/>
  <c r="G52" i="33"/>
  <c r="H52" i="33" s="1"/>
  <c r="G53" i="33"/>
  <c r="H53" i="33" s="1"/>
  <c r="G63" i="40"/>
  <c r="F65" i="40"/>
  <c r="AB7" i="21"/>
  <c r="T48" i="21" s="1"/>
  <c r="G48" i="21" s="1"/>
  <c r="U7" i="21"/>
  <c r="E43" i="35"/>
  <c r="F43" i="35" s="1"/>
  <c r="E42" i="35"/>
  <c r="F42" i="35" s="1"/>
  <c r="G46" i="36"/>
  <c r="I43" i="35"/>
  <c r="J43" i="35" s="1"/>
  <c r="I52" i="21"/>
  <c r="J52" i="21" s="1"/>
  <c r="E48" i="33"/>
  <c r="I53" i="33" s="1"/>
  <c r="J53" i="33" s="1"/>
  <c r="R49" i="33"/>
  <c r="C38" i="15"/>
  <c r="C44" i="69"/>
  <c r="D41" i="69" s="1"/>
  <c r="C26" i="69"/>
  <c r="D22" i="69" s="1"/>
  <c r="C26" i="12"/>
  <c r="D25" i="12" s="1"/>
  <c r="C44" i="68"/>
  <c r="D41" i="68" s="1"/>
  <c r="C26" i="68"/>
  <c r="D22" i="68" s="1"/>
  <c r="C38" i="67"/>
  <c r="C60" i="15"/>
  <c r="C66" i="15"/>
  <c r="C44" i="11"/>
  <c r="D41" i="11" s="1"/>
  <c r="C25" i="11"/>
  <c r="C23" i="11"/>
  <c r="C26" i="11"/>
  <c r="D22" i="11" s="1"/>
  <c r="C23" i="67"/>
  <c r="C29" i="67" s="1"/>
  <c r="C66" i="67"/>
  <c r="C60" i="67"/>
  <c r="D10" i="79"/>
  <c r="C34" i="68"/>
  <c r="C10" i="79" l="1"/>
  <c r="D19" i="79"/>
  <c r="D37" i="79" s="1"/>
  <c r="C37" i="79" s="1"/>
  <c r="M27" i="6"/>
  <c r="S16" i="1"/>
  <c r="C30" i="43"/>
  <c r="E30" i="43" s="1"/>
  <c r="C7" i="79"/>
  <c r="C5" i="79" s="1"/>
  <c r="E29" i="43"/>
  <c r="C6" i="68"/>
  <c r="C24" i="11"/>
  <c r="C22" i="11" s="1"/>
  <c r="C31" i="11" s="1"/>
  <c r="H20" i="6"/>
  <c r="H22" i="6"/>
  <c r="AR9" i="1"/>
  <c r="AQ9" i="1"/>
  <c r="T9" i="1"/>
  <c r="D10" i="11"/>
  <c r="C10" i="11" s="1"/>
  <c r="D10" i="69"/>
  <c r="D20" i="12"/>
  <c r="C20" i="12" s="1"/>
  <c r="C18" i="12" s="1"/>
  <c r="D17" i="12"/>
  <c r="C17" i="12" s="1"/>
  <c r="C14" i="12"/>
  <c r="D19" i="6"/>
  <c r="C18" i="4"/>
  <c r="D23" i="6"/>
  <c r="D25" i="6"/>
  <c r="D24" i="6"/>
  <c r="D9" i="6"/>
  <c r="L19" i="9"/>
  <c r="D21" i="9" s="1"/>
  <c r="M19" i="9"/>
  <c r="C118" i="9" s="1"/>
  <c r="C14" i="74" s="1"/>
  <c r="B2" i="74" s="1"/>
  <c r="D21" i="6"/>
  <c r="D5" i="6"/>
  <c r="D11" i="6"/>
  <c r="D28" i="6"/>
  <c r="H25" i="6"/>
  <c r="H24" i="6"/>
  <c r="D26" i="6"/>
  <c r="R26" i="6" s="1"/>
  <c r="D8" i="6"/>
  <c r="D14" i="6"/>
  <c r="D22" i="6"/>
  <c r="R22" i="6" s="1"/>
  <c r="D6" i="6"/>
  <c r="D10" i="6"/>
  <c r="E61" i="40"/>
  <c r="D15" i="6"/>
  <c r="D20" i="6"/>
  <c r="D12" i="6"/>
  <c r="D13" i="6"/>
  <c r="H23" i="6"/>
  <c r="H21" i="6"/>
  <c r="D29" i="6"/>
  <c r="C7" i="74"/>
  <c r="C8" i="74"/>
  <c r="K68" i="39"/>
  <c r="J70" i="39"/>
  <c r="D8" i="71"/>
  <c r="C7" i="71"/>
  <c r="E36" i="43"/>
  <c r="G36" i="43"/>
  <c r="I36" i="43" s="1"/>
  <c r="G34" i="43"/>
  <c r="I34" i="43" s="1"/>
  <c r="E34" i="43"/>
  <c r="G33" i="43"/>
  <c r="I33" i="43" s="1"/>
  <c r="E33" i="43"/>
  <c r="E38" i="43"/>
  <c r="G38" i="43"/>
  <c r="I38" i="43" s="1"/>
  <c r="E37" i="43"/>
  <c r="G37" i="43"/>
  <c r="I37" i="43" s="1"/>
  <c r="E35" i="43"/>
  <c r="G35" i="43"/>
  <c r="I35" i="43" s="1"/>
  <c r="E39" i="43"/>
  <c r="G39" i="43"/>
  <c r="I39" i="43" s="1"/>
  <c r="C12" i="12"/>
  <c r="C15" i="12"/>
  <c r="F50" i="11"/>
  <c r="F50" i="69"/>
  <c r="F50" i="68"/>
  <c r="C35" i="11"/>
  <c r="C38" i="11"/>
  <c r="C35" i="68"/>
  <c r="C38" i="68"/>
  <c r="S19" i="6"/>
  <c r="S27" i="6" s="1"/>
  <c r="I27" i="6"/>
  <c r="H19" i="6"/>
  <c r="J19" i="15"/>
  <c r="J17" i="15" s="1"/>
  <c r="C19" i="68"/>
  <c r="Q49" i="15"/>
  <c r="C36" i="15"/>
  <c r="C57" i="15"/>
  <c r="C64" i="15" s="1"/>
  <c r="J59" i="15"/>
  <c r="J60" i="15" s="1"/>
  <c r="L46" i="15" s="1"/>
  <c r="J14" i="15"/>
  <c r="J22" i="15" s="1"/>
  <c r="C13" i="15"/>
  <c r="Q70" i="15" s="1"/>
  <c r="C49" i="33"/>
  <c r="B2" i="33" s="1"/>
  <c r="B3" i="33" s="1"/>
  <c r="C48" i="33"/>
  <c r="H46" i="36"/>
  <c r="E48" i="21"/>
  <c r="R49" i="21"/>
  <c r="H59" i="34"/>
  <c r="E53" i="33"/>
  <c r="F53" i="33" s="1"/>
  <c r="E52" i="33"/>
  <c r="F52" i="33" s="1"/>
  <c r="G52" i="21"/>
  <c r="H52" i="21" s="1"/>
  <c r="G53" i="21"/>
  <c r="H53" i="21" s="1"/>
  <c r="G65" i="40"/>
  <c r="H63" i="40"/>
  <c r="H52" i="37"/>
  <c r="C57" i="67"/>
  <c r="C36" i="67"/>
  <c r="J14" i="67"/>
  <c r="Q49" i="67"/>
  <c r="J19" i="67"/>
  <c r="J17" i="67" s="1"/>
  <c r="C33" i="67"/>
  <c r="C31" i="67" s="1"/>
  <c r="C13" i="67"/>
  <c r="J59" i="67"/>
  <c r="J60" i="67" s="1"/>
  <c r="C34" i="79"/>
  <c r="D10" i="68"/>
  <c r="C35" i="79" l="1"/>
  <c r="C38" i="79"/>
  <c r="T16" i="1"/>
  <c r="C23" i="79"/>
  <c r="C20" i="79"/>
  <c r="C25" i="79" s="1"/>
  <c r="R20" i="6"/>
  <c r="R25" i="6"/>
  <c r="C6" i="71"/>
  <c r="T7" i="71"/>
  <c r="D7" i="71"/>
  <c r="U7" i="71" s="1"/>
  <c r="D19" i="69"/>
  <c r="C10" i="69"/>
  <c r="C8" i="69" s="1"/>
  <c r="C5" i="69" s="1"/>
  <c r="C23" i="69" s="1"/>
  <c r="D16" i="6"/>
  <c r="D30" i="6"/>
  <c r="D8" i="74"/>
  <c r="D7" i="74"/>
  <c r="C4" i="52"/>
  <c r="B45" i="72" s="1"/>
  <c r="A10" i="51"/>
  <c r="B9" i="72" s="1"/>
  <c r="A7" i="51"/>
  <c r="B7" i="72" s="1"/>
  <c r="L68" i="39"/>
  <c r="K70" i="39"/>
  <c r="R21" i="6"/>
  <c r="R24" i="6"/>
  <c r="R23" i="6"/>
  <c r="D27" i="6"/>
  <c r="C10" i="68"/>
  <c r="D19" i="68"/>
  <c r="D37" i="68" s="1"/>
  <c r="C37" i="68" s="1"/>
  <c r="C33" i="68" s="1"/>
  <c r="C39" i="68" s="1"/>
  <c r="C27" i="43"/>
  <c r="C26" i="43"/>
  <c r="B2" i="43" s="1"/>
  <c r="C7" i="68" s="1"/>
  <c r="C5" i="68" s="1"/>
  <c r="C23" i="68" s="1"/>
  <c r="J13" i="15"/>
  <c r="J23" i="15" s="1"/>
  <c r="J16" i="15" s="1"/>
  <c r="J25" i="15" s="1"/>
  <c r="C61" i="15"/>
  <c r="C59" i="15" s="1"/>
  <c r="C16" i="12"/>
  <c r="C21" i="12" s="1"/>
  <c r="C22" i="12" s="1"/>
  <c r="C27" i="12" s="1"/>
  <c r="C25" i="12" s="1"/>
  <c r="C33" i="11"/>
  <c r="H27" i="6"/>
  <c r="R19" i="6"/>
  <c r="R9" i="1" s="1"/>
  <c r="C56" i="15"/>
  <c r="C65" i="15" s="1"/>
  <c r="Q48" i="15"/>
  <c r="C24" i="68"/>
  <c r="C75" i="15"/>
  <c r="C37" i="15"/>
  <c r="C30" i="15" s="1"/>
  <c r="C39" i="15" s="1"/>
  <c r="I52" i="37"/>
  <c r="H65" i="40"/>
  <c r="I63" i="40"/>
  <c r="I59" i="34"/>
  <c r="E52" i="21"/>
  <c r="F52" i="21" s="1"/>
  <c r="E53" i="21"/>
  <c r="F53" i="21" s="1"/>
  <c r="I53" i="21"/>
  <c r="J53" i="21" s="1"/>
  <c r="I46" i="36"/>
  <c r="C48" i="21"/>
  <c r="C49" i="21"/>
  <c r="B2" i="21" s="1"/>
  <c r="B3" i="21" s="1"/>
  <c r="C37" i="67"/>
  <c r="C30" i="67" s="1"/>
  <c r="C39" i="67" s="1"/>
  <c r="Q70" i="67"/>
  <c r="C56" i="67"/>
  <c r="C65" i="67" s="1"/>
  <c r="C75" i="67"/>
  <c r="J13" i="67"/>
  <c r="J23" i="67" s="1"/>
  <c r="J22" i="67"/>
  <c r="C61" i="67"/>
  <c r="C59" i="67" s="1"/>
  <c r="C64" i="67"/>
  <c r="Q48" i="67"/>
  <c r="L46" i="67"/>
  <c r="E6" i="76"/>
  <c r="L51" i="15"/>
  <c r="B6" i="76"/>
  <c r="C33" i="79" l="1"/>
  <c r="C39" i="79" s="1"/>
  <c r="C43" i="79" s="1"/>
  <c r="C42" i="79"/>
  <c r="C28" i="79"/>
  <c r="C27" i="79" s="1"/>
  <c r="C22" i="79"/>
  <c r="R8" i="1"/>
  <c r="R7" i="1"/>
  <c r="C20" i="68"/>
  <c r="C25" i="68" s="1"/>
  <c r="C22" i="68" s="1"/>
  <c r="C19" i="69"/>
  <c r="D37" i="69"/>
  <c r="C37" i="69" s="1"/>
  <c r="C33" i="69" s="1"/>
  <c r="D31" i="6"/>
  <c r="D6" i="71"/>
  <c r="C5" i="71"/>
  <c r="M68" i="39"/>
  <c r="L70" i="39"/>
  <c r="E2" i="76"/>
  <c r="B2" i="76"/>
  <c r="B3" i="43"/>
  <c r="C42" i="68"/>
  <c r="R27" i="6"/>
  <c r="R6" i="1"/>
  <c r="C58" i="15"/>
  <c r="C67" i="15" s="1"/>
  <c r="C68" i="15" s="1"/>
  <c r="C71" i="15" s="1"/>
  <c r="C30" i="12"/>
  <c r="C28" i="12" s="1"/>
  <c r="C32" i="12" s="1"/>
  <c r="B2" i="12" s="1"/>
  <c r="B3" i="12" s="1"/>
  <c r="C39" i="11"/>
  <c r="C42" i="11"/>
  <c r="C46" i="68"/>
  <c r="C45" i="68" s="1"/>
  <c r="C43" i="68"/>
  <c r="C28" i="68"/>
  <c r="C27" i="68" s="1"/>
  <c r="C80" i="15"/>
  <c r="C79" i="15" s="1"/>
  <c r="Q69" i="15"/>
  <c r="Q68" i="15" s="1"/>
  <c r="C40" i="15"/>
  <c r="Q65" i="15" s="1"/>
  <c r="J16" i="67"/>
  <c r="J25" i="67" s="1"/>
  <c r="J52" i="37"/>
  <c r="C58" i="67"/>
  <c r="C67" i="67" s="1"/>
  <c r="C68" i="67" s="1"/>
  <c r="C71" i="67" s="1"/>
  <c r="J46" i="36"/>
  <c r="J59" i="34"/>
  <c r="J63" i="40"/>
  <c r="I65" i="40"/>
  <c r="Q67" i="15"/>
  <c r="L57" i="15"/>
  <c r="L60" i="15" s="1"/>
  <c r="Q69" i="67"/>
  <c r="Q68" i="67" s="1"/>
  <c r="C40" i="67"/>
  <c r="C80" i="67"/>
  <c r="C79" i="67" s="1"/>
  <c r="L51" i="67"/>
  <c r="C41" i="79" l="1"/>
  <c r="C46" i="79"/>
  <c r="C45" i="79" s="1"/>
  <c r="C31" i="79"/>
  <c r="R16" i="1"/>
  <c r="N68" i="39"/>
  <c r="M70" i="39"/>
  <c r="C39" i="69"/>
  <c r="C42" i="69"/>
  <c r="D5" i="71"/>
  <c r="M20" i="43"/>
  <c r="I6" i="6"/>
  <c r="I5" i="6"/>
  <c r="C24" i="69"/>
  <c r="C20" i="69"/>
  <c r="B3" i="76"/>
  <c r="C31" i="68"/>
  <c r="C41" i="68"/>
  <c r="C49" i="68" s="1"/>
  <c r="C51" i="68" s="1"/>
  <c r="C46" i="15"/>
  <c r="B2" i="15"/>
  <c r="B3" i="15" s="1"/>
  <c r="C43" i="15"/>
  <c r="C46" i="11"/>
  <c r="C45" i="11" s="1"/>
  <c r="C43" i="11"/>
  <c r="C41" i="11" s="1"/>
  <c r="Q47" i="15"/>
  <c r="Q53" i="15" s="1"/>
  <c r="C83" i="15"/>
  <c r="C82" i="15" s="1"/>
  <c r="Q56" i="15"/>
  <c r="C45" i="67"/>
  <c r="C46" i="67" s="1"/>
  <c r="K63" i="40"/>
  <c r="J65" i="40"/>
  <c r="K59" i="34"/>
  <c r="K46" i="36"/>
  <c r="K52" i="37"/>
  <c r="Q67" i="67"/>
  <c r="L57" i="67"/>
  <c r="L60" i="67" s="1"/>
  <c r="Q56" i="67"/>
  <c r="C43" i="67"/>
  <c r="Q47" i="67"/>
  <c r="Q53" i="67" s="1"/>
  <c r="Q65" i="67"/>
  <c r="D2" i="67"/>
  <c r="C83" i="67"/>
  <c r="C82" i="67" s="1"/>
  <c r="Q66" i="15"/>
  <c r="Q75" i="15" s="1"/>
  <c r="Q57" i="15"/>
  <c r="C49" i="79" l="1"/>
  <c r="C51" i="79" s="1"/>
  <c r="C52" i="79" s="1"/>
  <c r="B2" i="79" s="1"/>
  <c r="L22" i="9" s="1"/>
  <c r="F11" i="34"/>
  <c r="H11" i="34"/>
  <c r="J11" i="34"/>
  <c r="C28" i="69"/>
  <c r="C27" i="69" s="1"/>
  <c r="C25" i="69"/>
  <c r="C22" i="69" s="1"/>
  <c r="C46" i="69"/>
  <c r="C45" i="69" s="1"/>
  <c r="C43" i="69"/>
  <c r="C41" i="69" s="1"/>
  <c r="N70" i="39"/>
  <c r="O68" i="39"/>
  <c r="O70" i="39" s="1"/>
  <c r="C52" i="68"/>
  <c r="B2" i="68" s="1"/>
  <c r="L23" i="9" s="1"/>
  <c r="C49" i="11"/>
  <c r="C51" i="11" s="1"/>
  <c r="C52" i="11" s="1"/>
  <c r="B2" i="11" s="1"/>
  <c r="B3" i="11" s="1"/>
  <c r="Q62" i="15"/>
  <c r="L59" i="34"/>
  <c r="L63" i="40"/>
  <c r="K65" i="40"/>
  <c r="L52" i="37"/>
  <c r="M52" i="37" s="1"/>
  <c r="N52" i="37" s="1"/>
  <c r="O52" i="37" s="1"/>
  <c r="H7" i="37" s="1"/>
  <c r="F7" i="37"/>
  <c r="L46" i="36"/>
  <c r="M46" i="36" s="1"/>
  <c r="N46" i="36" s="1"/>
  <c r="O46" i="36" s="1"/>
  <c r="J7" i="36" s="1"/>
  <c r="F7" i="36"/>
  <c r="B3" i="67"/>
  <c r="B2" i="67"/>
  <c r="Q66" i="67"/>
  <c r="Q75" i="67" s="1"/>
  <c r="Q57" i="67"/>
  <c r="Q62" i="67" s="1"/>
  <c r="B3" i="79"/>
  <c r="C19" i="9"/>
  <c r="L26" i="9" l="1"/>
  <c r="K22" i="9"/>
  <c r="C57" i="79"/>
  <c r="C56" i="79" s="1"/>
  <c r="U11" i="34"/>
  <c r="AB11" i="34"/>
  <c r="AC11" i="34"/>
  <c r="W11" i="34"/>
  <c r="S11" i="34"/>
  <c r="AA11" i="34"/>
  <c r="C49" i="69"/>
  <c r="C51" i="69" s="1"/>
  <c r="C31" i="69"/>
  <c r="J7" i="39"/>
  <c r="H7" i="39"/>
  <c r="F7" i="39"/>
  <c r="G19" i="9"/>
  <c r="D22" i="9"/>
  <c r="C102" i="9"/>
  <c r="C21" i="9"/>
  <c r="C57" i="68"/>
  <c r="C56" i="68" s="1"/>
  <c r="C56" i="11"/>
  <c r="C57" i="11" s="1"/>
  <c r="U7" i="37"/>
  <c r="AB7" i="37"/>
  <c r="T42" i="37" s="1"/>
  <c r="G42" i="37" s="1"/>
  <c r="W7" i="36"/>
  <c r="AC7" i="36"/>
  <c r="V36" i="36" s="1"/>
  <c r="I36" i="36" s="1"/>
  <c r="J7" i="37"/>
  <c r="AA7" i="36"/>
  <c r="R36" i="36" s="1"/>
  <c r="S7" i="36"/>
  <c r="S7" i="37"/>
  <c r="AA7" i="37"/>
  <c r="R42" i="37" s="1"/>
  <c r="M63" i="40"/>
  <c r="L65" i="40"/>
  <c r="M59" i="34"/>
  <c r="N59" i="34" s="1"/>
  <c r="O59" i="34" s="1"/>
  <c r="J7" i="34" s="1"/>
  <c r="H7" i="34"/>
  <c r="H7" i="36"/>
  <c r="B3" i="68"/>
  <c r="C20" i="9"/>
  <c r="K23" i="9" l="1"/>
  <c r="F7" i="34"/>
  <c r="AA7" i="34" s="1"/>
  <c r="R49" i="34" s="1"/>
  <c r="C52" i="69"/>
  <c r="B2" i="69" s="1"/>
  <c r="B3" i="69" s="1"/>
  <c r="U7" i="39"/>
  <c r="AB7" i="39"/>
  <c r="T47" i="39" s="1"/>
  <c r="G47" i="39" s="1"/>
  <c r="AA7" i="39"/>
  <c r="R47" i="39" s="1"/>
  <c r="S7" i="39"/>
  <c r="W7" i="39"/>
  <c r="AC7" i="39"/>
  <c r="V47" i="39" s="1"/>
  <c r="I47" i="39" s="1"/>
  <c r="G20" i="9"/>
  <c r="C103" i="9"/>
  <c r="C32" i="9"/>
  <c r="G21" i="9"/>
  <c r="U7" i="34"/>
  <c r="AB7" i="34"/>
  <c r="T49" i="34" s="1"/>
  <c r="G49" i="34" s="1"/>
  <c r="W7" i="34"/>
  <c r="AC7" i="34"/>
  <c r="V49" i="34" s="1"/>
  <c r="I49" i="34" s="1"/>
  <c r="N63" i="40"/>
  <c r="M65" i="40"/>
  <c r="R37" i="36"/>
  <c r="E36" i="36"/>
  <c r="I40" i="36"/>
  <c r="J40" i="36" s="1"/>
  <c r="I41" i="36"/>
  <c r="J41" i="36" s="1"/>
  <c r="G46" i="37"/>
  <c r="H46" i="37" s="1"/>
  <c r="U7" i="36"/>
  <c r="AB7" i="36"/>
  <c r="T36" i="36" s="1"/>
  <c r="G36" i="36" s="1"/>
  <c r="R43" i="37"/>
  <c r="E42" i="37"/>
  <c r="W7" i="37"/>
  <c r="AC7" i="37"/>
  <c r="V42" i="37" s="1"/>
  <c r="I42" i="37" s="1"/>
  <c r="G47" i="37" s="1"/>
  <c r="H47" i="37" s="1"/>
  <c r="S7" i="34" l="1"/>
  <c r="C57" i="69"/>
  <c r="C56" i="69" s="1"/>
  <c r="I51" i="39"/>
  <c r="J51" i="39" s="1"/>
  <c r="G51" i="39"/>
  <c r="H51" i="39" s="1"/>
  <c r="G52" i="39"/>
  <c r="H52" i="39" s="1"/>
  <c r="E47" i="39"/>
  <c r="I52" i="39" s="1"/>
  <c r="J52" i="39" s="1"/>
  <c r="R48" i="39"/>
  <c r="H118" i="9"/>
  <c r="C35" i="9"/>
  <c r="F118" i="9" s="1"/>
  <c r="E47" i="37"/>
  <c r="F47" i="37" s="1"/>
  <c r="E46" i="37"/>
  <c r="F46" i="37" s="1"/>
  <c r="G41" i="36"/>
  <c r="H41" i="36" s="1"/>
  <c r="G40" i="36"/>
  <c r="H40" i="36" s="1"/>
  <c r="E41" i="36"/>
  <c r="F41" i="36" s="1"/>
  <c r="E40" i="36"/>
  <c r="F40" i="36" s="1"/>
  <c r="I53" i="34"/>
  <c r="J53" i="34" s="1"/>
  <c r="G53" i="34"/>
  <c r="H53" i="34" s="1"/>
  <c r="G54" i="34"/>
  <c r="H54" i="34" s="1"/>
  <c r="I47" i="37"/>
  <c r="J47" i="37" s="1"/>
  <c r="I46" i="37"/>
  <c r="J46" i="37" s="1"/>
  <c r="R50" i="34"/>
  <c r="E49" i="34"/>
  <c r="C43" i="37"/>
  <c r="B2" i="37" s="1"/>
  <c r="B3" i="37" s="1"/>
  <c r="C42" i="37"/>
  <c r="C37" i="36"/>
  <c r="B2" i="36" s="1"/>
  <c r="B3" i="36" s="1"/>
  <c r="C36" i="36"/>
  <c r="O63" i="40"/>
  <c r="O65" i="40" s="1"/>
  <c r="N65" i="40"/>
  <c r="C48" i="39" l="1"/>
  <c r="C47" i="39"/>
  <c r="C34" i="9"/>
  <c r="D118" i="9" s="1"/>
  <c r="D4" i="52" s="1"/>
  <c r="B47" i="72" s="1"/>
  <c r="E52" i="39"/>
  <c r="F52" i="39" s="1"/>
  <c r="E51" i="39"/>
  <c r="F51" i="39" s="1"/>
  <c r="F4" i="52"/>
  <c r="B51" i="72" s="1"/>
  <c r="G118" i="9"/>
  <c r="G4" i="52" s="1"/>
  <c r="B52" i="72" s="1"/>
  <c r="F119" i="9"/>
  <c r="F5" i="52" s="1"/>
  <c r="B53" i="72" s="1"/>
  <c r="I118" i="9"/>
  <c r="H101" i="9"/>
  <c r="D14" i="74"/>
  <c r="H119" i="9"/>
  <c r="H5" i="52" s="1"/>
  <c r="C104" i="9"/>
  <c r="H4" i="52"/>
  <c r="E54" i="34"/>
  <c r="F54" i="34" s="1"/>
  <c r="E53" i="34"/>
  <c r="F53" i="34" s="1"/>
  <c r="I54" i="34"/>
  <c r="J54" i="34" s="1"/>
  <c r="J7" i="40"/>
  <c r="F7" i="40"/>
  <c r="H7" i="40"/>
  <c r="C50" i="34"/>
  <c r="B2" i="34" s="1"/>
  <c r="B3" i="34" s="1"/>
  <c r="C49" i="34"/>
  <c r="D119" i="9" l="1"/>
  <c r="D5" i="52" s="1"/>
  <c r="B49" i="72" s="1"/>
  <c r="B56" i="39"/>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B5" i="74"/>
  <c r="F14" i="74"/>
  <c r="E14" i="74"/>
  <c r="C105" i="9"/>
  <c r="E118" i="9"/>
  <c r="E4" i="52" s="1"/>
  <c r="B48" i="72" s="1"/>
  <c r="H102" i="9"/>
  <c r="D7" i="53" s="1"/>
  <c r="B21" i="72" s="1"/>
  <c r="I4" i="52"/>
  <c r="D5" i="53"/>
  <c r="D45" i="9"/>
  <c r="H107" i="9"/>
  <c r="M48" i="9"/>
  <c r="W7" i="40"/>
  <c r="AC7" i="40"/>
  <c r="V42" i="40" s="1"/>
  <c r="I42" i="40" s="1"/>
  <c r="AB7" i="40"/>
  <c r="T42" i="40" s="1"/>
  <c r="G42" i="40" s="1"/>
  <c r="U7" i="40"/>
  <c r="S7" i="40"/>
  <c r="AA7" i="40"/>
  <c r="R42" i="40" s="1"/>
  <c r="H108" i="9" l="1"/>
  <c r="D15" i="53" s="1"/>
  <c r="B31" i="72" s="1"/>
  <c r="D13" i="53"/>
  <c r="D122" i="9"/>
  <c r="B20" i="72"/>
  <c r="D6" i="53"/>
  <c r="B22" i="72" s="1"/>
  <c r="C93" i="9"/>
  <c r="C86" i="9" s="1"/>
  <c r="D53" i="9"/>
  <c r="C64" i="9"/>
  <c r="C63" i="9" s="1"/>
  <c r="C67" i="9" s="1"/>
  <c r="C68" i="9" s="1"/>
  <c r="D54" i="9" s="1"/>
  <c r="C85" i="9"/>
  <c r="D52" i="9"/>
  <c r="D55" i="9"/>
  <c r="M53" i="9" s="1"/>
  <c r="C78" i="9"/>
  <c r="C73" i="9" s="1"/>
  <c r="C72" i="9"/>
  <c r="D5" i="74"/>
  <c r="C5" i="74"/>
  <c r="R43" i="40"/>
  <c r="E42" i="40"/>
  <c r="I47" i="40" s="1"/>
  <c r="J47" i="40" s="1"/>
  <c r="I46" i="40"/>
  <c r="J46" i="40" s="1"/>
  <c r="G47" i="40"/>
  <c r="H47" i="40" s="1"/>
  <c r="G46" i="40"/>
  <c r="H46" i="40" s="1"/>
  <c r="C95" i="9" l="1"/>
  <c r="C96" i="9" s="1"/>
  <c r="E96" i="9" s="1"/>
  <c r="E97" i="9" s="1"/>
  <c r="C79" i="9"/>
  <c r="C81" i="9" s="1"/>
  <c r="B30" i="72"/>
  <c r="D14" i="53"/>
  <c r="B32" i="72" s="1"/>
  <c r="G14" i="74"/>
  <c r="B6" i="74" s="1"/>
  <c r="D8" i="52"/>
  <c r="D123" i="9"/>
  <c r="D9" i="52" s="1"/>
  <c r="C43" i="40"/>
  <c r="C42" i="40"/>
  <c r="E47" i="40"/>
  <c r="F47" i="40" s="1"/>
  <c r="E46" i="40"/>
  <c r="F46" i="40" s="1"/>
  <c r="C80" i="9" l="1"/>
  <c r="E80" i="9" s="1"/>
  <c r="E81" i="9" s="1"/>
  <c r="C97" i="9"/>
  <c r="D58" i="9" s="1"/>
  <c r="D56" i="9" s="1"/>
  <c r="M54" i="9" s="1"/>
  <c r="N57" i="9" s="1"/>
  <c r="P57" i="9" s="1"/>
  <c r="D6" i="74"/>
  <c r="C6" i="74"/>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<sst xmlns="http://schemas.openxmlformats.org/spreadsheetml/2006/main" count="7674" uniqueCount="3264">
  <si>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</si>
  <si>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</si>
  <si>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</si>
  <si>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</si>
  <si>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</si>
  <si>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</si>
  <si>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</si>
  <si>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</si>
  <si>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</si>
  <si>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</si>
  <si>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</si>
  <si>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</si>
  <si>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</si>
  <si>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</si>
  <si>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</si>
  <si>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</si>
  <si>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</si>
  <si>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</si>
  <si>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</si>
  <si>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</si>
  <si>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</si>
  <si>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</si>
  <si>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</si>
  <si>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</si>
  <si>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</si>
  <si>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</si>
  <si>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</si>
  <si>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</si>
  <si>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</si>
  <si>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</si>
  <si>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</si>
  <si>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</si>
  <si>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</si>
  <si>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</si>
  <si>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</si>
  <si>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</si>
  <si>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</si>
  <si>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</si>
  <si>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</si>
  <si>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</si>
  <si>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</si>
  <si>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</si>
  <si>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</si>
  <si>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</si>
  <si>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</si>
  <si>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</si>
  <si>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</si>
  <si>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</si>
  <si>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</si>
  <si>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</si>
  <si>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</si>
  <si>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</si>
  <si>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</si>
  <si>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</si>
  <si>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</si>
  <si>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</si>
  <si>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</si>
  <si>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</si>
  <si>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</si>
  <si>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</si>
  <si>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</si>
  <si>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</si>
  <si>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</si>
  <si>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</si>
  <si>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</si>
  <si>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</si>
  <si>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</si>
  <si>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</si>
  <si>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</si>
  <si>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</si>
  <si>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</si>
  <si>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</si>
  <si>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</si>
  <si>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</si>
  <si>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</si>
  <si>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</si>
  <si>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</si>
  <si>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</si>
  <si>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</si>
  <si>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</si>
  <si>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</si>
  <si>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</si>
  <si>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</si>
  <si>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</si>
  <si>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</si>
  <si>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</si>
  <si>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</si>
  <si>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</si>
  <si>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</si>
  <si>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</si>
  <si>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</si>
  <si>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</si>
  <si>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</si>
  <si>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</si>
  <si>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</si>
  <si>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</si>
  <si>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</si>
  <si>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</si>
  <si>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</si>
  <si>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</si>
  <si>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</si>
  <si>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</si>
  <si>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</si>
  <si>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</si>
  <si>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</si>
  <si>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</si>
  <si>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</si>
  <si>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</si>
  <si>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</si>
  <si>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</si>
  <si>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</si>
  <si>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</si>
  <si>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</si>
  <si>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</si>
  <si>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</si>
  <si>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</si>
  <si>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</si>
  <si>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</si>
  <si>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</si>
  <si>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</si>
  <si>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</si>
  <si>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</si>
  <si>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</si>
  <si>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</si>
  <si>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</si>
  <si>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</si>
  <si>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</si>
  <si>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</si>
  <si>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</si>
  <si>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</si>
  <si>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</si>
  <si>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</si>
  <si>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</si>
  <si>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</si>
  <si>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</si>
  <si>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</si>
  <si>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</si>
  <si>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</si>
  <si>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</si>
  <si>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</si>
  <si>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</si>
  <si>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</si>
  <si>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</si>
  <si>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</si>
  <si>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</si>
  <si>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</si>
  <si>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</si>
  <si>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</si>
  <si>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</si>
  <si>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</si>
  <si>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</si>
  <si>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</si>
  <si>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</si>
  <si>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</si>
  <si>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</si>
  <si>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</si>
  <si>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</si>
  <si>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</si>
  <si>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</si>
  <si>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</si>
  <si>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</si>
  <si>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</si>
  <si>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</si>
  <si>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</si>
  <si>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</si>
  <si>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</si>
  <si>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</si>
  <si>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</si>
  <si>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</si>
  <si>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</si>
  <si>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</si>
  <si>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</si>
  <si>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</si>
  <si>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</si>
  <si>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</si>
  <si>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</si>
  <si>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</si>
  <si>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</si>
  <si>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</si>
  <si>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</si>
  <si>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</si>
  <si>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</si>
  <si>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</si>
  <si>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</si>
  <si>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</si>
  <si>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</si>
  <si>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</si>
  <si>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</si>
  <si>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</si>
  <si>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</si>
  <si>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</si>
  <si>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</si>
  <si>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</si>
  <si>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</si>
  <si>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</si>
  <si>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</si>
  <si>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</si>
  <si>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</si>
  <si>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</si>
  <si>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</si>
  <si>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</si>
  <si>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</si>
  <si>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</si>
  <si>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</si>
  <si>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</si>
  <si>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</si>
  <si>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</si>
  <si>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</si>
  <si>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</si>
  <si>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</si>
  <si>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</si>
  <si>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</si>
  <si>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</si>
  <si>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</si>
  <si>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</si>
  <si>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</si>
  <si>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</si>
  <si>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</si>
  <si>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</si>
  <si>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</si>
  <si>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</si>
  <si>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</si>
  <si>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</si>
  <si>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</si>
  <si>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</si>
  <si>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</si>
  <si>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</si>
  <si>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</si>
  <si>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</si>
  <si>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</si>
  <si>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</si>
  <si>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</si>
  <si>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</si>
  <si>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</si>
  <si>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</si>
  <si>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</si>
  <si>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</si>
  <si>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</si>
  <si>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</si>
  <si>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</si>
  <si>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</si>
  <si>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</si>
  <si>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</si>
  <si>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</si>
  <si>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</si>
  <si>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</si>
  <si>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</si>
  <si>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</si>
  <si>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</si>
  <si>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</si>
  <si>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</si>
  <si>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</si>
  <si>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</si>
  <si>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</si>
  <si>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</si>
  <si>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</si>
  <si>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</si>
  <si>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</si>
  <si>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</si>
  <si>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</si>
  <si>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</si>
  <si>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</si>
  <si>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</si>
  <si>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</si>
  <si>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</si>
  <si>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</si>
  <si>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</si>
  <si>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</si>
  <si>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</si>
  <si>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</si>
  <si>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</si>
  <si>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</si>
  <si>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</si>
  <si>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</si>
  <si>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</si>
  <si>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</si>
  <si>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</si>
  <si>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</si>
  <si>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</si>
  <si>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</si>
  <si>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</si>
  <si>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</si>
  <si>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</si>
  <si>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</si>
  <si>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</si>
  <si>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</si>
  <si>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</si>
  <si>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</si>
  <si>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</si>
  <si>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</si>
  <si>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</si>
  <si>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</si>
  <si>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</si>
  <si>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</si>
  <si>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</si>
  <si>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</si>
  <si>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</si>
  <si>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</si>
  <si>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</si>
  <si>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</si>
  <si>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</si>
  <si>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</si>
  <si>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</si>
  <si>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</si>
  <si>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</si>
  <si>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</si>
  <si>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</si>
  <si>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</si>
  <si>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</si>
  <si>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</si>
  <si>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</si>
  <si>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</si>
  <si>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</si>
  <si>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</si>
  <si>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</si>
  <si>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</si>
  <si>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</si>
  <si>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</si>
  <si>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</si>
  <si>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</si>
  <si>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</si>
  <si>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</si>
  <si>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</si>
  <si>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</si>
  <si>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</si>
  <si>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</si>
  <si>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</si>
  <si>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</si>
  <si>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</si>
  <si>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</si>
  <si>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</si>
  <si>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</si>
  <si>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</si>
  <si>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</si>
  <si>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</si>
  <si>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</si>
  <si>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</si>
  <si>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</si>
  <si>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</si>
  <si>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</si>
  <si>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</si>
  <si>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</si>
  <si>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</si>
  <si>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</si>
  <si>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</si>
  <si>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</si>
  <si>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</si>
  <si>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</si>
  <si>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</si>
  <si>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</si>
  <si>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</si>
  <si>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</si>
  <si>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</si>
  <si>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</si>
  <si>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</si>
  <si>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</si>
  <si>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</si>
  <si>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</si>
  <si>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</si>
  <si>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</si>
  <si>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</si>
  <si>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</si>
  <si>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</si>
  <si>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</si>
  <si>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</si>
  <si>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</si>
  <si>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</si>
  <si>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</si>
  <si>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</si>
  <si>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</si>
  <si>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</si>
  <si>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</si>
  <si>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</si>
  <si>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</si>
  <si>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</si>
  <si>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</si>
  <si>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</si>
  <si>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</si>
  <si>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</si>
  <si>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</si>
  <si>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</si>
  <si>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</si>
  <si>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</si>
  <si>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</si>
  <si>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</si>
  <si>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</si>
  <si>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</si>
  <si>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</si>
  <si>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</si>
  <si>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</si>
  <si>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</si>
  <si>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</si>
  <si>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</si>
  <si>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</si>
  <si>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</si>
  <si>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</si>
  <si>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</si>
  <si>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</si>
  <si>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</si>
  <si>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</si>
  <si>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</si>
  <si>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</si>
  <si>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</si>
  <si>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</si>
  <si>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</si>
  <si>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</si>
  <si>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</si>
  <si>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</si>
  <si>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</si>
  <si>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</si>
  <si>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</si>
  <si>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</si>
  <si>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</si>
  <si>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</si>
  <si>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</si>
  <si>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</si>
  <si>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</si>
  <si>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</si>
  <si>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</si>
  <si>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</si>
  <si>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</si>
  <si>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</si>
  <si>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</si>
  <si>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</si>
  <si>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</si>
  <si>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</si>
  <si>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</si>
  <si>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</si>
  <si>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</si>
  <si>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</si>
  <si>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</si>
  <si>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</si>
  <si>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</si>
  <si>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</si>
  <si>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</si>
  <si>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</si>
  <si>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</si>
  <si>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</si>
  <si>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</si>
  <si>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</si>
  <si>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</si>
  <si>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</si>
  <si>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</si>
  <si>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</si>
  <si>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</si>
  <si>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</si>
  <si>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</si>
  <si>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</si>
  <si>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</si>
  <si>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</si>
  <si>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</si>
  <si>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</si>
  <si>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</si>
  <si>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</si>
  <si>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</si>
  <si>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</si>
  <si>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</si>
  <si>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</si>
  <si>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</si>
  <si>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</si>
  <si>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</si>
  <si>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</si>
  <si>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</si>
  <si>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</si>
  <si>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</si>
  <si>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</si>
  <si>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</si>
  <si>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</si>
  <si>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</si>
  <si>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</si>
  <si>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</si>
  <si>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</si>
  <si>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</si>
  <si>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</si>
  <si>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</si>
  <si>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</si>
  <si>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</si>
  <si>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</si>
  <si>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</si>
  <si>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</si>
  <si>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</si>
  <si>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</si>
  <si>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</si>
  <si>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</si>
  <si>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</si>
  <si>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</si>
  <si>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</si>
  <si>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</si>
  <si>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</si>
  <si>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</si>
  <si>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</si>
  <si>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</si>
  <si>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</si>
  <si>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</si>
  <si>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</si>
  <si>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</si>
  <si>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</si>
  <si>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</si>
  <si>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</si>
  <si>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</si>
  <si>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</si>
  <si>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</si>
  <si>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</si>
  <si>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</si>
  <si>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</si>
  <si>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</si>
  <si>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</si>
  <si>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</si>
  <si>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</si>
  <si>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</si>
  <si>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</si>
  <si>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</si>
  <si>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</si>
  <si>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</si>
  <si>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</si>
  <si>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</si>
  <si>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</si>
  <si>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</si>
  <si>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</si>
  <si>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</si>
  <si>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</si>
  <si>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</si>
  <si>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</si>
  <si>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</si>
  <si>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</si>
  <si>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</si>
  <si>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</si>
  <si>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</si>
  <si>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</si>
  <si>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</si>
  <si>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</si>
  <si>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</si>
  <si>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</si>
  <si>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</si>
  <si>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</si>
  <si>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</si>
  <si>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</si>
  <si>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</si>
  <si>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</si>
  <si>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</si>
  <si>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</si>
  <si>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</si>
  <si>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</si>
  <si>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</si>
  <si>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</si>
  <si>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</si>
  <si>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</si>
  <si>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</si>
  <si>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</si>
  <si>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</si>
  <si>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</si>
  <si>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</si>
  <si>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</si>
  <si>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</si>
  <si>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</si>
  <si>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</si>
  <si>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</si>
  <si>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</si>
  <si>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</si>
  <si>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</si>
  <si>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</si>
  <si>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</si>
  <si>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</si>
  <si>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</si>
  <si>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</si>
  <si>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</si>
  <si>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</si>
  <si>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</si>
  <si>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</si>
  <si>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</si>
  <si>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</si>
  <si>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</si>
  <si>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</si>
  <si>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</si>
  <si>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</si>
  <si>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</si>
  <si>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</si>
  <si>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</si>
  <si>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</si>
  <si>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</si>
  <si>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</si>
  <si>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</si>
  <si>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</si>
  <si>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</si>
  <si>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</si>
  <si>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</si>
  <si>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</si>
  <si>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</si>
  <si>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</si>
  <si>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</si>
  <si>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</si>
  <si>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</si>
  <si>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</si>
  <si>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</si>
  <si>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</si>
  <si>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</si>
  <si>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</si>
  <si>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</si>
  <si>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</si>
  <si>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</si>
  <si>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</si>
  <si>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</si>
  <si>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</si>
  <si>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</si>
  <si>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</si>
  <si>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</si>
  <si>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</si>
  <si>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</si>
  <si>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</si>
  <si>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</si>
  <si>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</si>
  <si>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</si>
  <si>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</si>
  <si>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</si>
  <si>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</si>
  <si>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</si>
  <si>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</si>
  <si>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</si>
  <si>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</si>
  <si>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</si>
  <si>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</si>
  <si>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</si>
  <si>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</si>
  <si>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</si>
  <si>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</si>
  <si>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</si>
  <si>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</si>
  <si>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</si>
  <si>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</si>
  <si>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</si>
  <si>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</si>
  <si>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</si>
  <si>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</si>
  <si>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</si>
  <si>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</si>
  <si>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</si>
  <si>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</si>
  <si>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</si>
  <si>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</si>
  <si>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</si>
  <si>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</si>
  <si>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</si>
  <si>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</si>
  <si>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</si>
  <si>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</si>
  <si>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</si>
  <si>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</si>
  <si>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</si>
  <si>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</si>
  <si>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</si>
  <si>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</si>
  <si>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</si>
  <si>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</si>
  <si>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</si>
  <si>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</si>
  <si>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</si>
  <si>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</si>
  <si>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</si>
  <si>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</si>
  <si>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</si>
  <si>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</si>
  <si>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</si>
  <si>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</si>
  <si>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</si>
  <si>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</si>
  <si>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</si>
  <si>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</si>
  <si>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</si>
  <si>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</si>
  <si>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</si>
  <si>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</si>
  <si>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</si>
  <si>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</si>
  <si>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</si>
  <si>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</si>
  <si>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</si>
  <si>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</si>
  <si>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</si>
  <si>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</si>
  <si>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</si>
  <si>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</si>
  <si>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</si>
  <si>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</si>
  <si>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</si>
  <si>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</si>
  <si>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</si>
  <si>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</si>
  <si>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</si>
  <si>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</si>
  <si>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</si>
  <si>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</si>
  <si>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</si>
  <si>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</si>
  <si>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</si>
  <si>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</si>
  <si>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</si>
  <si>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</si>
  <si>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</si>
  <si>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</si>
  <si>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</si>
  <si>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</si>
  <si>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</si>
  <si>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</si>
  <si>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</si>
  <si>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</si>
  <si>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</si>
  <si>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</si>
  <si>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</si>
  <si>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</si>
  <si>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</si>
  <si>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</si>
  <si>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</si>
  <si>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</si>
  <si>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</si>
  <si>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</si>
  <si>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</si>
  <si>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</si>
  <si>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</si>
  <si>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</si>
  <si>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</si>
  <si>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</si>
  <si>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</si>
  <si>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</si>
  <si>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</si>
  <si>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</si>
  <si>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</si>
  <si>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</si>
  <si>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</si>
  <si>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</si>
  <si>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</si>
  <si>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</si>
  <si>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</si>
  <si>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</si>
  <si>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</si>
  <si>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</si>
  <si>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</si>
  <si>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</si>
  <si>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</si>
  <si>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</si>
  <si>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</si>
  <si>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</si>
  <si>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</si>
  <si>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</si>
  <si>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</si>
  <si>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</si>
  <si>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</si>
  <si>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</si>
  <si>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</si>
  <si>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</si>
  <si>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</si>
  <si>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</si>
  <si>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</si>
  <si>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</si>
  <si>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</si>
  <si>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</si>
  <si>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</si>
  <si>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</si>
  <si>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</si>
  <si>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</si>
  <si>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</si>
  <si>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</si>
  <si>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</si>
  <si>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</si>
  <si>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</si>
  <si>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</si>
  <si>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</si>
  <si>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</si>
  <si>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</si>
  <si>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</si>
  <si>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</si>
  <si>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</si>
  <si>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</si>
  <si>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</si>
  <si>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</si>
  <si>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</si>
  <si>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</si>
  <si>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</si>
  <si>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</si>
  <si>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</si>
  <si>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</si>
  <si>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</si>
  <si>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</si>
  <si>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</si>
  <si>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</si>
  <si>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</si>
  <si>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</si>
  <si>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</si>
  <si>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</si>
  <si>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</si>
  <si>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</si>
  <si>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</si>
  <si>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</si>
  <si>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</si>
  <si>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</si>
  <si>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</si>
  <si>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</si>
  <si>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</si>
  <si>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</si>
  <si>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</si>
  <si>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</si>
  <si>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</si>
  <si>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</si>
  <si>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</si>
  <si>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</si>
  <si>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</si>
  <si>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</si>
  <si>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</si>
  <si>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</si>
  <si>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</si>
  <si>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</si>
  <si>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</si>
  <si>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</si>
  <si>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</si>
  <si>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</si>
  <si>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</si>
  <si>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</si>
  <si>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</si>
  <si>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</si>
  <si>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</si>
  <si>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</si>
  <si>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</si>
  <si>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</si>
  <si>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</si>
  <si>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</si>
  <si>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</si>
  <si>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</si>
  <si>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</si>
  <si>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</si>
  <si>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</si>
  <si>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</si>
  <si>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</si>
  <si>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</si>
  <si>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</si>
  <si>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</si>
  <si>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</si>
  <si>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</si>
  <si>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</si>
  <si>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</si>
  <si>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</si>
  <si>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</si>
  <si>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</si>
  <si>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</si>
  <si>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</si>
  <si>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</si>
  <si>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</si>
  <si>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</si>
  <si>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</si>
  <si>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</si>
  <si>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</si>
  <si>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</si>
  <si>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</si>
  <si>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</si>
  <si>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</si>
  <si>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</si>
  <si>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</si>
  <si>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</si>
  <si>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</si>
  <si>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</si>
  <si>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</si>
  <si>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</si>
  <si>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</si>
  <si>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</si>
  <si>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</si>
  <si>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</si>
  <si>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</si>
  <si>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</si>
  <si>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</si>
  <si>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</si>
  <si>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</si>
  <si>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</si>
  <si>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</si>
  <si>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</si>
  <si>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</si>
  <si>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</si>
  <si>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</si>
  <si>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</si>
  <si>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</si>
  <si>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</si>
  <si>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</si>
  <si>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</si>
  <si>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</si>
  <si>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</si>
  <si>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</si>
  <si>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</si>
  <si>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</si>
  <si>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</si>
  <si>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</si>
  <si>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</si>
  <si>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</si>
  <si>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</si>
  <si>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</si>
  <si>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</si>
  <si>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</si>
  <si>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</si>
  <si>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</si>
  <si>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</si>
  <si>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</si>
  <si>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</si>
  <si>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</si>
  <si>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</si>
  <si>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</si>
  <si>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</si>
  <si>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</si>
  <si>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</si>
  <si>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</si>
  <si>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</si>
  <si>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</si>
  <si>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</si>
  <si>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</si>
  <si>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</si>
  <si>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</si>
  <si>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</si>
  <si>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</si>
  <si>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</si>
  <si>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</si>
  <si>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</si>
  <si>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</si>
  <si>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</si>
  <si>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</si>
  <si>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</si>
  <si>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</si>
  <si>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</si>
  <si>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</si>
  <si>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</si>
  <si>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</si>
  <si>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</si>
  <si>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</si>
  <si>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</si>
  <si>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</si>
  <si>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</si>
  <si>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</si>
  <si>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</si>
  <si>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</si>
  <si>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</si>
  <si>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</si>
  <si>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</si>
  <si>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</si>
  <si>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</si>
  <si>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</si>
  <si>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</si>
  <si>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</si>
  <si>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</si>
  <si>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</si>
  <si>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</si>
  <si>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</si>
  <si>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</si>
  <si>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</si>
  <si>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</si>
  <si>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</si>
  <si>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</si>
  <si>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</si>
  <si>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</si>
  <si>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</si>
  <si>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</si>
  <si>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</si>
  <si>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</si>
  <si>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</si>
  <si>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</si>
  <si>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</si>
  <si>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</si>
  <si>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</si>
  <si>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</si>
  <si>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</si>
  <si>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</si>
  <si>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</si>
  <si>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</si>
  <si>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</si>
  <si>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</si>
  <si>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</si>
  <si>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</si>
  <si>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</si>
  <si>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</si>
  <si>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</si>
  <si>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</si>
  <si>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</si>
  <si>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</si>
  <si>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</si>
  <si>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</si>
  <si>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</si>
  <si>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</si>
  <si>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</si>
  <si>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</si>
  <si>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</si>
  <si>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</si>
  <si>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</si>
  <si>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</si>
  <si>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</si>
  <si>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</si>
  <si>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</si>
  <si>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</si>
  <si>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</si>
  <si>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</si>
  <si>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</si>
  <si>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</si>
  <si>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</si>
  <si>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</si>
  <si>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</si>
  <si>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</si>
  <si>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</si>
  <si>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</si>
  <si>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</si>
  <si>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</si>
  <si>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</si>
  <si>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</si>
  <si>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</si>
  <si>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</si>
  <si>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</si>
  <si>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</si>
  <si>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</si>
  <si>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</si>
  <si>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</si>
  <si>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</si>
  <si>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</si>
  <si>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</si>
  <si>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</si>
  <si>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</si>
  <si>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</si>
  <si>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</si>
  <si>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</si>
  <si>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</si>
  <si>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</si>
  <si>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</si>
  <si>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</si>
  <si>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</si>
  <si>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</si>
  <si>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</si>
  <si>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</si>
  <si>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</si>
  <si>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</si>
  <si>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</si>
  <si>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</si>
  <si>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</si>
  <si>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</si>
  <si>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</si>
  <si>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</si>
  <si>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</si>
  <si>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</si>
  <si>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</si>
  <si>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</si>
  <si>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</si>
  <si>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</si>
  <si>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</si>
  <si>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</si>
  <si>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</si>
  <si>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</si>
  <si>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</si>
  <si>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</si>
  <si>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</si>
  <si>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</si>
  <si>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</si>
  <si>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</si>
  <si>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</si>
  <si>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</si>
  <si>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</si>
  <si>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</si>
  <si>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</si>
  <si>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</si>
  <si>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</si>
  <si>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</si>
  <si>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</si>
  <si>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</si>
  <si>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</si>
  <si>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</si>
  <si>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</si>
  <si>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</si>
  <si>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</si>
  <si>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</si>
  <si>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</si>
  <si>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</si>
  <si>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</si>
  <si>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</si>
  <si>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</si>
  <si>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</si>
  <si>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</si>
  <si>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</si>
  <si>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</si>
  <si>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</si>
  <si>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</si>
  <si>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</si>
  <si>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</si>
  <si>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</si>
  <si>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</si>
  <si>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</si>
  <si>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</si>
  <si>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</si>
  <si>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</si>
  <si>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</si>
  <si>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</si>
  <si>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</si>
  <si>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</si>
  <si>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</si>
  <si>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</si>
  <si>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</si>
  <si>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</si>
  <si>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</si>
  <si>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</si>
  <si>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</si>
  <si>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</si>
  <si>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</si>
  <si>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</si>
  <si>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</si>
  <si>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</si>
  <si>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</si>
  <si>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</si>
  <si>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</si>
  <si>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</si>
  <si>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</si>
  <si>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</si>
  <si>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</si>
  <si>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</si>
  <si>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</si>
  <si>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</si>
  <si>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</si>
  <si>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</si>
  <si>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</si>
  <si>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</si>
  <si>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</si>
  <si>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</si>
  <si>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</si>
  <si>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</si>
  <si>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</si>
  <si>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</si>
  <si>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</si>
  <si>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</si>
  <si>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</si>
  <si>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</si>
  <si>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</si>
  <si>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</si>
  <si>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</si>
  <si>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</si>
  <si>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</si>
  <si>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</si>
  <si>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</si>
  <si>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</si>
  <si>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</si>
  <si>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</si>
  <si>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</si>
  <si>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</si>
  <si>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</si>
  <si>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</si>
  <si>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</si>
  <si>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</si>
  <si>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</si>
  <si>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</si>
  <si>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</si>
  <si>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</si>
  <si>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</si>
  <si>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</si>
  <si>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</si>
  <si>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</si>
  <si>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</si>
  <si>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</si>
  <si>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</si>
  <si>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</si>
  <si>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</si>
  <si>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</si>
  <si>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</si>
  <si>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</si>
  <si>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</si>
  <si>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</si>
  <si>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</si>
  <si>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</si>
  <si>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</si>
  <si>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</si>
  <si>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</si>
  <si>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</si>
  <si>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</si>
  <si>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</si>
  <si>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</si>
  <si>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</si>
  <si>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</si>
  <si>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</si>
  <si>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</si>
  <si>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</si>
  <si>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</si>
  <si>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</si>
  <si>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</si>
  <si>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</si>
  <si>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</si>
  <si>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</si>
  <si>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</si>
  <si>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</si>
  <si>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</si>
  <si>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</si>
  <si>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</si>
  <si>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</si>
  <si>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</si>
  <si>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</si>
  <si>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</si>
  <si>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</si>
  <si>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</si>
  <si>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</si>
  <si>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</si>
  <si>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</si>
  <si>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</si>
  <si>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</si>
  <si>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</si>
  <si>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</si>
  <si>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</si>
  <si>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</si>
  <si>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</si>
  <si>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</si>
  <si>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</si>
  <si>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</si>
  <si>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</si>
  <si>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</si>
  <si>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</si>
  <si>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</si>
  <si>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</si>
  <si>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</si>
  <si>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</si>
  <si>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</si>
  <si>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</si>
  <si>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</si>
  <si>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</si>
  <si>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</si>
  <si>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</si>
  <si>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</si>
  <si>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</si>
  <si>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</si>
  <si>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</si>
  <si>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</si>
  <si>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</si>
  <si>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</si>
  <si>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</si>
  <si>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</si>
  <si>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</si>
  <si>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</si>
  <si>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</si>
  <si>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</si>
  <si>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</si>
  <si>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</si>
  <si>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</si>
  <si>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</si>
  <si>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</si>
  <si>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</si>
  <si>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</si>
  <si>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</si>
  <si>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</si>
  <si>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</si>
  <si>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</si>
  <si>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</si>
  <si>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</si>
  <si>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</si>
  <si>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</si>
  <si>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</si>
  <si>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</si>
  <si>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</si>
  <si>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</si>
  <si>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</si>
  <si>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</si>
  <si>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</si>
  <si>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</si>
  <si>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</si>
  <si>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</si>
  <si>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</si>
  <si>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</si>
  <si>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</si>
  <si>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</si>
  <si>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</si>
  <si>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</si>
  <si>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</si>
  <si>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</si>
  <si>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</si>
  <si>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</si>
  <si>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</si>
  <si>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</si>
  <si>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</si>
  <si>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</si>
  <si>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</si>
  <si>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</si>
  <si>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</si>
  <si>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</si>
  <si>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</si>
  <si>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</si>
  <si>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</si>
  <si>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</si>
  <si>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</si>
  <si>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</si>
  <si>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</si>
  <si>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</si>
  <si>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</si>
  <si>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</si>
  <si>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</si>
  <si>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</si>
  <si>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</si>
  <si>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</si>
  <si>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</si>
  <si>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</si>
  <si>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</si>
  <si>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</si>
  <si>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</si>
  <si>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</si>
  <si>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</si>
  <si>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</si>
  <si>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</si>
  <si>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</si>
  <si>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</si>
  <si>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</si>
  <si>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</si>
  <si>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</si>
  <si>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</si>
  <si>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</si>
  <si>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</si>
  <si>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</si>
  <si>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</si>
  <si>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</si>
  <si>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</si>
  <si>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</si>
  <si>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</si>
  <si>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</si>
  <si>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</si>
  <si>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</si>
  <si>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</si>
  <si>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</si>
  <si>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</si>
  <si>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</si>
  <si>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</si>
  <si>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</si>
  <si>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</si>
  <si>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</si>
  <si>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</si>
  <si>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</si>
  <si>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</si>
  <si>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</si>
  <si>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</si>
  <si>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</si>
  <si>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</si>
  <si>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</si>
  <si>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</si>
  <si>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</si>
  <si>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</si>
  <si>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</si>
  <si>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</si>
  <si>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</si>
  <si>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</si>
  <si>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</si>
  <si>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</si>
  <si>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</si>
  <si>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</si>
  <si>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</si>
  <si>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</si>
  <si>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</si>
  <si>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</si>
  <si>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</si>
  <si>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</si>
  <si>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</si>
  <si>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</si>
  <si>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</si>
  <si>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</si>
  <si>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</si>
  <si>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</si>
  <si>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</si>
  <si>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</si>
  <si>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</si>
  <si>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</si>
  <si>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</si>
  <si>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</si>
  <si>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</si>
  <si>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</si>
  <si>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</si>
  <si>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</si>
  <si>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</si>
  <si>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</si>
  <si>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</si>
  <si>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</si>
  <si>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</si>
  <si>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</si>
  <si>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</si>
  <si>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</si>
  <si>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</si>
  <si>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</si>
  <si>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</si>
  <si>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</si>
  <si>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</si>
  <si>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</si>
  <si>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</si>
  <si>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</si>
  <si>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</si>
  <si>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</si>
  <si>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</si>
  <si>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</si>
  <si>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</si>
  <si>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</si>
  <si>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</si>
  <si>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</si>
  <si>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</si>
  <si>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</si>
  <si>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</si>
  <si>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</si>
  <si>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</si>
  <si>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</si>
  <si>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</si>
  <si>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</si>
  <si>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</si>
  <si>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</si>
  <si>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</si>
  <si>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</si>
  <si>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</si>
  <si>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</si>
  <si>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</si>
  <si>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</si>
  <si>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</si>
  <si>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</si>
  <si>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</si>
  <si>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</si>
  <si>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</si>
  <si>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</si>
  <si>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</si>
  <si>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</si>
  <si>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</si>
  <si>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</si>
  <si>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</si>
  <si>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</si>
  <si>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</si>
  <si>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</si>
  <si>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</si>
  <si>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</si>
  <si>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</si>
  <si>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</si>
  <si>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</si>
  <si>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</si>
  <si>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</si>
  <si>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</si>
  <si>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</si>
  <si>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</si>
  <si>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</si>
  <si>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</si>
  <si>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</si>
  <si>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</si>
  <si>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</si>
  <si>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</si>
  <si>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</si>
  <si>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</si>
  <si>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</si>
  <si>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</si>
  <si>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</si>
  <si>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</si>
  <si>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</si>
  <si>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</si>
  <si>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</si>
  <si>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</si>
  <si>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</si>
  <si>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</si>
  <si>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</si>
  <si>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</si>
  <si>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</si>
  <si>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</si>
  <si>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</si>
  <si>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</si>
  <si>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</si>
  <si>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</si>
  <si>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</si>
  <si>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</si>
  <si>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</si>
  <si>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</si>
  <si>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</si>
  <si>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</si>
  <si>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</si>
  <si>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</si>
  <si>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</si>
  <si>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</si>
  <si>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</si>
  <si>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</si>
  <si>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</si>
  <si>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</si>
  <si>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</si>
  <si>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</si>
  <si>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</si>
  <si>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</si>
  <si>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</si>
  <si>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</si>
  <si>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</si>
  <si>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</si>
  <si>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</si>
  <si>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</si>
  <si>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</si>
  <si>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</si>
  <si>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</si>
  <si>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</si>
  <si>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</si>
  <si>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</si>
  <si>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</si>
  <si>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</si>
  <si>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</si>
  <si>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</si>
  <si>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</si>
  <si>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</si>
  <si>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</si>
  <si>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</si>
  <si>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</si>
  <si>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</si>
  <si>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</si>
  <si>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</si>
  <si>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</si>
  <si>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</si>
  <si>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</si>
  <si>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</si>
  <si>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</si>
  <si>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</si>
  <si>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</si>
  <si>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</si>
  <si>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</si>
  <si>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</si>
  <si>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</si>
  <si>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</si>
  <si>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</si>
  <si>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</si>
  <si>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</si>
  <si>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</si>
  <si>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</si>
  <si>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</si>
  <si>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</si>
  <si>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</si>
  <si>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</si>
  <si>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</si>
  <si>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</si>
  <si>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</si>
  <si>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</si>
  <si>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</si>
  <si>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</si>
  <si>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</si>
  <si>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</si>
  <si>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</si>
  <si>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</si>
  <si>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</si>
  <si>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</si>
  <si>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</si>
  <si>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</si>
  <si>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</si>
  <si>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</si>
  <si>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</si>
  <si>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</si>
  <si>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</si>
  <si>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</si>
  <si>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</si>
  <si>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</si>
  <si>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</si>
  <si>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</si>
  <si>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</si>
  <si>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</si>
  <si>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</si>
  <si>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</si>
  <si>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</si>
  <si>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</si>
  <si>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</si>
  <si>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</si>
  <si>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</si>
  <si>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</si>
  <si>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</si>
  <si>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</si>
  <si>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</si>
  <si>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</si>
  <si>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</si>
  <si>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</si>
  <si>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</si>
  <si>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</si>
  <si>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</si>
  <si>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</si>
  <si>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</si>
  <si>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</si>
  <si>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</si>
  <si>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</si>
  <si>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</si>
  <si>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</si>
  <si>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</si>
  <si>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</si>
  <si>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</si>
  <si>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</si>
  <si>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</si>
  <si>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</si>
  <si>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</si>
  <si>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</si>
  <si>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</si>
  <si>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</si>
  <si>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</si>
  <si>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</si>
  <si>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</si>
  <si>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</si>
  <si>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</si>
  <si>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</si>
  <si>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</si>
  <si>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</si>
  <si>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</si>
  <si>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</si>
  <si>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</si>
  <si>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</si>
  <si>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</si>
  <si>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</si>
  <si>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</si>
  <si>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</si>
  <si>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</si>
  <si>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</si>
  <si>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</si>
  <si>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</si>
  <si>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</si>
  <si>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</si>
  <si>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</si>
  <si>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</si>
  <si>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</si>
  <si>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</si>
  <si>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</si>
  <si>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</si>
  <si>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</si>
  <si>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</si>
  <si>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</si>
  <si>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</si>
  <si>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</si>
  <si>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</si>
  <si>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</si>
  <si>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</si>
  <si>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</si>
  <si>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</si>
  <si>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</si>
  <si>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</si>
  <si>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</si>
  <si>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</si>
  <si>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</si>
  <si>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</si>
  <si>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</si>
  <si>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</si>
  <si>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</si>
  <si>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</si>
  <si>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</si>
  <si>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</si>
  <si>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</si>
  <si>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</si>
  <si>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</si>
  <si>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</si>
  <si>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</si>
  <si>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</si>
  <si>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</si>
  <si>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</si>
  <si>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</si>
  <si>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</si>
  <si>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</si>
  <si>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</si>
  <si>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</si>
  <si>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</si>
  <si>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</si>
  <si>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</si>
  <si>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</si>
  <si>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</si>
  <si>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</si>
  <si>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</si>
  <si>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</si>
  <si>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</si>
  <si>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</si>
  <si>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</si>
  <si>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</si>
  <si>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</si>
  <si>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</si>
  <si>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</si>
  <si>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</si>
  <si>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</si>
  <si>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</si>
  <si>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</si>
  <si>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</si>
  <si>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</si>
  <si>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</si>
  <si>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</si>
  <si>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</si>
  <si>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</si>
  <si>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</si>
  <si>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</si>
  <si>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</si>
  <si>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</si>
  <si>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</si>
  <si>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</si>
  <si>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</si>
  <si>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</si>
  <si>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</si>
  <si>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</si>
  <si>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</si>
  <si>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</si>
  <si>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</si>
  <si>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</si>
  <si>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</si>
  <si>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</si>
  <si>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</si>
  <si>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</si>
  <si>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</si>
  <si>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</si>
  <si>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</si>
  <si>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</si>
  <si>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</si>
  <si>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</si>
  <si>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</si>
  <si>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</si>
  <si>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</si>
  <si>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</si>
  <si>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</si>
  <si>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</si>
  <si>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</si>
  <si>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</si>
  <si>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</si>
  <si>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</si>
  <si>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</si>
  <si>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</si>
  <si>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</si>
  <si>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</si>
  <si>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</si>
  <si>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</si>
  <si>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</si>
  <si>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</si>
  <si>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</si>
  <si>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</si>
  <si>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</si>
  <si>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</si>
  <si>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</si>
  <si>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</si>
  <si>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</si>
  <si>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</si>
  <si>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</si>
  <si>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</si>
  <si>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</si>
  <si>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</si>
  <si>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</si>
  <si>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</si>
  <si>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</si>
  <si>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</si>
  <si>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</si>
  <si>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</si>
  <si>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</si>
  <si>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</si>
  <si>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</si>
  <si>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</si>
  <si>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</si>
  <si>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</si>
  <si>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</si>
  <si>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</si>
  <si>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</si>
  <si>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</si>
  <si>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</si>
  <si>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</si>
  <si>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</si>
  <si>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</si>
  <si>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</si>
  <si>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</si>
  <si>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</si>
  <si>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</si>
  <si>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</si>
  <si>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</si>
  <si>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</si>
  <si>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</si>
  <si>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</si>
  <si>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</si>
  <si>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</si>
  <si>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</si>
  <si>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</si>
  <si>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</si>
  <si>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</si>
  <si>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</si>
  <si>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</si>
  <si>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</si>
  <si>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</si>
  <si>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</si>
  <si>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</si>
  <si>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</si>
  <si>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</si>
  <si>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</si>
  <si>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</si>
  <si>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</si>
  <si>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</si>
  <si>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</si>
  <si>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</si>
  <si>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</si>
  <si>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</si>
  <si>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</si>
  <si>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</si>
  <si>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</si>
  <si>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</si>
  <si>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</si>
  <si>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</si>
  <si>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</si>
  <si>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</si>
  <si>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</si>
  <si>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</si>
  <si>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</si>
  <si>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</si>
  <si>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</si>
  <si>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</si>
  <si>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</si>
  <si>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</si>
  <si>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</si>
  <si>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</si>
  <si>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</si>
  <si>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</si>
  <si>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</si>
  <si>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</si>
  <si>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</si>
  <si>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</si>
  <si>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</si>
  <si>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</si>
  <si>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</si>
  <si>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</si>
  <si>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</si>
  <si>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</si>
  <si>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</si>
  <si>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</si>
  <si>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</si>
  <si>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</si>
  <si>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</si>
  <si>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</si>
  <si>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</si>
  <si>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</si>
  <si>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</si>
  <si>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</si>
  <si>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</si>
  <si>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</si>
  <si>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</si>
  <si>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</si>
  <si>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</si>
  <si>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</si>
  <si>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</si>
  <si>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</si>
  <si>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</si>
  <si>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</si>
  <si>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</si>
  <si>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</si>
  <si>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</si>
  <si>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</si>
  <si>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</si>
  <si>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</si>
  <si>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</si>
  <si>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</si>
  <si>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</si>
  <si>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</si>
  <si>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</si>
  <si>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</si>
  <si>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</si>
  <si>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</si>
  <si>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</si>
  <si>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</si>
  <si>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</si>
  <si>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</si>
  <si>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</si>
  <si>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</si>
  <si>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</si>
  <si>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</si>
  <si>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</si>
  <si>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</si>
  <si>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</si>
  <si>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</si>
  <si>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</si>
  <si>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</si>
  <si>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</si>
  <si>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</si>
  <si>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</si>
  <si>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</si>
  <si>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</si>
  <si>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</si>
  <si>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</si>
  <si>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</si>
  <si>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</si>
  <si>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</si>
  <si>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</si>
  <si>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</si>
  <si>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</si>
  <si>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</si>
  <si>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</si>
  <si>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</si>
  <si>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</si>
  <si>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</si>
  <si>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</si>
  <si>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</si>
  <si>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</si>
  <si>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</si>
  <si>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</si>
  <si>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</si>
  <si>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</si>
  <si>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</si>
  <si>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</si>
  <si>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</si>
  <si>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</si>
  <si>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</si>
  <si>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</si>
  <si>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</si>
  <si>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</si>
  <si>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</si>
  <si>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</si>
  <si>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</si>
  <si>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</si>
  <si>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</si>
  <si>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</si>
  <si>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</si>
  <si>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</si>
  <si>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</si>
  <si>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</si>
  <si>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</si>
  <si>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</si>
  <si>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</si>
  <si>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</si>
  <si>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</si>
  <si>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</si>
  <si>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</si>
  <si>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</si>
  <si>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</si>
  <si>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</si>
  <si>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</si>
  <si>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</si>
  <si>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</si>
  <si>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</si>
  <si>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</si>
  <si>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</si>
  <si>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</si>
  <si>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</si>
  <si>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</si>
  <si>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</si>
  <si>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</si>
  <si>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</si>
  <si>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</si>
  <si>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</si>
  <si>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</si>
  <si>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</si>
  <si>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</si>
  <si>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</si>
  <si>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</si>
  <si>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</si>
  <si>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</si>
  <si>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</si>
  <si>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</si>
  <si>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</si>
  <si>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</si>
  <si>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</si>
  <si>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</si>
  <si>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</si>
  <si>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</si>
  <si>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</si>
  <si>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</si>
  <si>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</si>
  <si>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</si>
  <si>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</si>
  <si>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</si>
  <si>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</si>
  <si>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</si>
  <si>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</si>
  <si>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</si>
  <si>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</si>
  <si>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</si>
  <si>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</si>
  <si>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</si>
  <si>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</si>
  <si>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</si>
  <si>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</si>
  <si>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</si>
  <si>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</si>
  <si>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</si>
  <si>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</si>
  <si>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</si>
  <si>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</si>
  <si>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</si>
  <si>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</si>
  <si>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</si>
  <si>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</si>
  <si>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</si>
  <si>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</si>
  <si>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</si>
  <si>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</si>
  <si>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</si>
  <si>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</si>
  <si>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</si>
  <si>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</si>
  <si>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</si>
  <si>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</si>
  <si>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</si>
  <si>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</si>
  <si>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</si>
  <si>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</si>
  <si>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</si>
  <si>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</si>
  <si>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</si>
  <si>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</si>
  <si>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</si>
  <si>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</si>
  <si>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</si>
  <si>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</si>
  <si>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</si>
  <si>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</si>
  <si>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</si>
  <si>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</si>
  <si>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</si>
  <si>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</si>
  <si>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</si>
  <si>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</si>
  <si>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</si>
  <si>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</si>
  <si>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</si>
  <si>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</si>
  <si>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</si>
  <si>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</si>
  <si>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</si>
  <si>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</si>
  <si>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</si>
  <si>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</si>
  <si>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</si>
  <si>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</si>
  <si>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</si>
  <si>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</si>
  <si>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</si>
  <si>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</si>
  <si>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</si>
  <si>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</si>
  <si>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</si>
  <si>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</si>
  <si>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</si>
  <si>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</si>
  <si>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</si>
  <si>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</si>
  <si>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</si>
  <si>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</si>
  <si>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</si>
  <si>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</si>
  <si>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</si>
  <si>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</si>
  <si>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</si>
  <si>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</si>
  <si>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</si>
  <si>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</si>
  <si>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</si>
  <si>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</si>
  <si>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</si>
  <si>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</si>
  <si>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</si>
  <si>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</si>
  <si>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</si>
  <si>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</si>
  <si>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</si>
  <si>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</si>
  <si>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</si>
  <si>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</si>
  <si>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</si>
  <si>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</si>
  <si>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</si>
  <si>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</si>
  <si>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</si>
  <si>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</si>
  <si>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</si>
  <si>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</si>
  <si>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</si>
  <si>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</si>
  <si>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</si>
  <si>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</si>
  <si>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</si>
  <si>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</si>
  <si>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</si>
  <si>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</si>
  <si>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</si>
  <si>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</si>
  <si>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</si>
  <si>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</si>
  <si>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</si>
  <si>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</si>
  <si>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</si>
  <si>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</si>
  <si>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</si>
  <si>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</si>
  <si>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</si>
  <si>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</si>
  <si>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</si>
  <si>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</si>
  <si>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</si>
  <si>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</si>
  <si>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</si>
  <si>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</si>
  <si>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</si>
  <si>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</si>
  <si>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</si>
  <si>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</si>
  <si>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</si>
  <si>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</si>
  <si>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</si>
  <si>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</si>
  <si>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</si>
  <si>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</si>
  <si>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</si>
  <si>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</si>
  <si>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</si>
  <si>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</si>
  <si>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</si>
  <si>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</si>
  <si>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</si>
  <si>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</si>
  <si>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</si>
  <si>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</si>
  <si>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</si>
  <si>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</si>
  <si>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</si>
  <si>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</si>
  <si>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</si>
  <si>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</si>
  <si>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</si>
  <si>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</si>
  <si>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</si>
  <si>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</si>
  <si>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</si>
  <si>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</si>
  <si>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</si>
  <si>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</si>
  <si>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</si>
  <si>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</si>
  <si>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</si>
  <si>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</si>
  <si>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</si>
  <si>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</si>
  <si>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</si>
  <si>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</si>
  <si>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</si>
  <si>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</si>
  <si>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</si>
  <si>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</si>
  <si>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</si>
  <si>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</si>
  <si>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</si>
  <si>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</si>
  <si>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</si>
  <si>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</si>
  <si>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</si>
  <si>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</si>
  <si>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</si>
  <si>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</si>
  <si>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</si>
  <si>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</si>
  <si>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</si>
  <si>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</si>
  <si>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</si>
  <si>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</si>
  <si>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</si>
  <si>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</si>
  <si>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</si>
  <si>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</si>
  <si>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</si>
  <si>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</si>
  <si>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</si>
  <si>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</si>
  <si>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</si>
  <si>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</si>
  <si>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</si>
  <si>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</si>
  <si>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</si>
  <si>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</si>
  <si>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</si>
  <si>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</si>
  <si>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</si>
  <si>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</si>
  <si>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</si>
  <si>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</si>
  <si>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</si>
  <si>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</si>
  <si>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</si>
  <si>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</si>
  <si>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</si>
  <si>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</si>
  <si>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</si>
  <si>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</si>
  <si>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</si>
  <si>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</si>
  <si>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</si>
  <si>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</si>
  <si>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</si>
  <si>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</si>
  <si>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</si>
  <si>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</si>
  <si>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</si>
  <si>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</si>
  <si>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</si>
  <si>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</si>
  <si>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</si>
  <si>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</si>
  <si>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</si>
  <si>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</si>
  <si>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</si>
  <si>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</si>
  <si>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</si>
  <si>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</si>
  <si>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</si>
  <si>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</si>
  <si>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</si>
  <si>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</si>
  <si>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</si>
  <si>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</si>
  <si>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</si>
  <si>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</si>
  <si>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</si>
  <si>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</si>
  <si>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</si>
  <si>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</si>
  <si>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</si>
  <si>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</si>
  <si>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</si>
  <si>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</si>
  <si>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</si>
  <si>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</si>
  <si>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</si>
  <si>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</si>
  <si>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</si>
  <si>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</si>
  <si>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</si>
  <si>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</si>
  <si>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</si>
  <si>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</si>
  <si>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</si>
  <si>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</si>
  <si>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</si>
  <si>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</si>
  <si>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</si>
  <si>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</si>
  <si>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</si>
  <si>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</si>
  <si>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</si>
  <si>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</si>
  <si>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</si>
  <si>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</si>
  <si>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</si>
  <si>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</si>
  <si>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</si>
  <si>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</si>
  <si>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</si>
  <si>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</si>
  <si>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</si>
  <si>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</si>
  <si>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</si>
  <si>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</si>
  <si>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</si>
  <si>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</si>
  <si>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</si>
  <si>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</si>
  <si>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</si>
  <si>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</si>
  <si>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</si>
  <si>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</si>
  <si>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</si>
  <si>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</si>
  <si>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</si>
  <si>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</si>
  <si>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</si>
  <si>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</si>
  <si>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</si>
  <si>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</si>
  <si>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</si>
  <si>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</si>
  <si>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</si>
  <si>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</si>
  <si>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</si>
  <si>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</si>
  <si>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</si>
  <si>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</si>
  <si>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</si>
  <si>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</si>
  <si>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</si>
  <si>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</si>
  <si>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</si>
  <si>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</si>
  <si>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</si>
  <si>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</si>
  <si>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</si>
  <si>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</si>
  <si>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</si>
  <si>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</si>
  <si>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</si>
  <si>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</si>
  <si>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</si>
  <si>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</si>
  <si>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</si>
  <si>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</si>
  <si>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</si>
  <si>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</si>
  <si>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</si>
  <si>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</si>
  <si>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</si>
  <si>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</si>
  <si>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</si>
  <si>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</si>
  <si>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</si>
  <si>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</si>
  <si>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</si>
  <si>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</si>
  <si>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</si>
  <si>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</si>
  <si>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</si>
  <si>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</si>
  <si>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</si>
  <si>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</si>
  <si>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</si>
  <si>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</si>
  <si>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</si>
  <si>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</si>
  <si>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</si>
  <si>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</si>
  <si>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</si>
  <si>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</si>
  <si>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</si>
  <si>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</si>
  <si>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</si>
  <si>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</si>
  <si>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</si>
  <si>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</si>
  <si>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</si>
  <si>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</si>
  <si>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</si>
  <si>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</si>
  <si>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</si>
  <si>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</si>
  <si>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</si>
  <si>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</si>
  <si>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</si>
  <si>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</si>
  <si>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</si>
  <si>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</si>
  <si>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</si>
  <si>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</si>
  <si>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</si>
  <si>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</si>
  <si>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</si>
  <si>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</si>
  <si>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</si>
  <si>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</si>
  <si>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</si>
  <si>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</si>
  <si>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</si>
  <si>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</si>
  <si>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</si>
  <si>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</si>
  <si>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</si>
  <si>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</si>
  <si>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</si>
  <si>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</si>
  <si>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</si>
  <si>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</si>
  <si>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</si>
  <si>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</si>
  <si>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</si>
  <si>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</si>
  <si>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</si>
  <si>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</si>
  <si>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</si>
  <si>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</si>
  <si>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</si>
  <si>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</si>
  <si>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</si>
  <si>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</si>
  <si>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</si>
  <si>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</si>
  <si>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</si>
  <si>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</si>
  <si>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</si>
  <si>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</si>
  <si>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</si>
  <si>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</si>
  <si>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</si>
  <si>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</si>
  <si>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</si>
  <si>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</si>
  <si>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</si>
  <si>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</si>
  <si>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</si>
  <si>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</si>
  <si>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</si>
  <si>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</si>
  <si>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</si>
  <si>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</si>
  <si>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</si>
  <si>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</si>
  <si>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</si>
  <si>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</si>
  <si>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</si>
  <si>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</si>
  <si>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</si>
  <si>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</si>
  <si>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</si>
  <si>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</si>
  <si>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</si>
  <si>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</si>
  <si>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</si>
  <si>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</si>
  <si>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</si>
  <si>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</si>
  <si>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</si>
  <si>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</si>
  <si>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</si>
  <si>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</si>
  <si>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</si>
  <si>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</si>
  <si>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</si>
  <si>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</si>
  <si>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</si>
  <si>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</si>
  <si>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</si>
  <si>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</si>
  <si>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</si>
  <si>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</si>
  <si>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</si>
  <si>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</si>
  <si>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</si>
  <si>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</si>
  <si>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</si>
  <si>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</si>
  <si>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</si>
  <si>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</si>
  <si>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</si>
  <si>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</si>
  <si>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</si>
  <si>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</si>
  <si>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</si>
  <si>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</si>
  <si>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</si>
  <si>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</si>
  <si>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</si>
  <si>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</si>
  <si>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</si>
  <si>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</si>
  <si>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</si>
  <si>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</si>
  <si>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</si>
  <si>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</si>
  <si>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</si>
  <si>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</si>
  <si>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</si>
  <si>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</si>
  <si>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</si>
  <si>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</si>
  <si>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</si>
  <si>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</si>
  <si>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</si>
  <si>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</si>
  <si>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</si>
  <si>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</si>
  <si>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</si>
  <si>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</si>
  <si>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</si>
  <si>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</si>
  <si>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</si>
  <si>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</si>
  <si>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</si>
  <si>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</si>
  <si>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</si>
  <si>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</si>
  <si>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</si>
  <si>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</si>
  <si>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</si>
  <si>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</si>
  <si>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</si>
  <si>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</si>
  <si>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</si>
  <si>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</si>
  <si>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</si>
  <si>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</si>
  <si>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</si>
  <si>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</si>
  <si>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</si>
  <si>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</si>
  <si>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</si>
  <si>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</si>
  <si>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</si>
  <si>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</si>
  <si>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</si>
  <si>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</si>
  <si>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</si>
  <si>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</si>
  <si>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</si>
  <si>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</si>
  <si>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</si>
  <si>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</si>
  <si>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</si>
  <si>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</si>
  <si>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</si>
  <si>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</si>
  <si>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</si>
  <si>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</si>
  <si>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</si>
  <si>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</si>
  <si>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</si>
  <si>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</si>
  <si>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</si>
  <si>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</si>
  <si>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</si>
  <si>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</si>
  <si>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</si>
  <si>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</si>
  <si>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</si>
  <si>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</si>
  <si>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</si>
  <si>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</si>
  <si>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</si>
  <si>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</si>
  <si>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</si>
  <si>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</si>
  <si>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</si>
  <si>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</si>
  <si>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</si>
  <si>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</si>
  <si>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</si>
  <si>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</si>
  <si>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</si>
  <si>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</si>
  <si>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</si>
  <si>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</si>
  <si>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</si>
  <si>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</si>
  <si>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</si>
  <si>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</si>
  <si>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</si>
  <si>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</si>
  <si>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</si>
  <si>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</si>
  <si>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</si>
  <si>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</si>
  <si>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</si>
  <si>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</si>
  <si>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</si>
  <si>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</si>
  <si>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</si>
  <si>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</si>
  <si>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</si>
  <si>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</si>
  <si>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</si>
  <si>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</si>
  <si>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</si>
  <si>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</si>
  <si>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</si>
  <si>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</si>
  <si>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</si>
  <si>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</si>
  <si>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</si>
  <si>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</si>
  <si>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</si>
  <si>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</si>
  <si>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</si>
  <si>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</si>
  <si>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</si>
  <si>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</si>
  <si>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</si>
  <si>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</si>
  <si>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</si>
  <si>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</si>
  <si>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</si>
  <si>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</si>
  <si>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</si>
  <si>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</si>
  <si>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</si>
  <si>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</si>
  <si>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</si>
  <si>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</si>
  <si>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</si>
  <si>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</si>
  <si>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</si>
  <si>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</si>
  <si>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</si>
  <si>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</si>
  <si>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</si>
  <si>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</si>
  <si>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</si>
  <si>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</si>
  <si>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</si>
  <si>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</si>
  <si>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</si>
  <si>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</si>
  <si>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</si>
  <si>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</si>
  <si>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</si>
  <si>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</si>
  <si>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</si>
  <si>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</si>
  <si>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</si>
  <si>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</si>
  <si>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</si>
  <si>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</si>
  <si>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</si>
  <si>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</si>
  <si>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</si>
  <si>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</si>
  <si>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</si>
  <si>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</si>
  <si>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</si>
  <si>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</si>
  <si>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</si>
  <si>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</si>
  <si>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</si>
  <si>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</si>
  <si>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</si>
  <si>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</si>
  <si>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</si>
  <si>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</si>
  <si>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</si>
  <si>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</si>
  <si>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</si>
  <si>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</si>
  <si>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</si>
  <si>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</si>
  <si>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</si>
  <si>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</si>
  <si>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</si>
  <si>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</si>
  <si>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</si>
  <si>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</si>
  <si>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</si>
  <si>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</si>
  <si>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</si>
  <si>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</si>
  <si>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</si>
  <si>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</si>
  <si>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</si>
  <si>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</si>
  <si>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</si>
  <si>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</si>
  <si>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</si>
  <si>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</si>
  <si>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</si>
  <si>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</si>
  <si>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</si>
  <si>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</si>
  <si>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</si>
  <si>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</si>
  <si>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</si>
  <si>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</si>
  <si>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</si>
  <si>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</si>
  <si>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</si>
  <si>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</si>
  <si>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</si>
  <si>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</si>
  <si>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</si>
  <si>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</si>
  <si>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</si>
  <si>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</si>
  <si>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</si>
  <si>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</si>
  <si>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</si>
  <si>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</si>
  <si>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</si>
  <si>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</si>
  <si>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</si>
  <si>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</si>
  <si>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</si>
  <si>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</si>
  <si>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</si>
  <si>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</si>
  <si>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</si>
  <si>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</si>
  <si>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</si>
  <si>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</si>
  <si>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</si>
  <si>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</si>
  <si>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</si>
  <si>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</si>
  <si>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</si>
  <si>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</si>
  <si>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</si>
  <si>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</si>
  <si>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</si>
  <si>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</si>
  <si>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</si>
  <si>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</si>
  <si>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</si>
  <si>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</si>
  <si>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</si>
  <si>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</si>
  <si>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</si>
  <si>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</si>
  <si>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</si>
  <si>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</si>
  <si>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</si>
  <si>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</si>
  <si>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</si>
  <si>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</si>
  <si>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</si>
  <si>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</si>
  <si>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</si>
  <si>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</si>
  <si>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</si>
  <si>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</si>
  <si>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</si>
  <si>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</si>
  <si>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</si>
  <si>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</si>
  <si>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</si>
  <si>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</si>
  <si>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</si>
  <si>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</si>
  <si>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</si>
  <si>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</si>
  <si>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</si>
  <si>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</si>
  <si>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</si>
  <si>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</si>
  <si>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</si>
  <si>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</si>
  <si>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</si>
  <si>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</si>
  <si>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</si>
  <si>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</si>
  <si>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</si>
  <si>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</si>
  <si>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</si>
  <si>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</si>
  <si>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</si>
  <si>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</si>
  <si>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</si>
  <si>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</si>
  <si>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</si>
  <si>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</si>
  <si>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</si>
  <si>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</si>
  <si>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</si>
  <si>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</si>
  <si>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</si>
  <si>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</si>
  <si>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</si>
  <si>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</si>
  <si>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</si>
  <si>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</si>
  <si>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</si>
  <si>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</si>
  <si>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</si>
  <si>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</si>
  <si>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</si>
  <si>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</si>
  <si>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</si>
  <si>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</si>
  <si>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</si>
  <si>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</si>
  <si>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</si>
  <si>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</si>
  <si>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</si>
  <si>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</si>
  <si>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</si>
  <si>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</si>
  <si>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</si>
  <si>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</si>
  <si>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</si>
  <si>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</si>
  <si>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</si>
  <si>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</si>
  <si>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</si>
  <si>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</si>
  <si>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</si>
  <si>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</si>
  <si>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</si>
  <si>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</si>
  <si>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</si>
  <si>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</si>
  <si>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</si>
  <si>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</si>
  <si>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</si>
  <si>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</si>
  <si>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</si>
  <si>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</si>
  <si>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</si>
  <si>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</si>
  <si>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</si>
  <si>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</si>
  <si>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</si>
  <si>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</si>
  <si>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</si>
  <si>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</si>
  <si>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</si>
  <si>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</si>
  <si>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</si>
  <si>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</si>
  <si>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</si>
  <si>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</si>
  <si>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</si>
  <si>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</si>
  <si>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</si>
  <si>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</si>
  <si>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</si>
  <si>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</si>
  <si>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</si>
  <si>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</si>
  <si>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</si>
  <si>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</si>
  <si>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</si>
  <si>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</si>
  <si>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</si>
  <si>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</si>
  <si>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</si>
  <si>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</si>
  <si>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</si>
  <si>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</si>
  <si>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</si>
  <si>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</si>
  <si>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</si>
  <si>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</si>
  <si>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</si>
  <si>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</si>
  <si>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</si>
  <si>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</si>
  <si>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</si>
  <si>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</si>
  <si>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</si>
  <si>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</si>
  <si>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</si>
  <si>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</si>
  <si>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</si>
  <si>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</si>
  <si>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</si>
  <si>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</si>
  <si>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</si>
  <si>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</si>
  <si>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</si>
  <si>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</si>
  <si>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</si>
  <si>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</si>
  <si>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</si>
  <si>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</si>
  <si>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</si>
  <si>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</si>
  <si>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</si>
  <si>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</si>
  <si>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</si>
  <si>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</si>
  <si>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</si>
  <si>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</si>
  <si>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</si>
  <si>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</si>
  <si>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</si>
  <si>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</si>
  <si>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</si>
  <si>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</si>
  <si>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</si>
  <si>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</si>
  <si>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</si>
  <si>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</si>
  <si>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</si>
  <si>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</si>
  <si>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</si>
  <si>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</si>
  <si>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</si>
  <si>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</si>
  <si>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</si>
  <si>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</si>
  <si>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</si>
  <si>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</si>
  <si>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</si>
  <si>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</si>
  <si>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</si>
  <si>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</si>
  <si>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</si>
  <si>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</si>
  <si>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</si>
  <si>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</si>
  <si>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</si>
  <si>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</si>
  <si>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</si>
  <si>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</si>
  <si>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</si>
  <si>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</si>
  <si>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</si>
  <si>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</si>
  <si>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</si>
  <si>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</si>
  <si>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</si>
  <si>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</si>
  <si>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</si>
  <si>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</si>
  <si>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</si>
  <si>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</si>
  <si>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</si>
  <si>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</si>
  <si>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</si>
  <si>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</si>
  <si>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</si>
  <si>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</si>
  <si>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</si>
  <si>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</si>
  <si>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</si>
  <si>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</si>
  <si>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</si>
  <si>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</si>
  <si>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</si>
  <si>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</si>
  <si>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</si>
  <si>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</si>
  <si>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</si>
  <si>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</si>
  <si>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</si>
  <si>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</si>
  <si>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</si>
  <si>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</si>
  <si>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</si>
  <si>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</si>
  <si>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</si>
  <si>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</si>
  <si>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</si>
  <si>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</si>
  <si>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</si>
  <si>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</si>
  <si>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</si>
  <si>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</si>
  <si>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</si>
  <si>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</si>
  <si>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</si>
  <si>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</si>
  <si>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</si>
  <si>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</si>
  <si>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</si>
  <si>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</si>
  <si>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</si>
  <si>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</si>
  <si>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</si>
  <si>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</si>
  <si>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</si>
  <si>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</si>
  <si>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</si>
  <si>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</si>
  <si>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</si>
  <si>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</si>
  <si>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</si>
  <si>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</si>
  <si>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</si>
  <si>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</si>
  <si>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</si>
  <si>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</si>
  <si>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</si>
  <si>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</si>
  <si>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</si>
  <si>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</si>
  <si>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</si>
  <si>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</si>
  <si>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</si>
  <si>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</si>
  <si>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</si>
  <si>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</si>
  <si>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</si>
  <si>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</si>
  <si>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</si>
  <si>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</si>
  <si>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</si>
  <si>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</si>
  <si>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</si>
  <si>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</si>
  <si>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</si>
  <si>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</si>
  <si>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</si>
  <si>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</si>
  <si>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</si>
  <si>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</si>
  <si>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</si>
  <si>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</si>
  <si>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</si>
  <si>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</si>
  <si>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</si>
  <si>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</si>
  <si>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</si>
  <si>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</si>
  <si>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</si>
  <si>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</si>
  <si>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</si>
  <si>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</si>
  <si>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</si>
  <si>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</si>
  <si>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</si>
  <si>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</si>
  <si>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</si>
  <si>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</si>
  <si>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</si>
  <si>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</si>
  <si>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</si>
  <si>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</si>
  <si>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</si>
  <si>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</si>
  <si>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</si>
  <si>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</si>
  <si>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</si>
  <si>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</si>
  <si>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</si>
  <si>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</si>
  <si>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</si>
  <si>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</si>
  <si>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</si>
  <si>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</si>
  <si>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</si>
  <si>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</si>
  <si>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</si>
  <si>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</si>
  <si>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</si>
  <si>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</si>
  <si>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</si>
  <si>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</si>
  <si>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</si>
  <si>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</si>
  <si>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</si>
  <si>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</si>
  <si>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</si>
  <si>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</si>
  <si>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</si>
  <si>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</si>
  <si>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</si>
  <si>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</si>
  <si>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</si>
  <si>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</si>
  <si>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</si>
  <si>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</si>
  <si>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</si>
  <si>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</si>
  <si>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</si>
  <si>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</si>
  <si>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</si>
  <si>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</si>
  <si>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</si>
  <si>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</si>
  <si>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</si>
  <si>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</si>
  <si>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</si>
  <si>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</si>
  <si>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</si>
  <si>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</si>
  <si>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</si>
  <si>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</si>
  <si>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</si>
  <si>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</si>
  <si>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</si>
  <si>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</si>
  <si>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</si>
  <si>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</si>
  <si>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</si>
  <si>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</si>
  <si>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</si>
  <si>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</si>
  <si>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</si>
  <si>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</si>
  <si>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</si>
  <si>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</si>
  <si>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</si>
  <si>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</si>
  <si>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</si>
  <si>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</si>
  <si>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</si>
  <si>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</si>
  <si>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</si>
  <si>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</si>
  <si>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</si>
  <si>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</si>
  <si>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</si>
  <si>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</si>
  <si>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</si>
  <si>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</si>
  <si>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</si>
  <si>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</si>
  <si>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</si>
  <si>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</si>
  <si>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</si>
  <si>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</si>
  <si>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</si>
  <si>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</si>
  <si>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</si>
  <si>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</si>
  <si>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</si>
  <si>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</si>
  <si>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</si>
  <si>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</si>
  <si>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</si>
  <si>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</si>
  <si>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</si>
  <si>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</si>
  <si>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</si>
  <si>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</si>
  <si>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北京市</t>
  </si>
  <si>
    <r>
      <rPr>
        <sz val="12"/>
        <color theme="9" tint="-0.249977111117893"/>
        <rFont val="宋体"/>
        <family val="3"/>
        <charset val="134"/>
      </rPr>
      <t>东城区东直门南大街</t>
    </r>
    <r>
      <rPr>
        <sz val="12"/>
        <color theme="9" tint="-0.249977111117893"/>
        <rFont val="Arial"/>
        <family val="2"/>
      </rPr>
      <t>14</t>
    </r>
    <r>
      <rPr>
        <sz val="12"/>
        <color theme="9" tint="-0.249977111117893"/>
        <rFont val="宋体"/>
        <family val="3"/>
        <charset val="134"/>
      </rPr>
      <t>号</t>
    </r>
    <phoneticPr fontId="6" type="noConversion"/>
  </si>
  <si>
    <t>企业</t>
  </si>
  <si>
    <t>出让</t>
  </si>
  <si>
    <t>是</t>
  </si>
  <si>
    <t>地上</t>
  </si>
  <si>
    <t>办公楼</t>
  </si>
  <si>
    <t>成新度</t>
  </si>
  <si>
    <t>通路</t>
  </si>
  <si>
    <t>通电</t>
  </si>
  <si>
    <t>通讯</t>
  </si>
  <si>
    <t>通上水</t>
  </si>
  <si>
    <t>通下水</t>
  </si>
  <si>
    <t>燃气</t>
  </si>
  <si>
    <t>平整</t>
  </si>
  <si>
    <t>与级别开发程度不一致</t>
  </si>
  <si>
    <t>按公示增长率计算</t>
  </si>
  <si>
    <t>容积率修正</t>
  </si>
  <si>
    <t>较好</t>
  </si>
  <si>
    <t>好</t>
  </si>
  <si>
    <t>部分缴纳</t>
  </si>
  <si>
    <t>已包含在土地取得成本中</t>
  </si>
  <si>
    <t>成本法</t>
  </si>
  <si>
    <t>收益法（汇总）</t>
  </si>
  <si>
    <t>保利置业2019年投资物业月报(酒店类项目）</t>
  </si>
  <si>
    <t>物业名称：北京保利大厦</t>
  </si>
  <si>
    <t>一</t>
  </si>
  <si>
    <t>物业概况</t>
  </si>
  <si>
    <t>房产证面积</t>
  </si>
  <si>
    <t>实际使用面积</t>
  </si>
  <si>
    <t>备注</t>
  </si>
  <si>
    <t>总建筑面积</t>
  </si>
  <si>
    <t>其中：酒店经营面积</t>
  </si>
  <si>
    <t xml:space="preserve">           办公楼租赁面积</t>
  </si>
  <si>
    <t xml:space="preserve">           商铺租赁面积</t>
  </si>
  <si>
    <t xml:space="preserve">           其他租赁面积</t>
  </si>
  <si>
    <t xml:space="preserve">          非经营面积</t>
  </si>
  <si>
    <t>其中：地上面积</t>
  </si>
  <si>
    <t xml:space="preserve">           地下面积</t>
  </si>
  <si>
    <t>客房数量（间/套）</t>
  </si>
  <si>
    <t xml:space="preserve">中式高级套CS：2间 ; 西式高级套WS：2间;豪华套间DS：16间;保利套房PPS：1间;豪华大床间KB：44间;特色大床房UKB：2间;标准间ST：144间;小型标准间HST：21间
后豪华大床间HKB：36间 ;小型大床间JK：10间;连通房KC、SC：6间（KC大床间、SC标准间） 残疾人间DR：1间; 4F-20F共285间房  总床位：453个
</t>
  </si>
  <si>
    <t>餐位数量（个）</t>
  </si>
  <si>
    <t>丽宫餐厅、西餐厅、茶苑餐厅、大堂吧、艺吧；最大餐位92个</t>
  </si>
  <si>
    <t>会议室数量（个）</t>
  </si>
  <si>
    <t>多功能厅、会议中心3个、贵宾厅，最大座位数400</t>
  </si>
  <si>
    <t>车位（个）</t>
  </si>
  <si>
    <t>地面车位110个、地下车位100个</t>
  </si>
  <si>
    <t>二</t>
  </si>
  <si>
    <t>资产价值</t>
  </si>
  <si>
    <t>土地及建筑物账面值（原值）</t>
  </si>
  <si>
    <t>土地及建筑物估值（总部填写）</t>
  </si>
  <si>
    <t>-</t>
  </si>
  <si>
    <t>三</t>
  </si>
  <si>
    <t>经营情况</t>
  </si>
  <si>
    <t>序号</t>
  </si>
  <si>
    <t>科目</t>
  </si>
  <si>
    <t>2018年实际数</t>
  </si>
  <si>
    <t>2019年预算数</t>
  </si>
  <si>
    <t>1月</t>
  </si>
  <si>
    <t>2月</t>
  </si>
  <si>
    <t>3月</t>
  </si>
  <si>
    <t>4月</t>
  </si>
  <si>
    <t>5月</t>
  </si>
  <si>
    <t>6月</t>
  </si>
  <si>
    <t>7月</t>
  </si>
  <si>
    <t>8月</t>
  </si>
  <si>
    <t>9月</t>
  </si>
  <si>
    <t>10月</t>
  </si>
  <si>
    <t>11月</t>
  </si>
  <si>
    <t>12月</t>
  </si>
  <si>
    <t>完成比例</t>
  </si>
  <si>
    <t>本月平均房价（元/日/房）</t>
  </si>
  <si>
    <t>去年本月同期平均房价（元/日/房）</t>
  </si>
  <si>
    <t>本年平均房价（元/日/房）</t>
  </si>
  <si>
    <t>去年同期平均房价（元/日/房）</t>
  </si>
  <si>
    <t>本月可供出租房间数（间/套）</t>
  </si>
  <si>
    <t>本月实际出租房间数（间/套）</t>
  </si>
  <si>
    <t>本月客房出租率（%）</t>
  </si>
  <si>
    <t>去年本月同期（%）</t>
  </si>
  <si>
    <t>本年累计可供出租房间数（间/套）</t>
  </si>
  <si>
    <t>本年累计实际出租房间数（间/套）</t>
  </si>
  <si>
    <t>本年平均出租率（%）</t>
  </si>
  <si>
    <t>去年同期平均（%）</t>
  </si>
  <si>
    <t>本月餐位出租率（%）</t>
  </si>
  <si>
    <t>本年餐位平均出租率（%）</t>
  </si>
  <si>
    <t>办公楼本月平均租金（元/日/平方米）</t>
  </si>
  <si>
    <t>去年同期平均租金（元/日/平方米）</t>
  </si>
  <si>
    <t>办公楼本年平均租金（元/日/平方米）</t>
  </si>
  <si>
    <t>办公楼本月出租率（%）</t>
  </si>
  <si>
    <t>去年同期出租率（%）</t>
  </si>
  <si>
    <t>办公楼本年平均出租率（%）</t>
  </si>
  <si>
    <t>经营收入（万元）</t>
  </si>
  <si>
    <t>其中：客房出租收入（不含客吧、洗衣等收入）</t>
  </si>
  <si>
    <t xml:space="preserve">           餐饮收入</t>
  </si>
  <si>
    <t xml:space="preserve">          办公楼出租收入</t>
  </si>
  <si>
    <t xml:space="preserve">           商铺出租收入</t>
  </si>
  <si>
    <t xml:space="preserve">          车位出租收入</t>
  </si>
  <si>
    <t xml:space="preserve">          温泉收入</t>
  </si>
  <si>
    <t xml:space="preserve">          其他收入</t>
  </si>
  <si>
    <t>本年累计客房收入</t>
  </si>
  <si>
    <t>去年同期收入总额（万元）</t>
  </si>
  <si>
    <t>经营支出（万元）</t>
  </si>
  <si>
    <t>主营业务成本</t>
  </si>
  <si>
    <t>其他业务成本</t>
  </si>
  <si>
    <t>营业税金及附加</t>
  </si>
  <si>
    <t>销售费用</t>
  </si>
  <si>
    <t>管理费用</t>
  </si>
  <si>
    <t>财务费用</t>
  </si>
  <si>
    <t>去年同期经营支出总额</t>
  </si>
  <si>
    <t>其他收支（万元）</t>
  </si>
  <si>
    <t>资产减值损失</t>
  </si>
  <si>
    <t>公允价值变动收益（损失以“－”号填列）</t>
  </si>
  <si>
    <t>投资收益（损失以“－”号填列）</t>
  </si>
  <si>
    <t>资产处置收益（损失以“－”号填列）</t>
  </si>
  <si>
    <t>其他收益（损失以“－”号填列）</t>
  </si>
  <si>
    <t>营业利润（亏损以“-”号填列）</t>
  </si>
  <si>
    <t>加：营业外收入</t>
  </si>
  <si>
    <t>减：营业外支出</t>
  </si>
  <si>
    <t>利润总额（亏损总额以“－”号填列）</t>
  </si>
  <si>
    <t>去年同期利润总额</t>
  </si>
  <si>
    <t>所得税</t>
  </si>
  <si>
    <t>净利润（净亏损以“－”号填列）</t>
  </si>
  <si>
    <t xml:space="preserve"> 归属于母公司所有者的净利润</t>
  </si>
  <si>
    <t>去年同期净利润</t>
  </si>
  <si>
    <t>设施设备维修改造投入</t>
  </si>
  <si>
    <t>本月计提折旧</t>
  </si>
  <si>
    <t>其中：建筑物计提折旧</t>
  </si>
  <si>
    <t>本月摊销费用</t>
  </si>
  <si>
    <t>利息支出</t>
  </si>
  <si>
    <t>其中：调款利息收入</t>
  </si>
  <si>
    <t xml:space="preserve">            融资利息支出</t>
  </si>
  <si>
    <t>销售佣金及租赁佣金</t>
  </si>
  <si>
    <t>委托管理佣金</t>
  </si>
  <si>
    <t>税金</t>
  </si>
  <si>
    <t>本月增值税销项税</t>
  </si>
  <si>
    <t>本月增值税进项税</t>
  </si>
  <si>
    <t>本月应缴纳增值税</t>
  </si>
  <si>
    <t>增值税附加</t>
  </si>
  <si>
    <t>房产税</t>
  </si>
  <si>
    <t>土地使用税</t>
  </si>
  <si>
    <t>印花税</t>
  </si>
  <si>
    <t>其他税费</t>
  </si>
  <si>
    <t>平均每间可供出租客房收入（RevPAR）</t>
  </si>
  <si>
    <t>经营利润（收入-成本-税金）</t>
  </si>
  <si>
    <t>营业净收入（NOI)</t>
  </si>
  <si>
    <t>物业净收入（NPI)</t>
  </si>
  <si>
    <t>息税前利润（EBIT)</t>
  </si>
  <si>
    <t>息税折摊前利润(EBITDA)</t>
  </si>
  <si>
    <t>折摊前利润</t>
  </si>
  <si>
    <t>总营业成本率（%）</t>
  </si>
  <si>
    <t>经营利润率（%）</t>
  </si>
  <si>
    <t>物业净回报率（%）</t>
  </si>
  <si>
    <t>资本化率%（R)</t>
  </si>
  <si>
    <t>办公</t>
    <phoneticPr fontId="143" type="noConversion"/>
  </si>
  <si>
    <t>剧院</t>
  </si>
  <si>
    <t>剧院</t>
    <phoneticPr fontId="143" type="noConversion"/>
  </si>
  <si>
    <t>商业</t>
    <phoneticPr fontId="143" type="noConversion"/>
  </si>
  <si>
    <t>酒店</t>
  </si>
  <si>
    <t>酒店</t>
    <phoneticPr fontId="143" type="noConversion"/>
  </si>
  <si>
    <t>地下设备</t>
  </si>
  <si>
    <t>计算</t>
    <phoneticPr fontId="143" type="noConversion"/>
  </si>
  <si>
    <t>房本</t>
    <phoneticPr fontId="143" type="noConversion"/>
  </si>
  <si>
    <t>楼号</t>
    <phoneticPr fontId="143" type="noConversion"/>
  </si>
  <si>
    <t>地下室</t>
    <phoneticPr fontId="143" type="noConversion"/>
  </si>
  <si>
    <t>附1</t>
    <phoneticPr fontId="143" type="noConversion"/>
  </si>
  <si>
    <t>楼层</t>
    <phoneticPr fontId="143" type="noConversion"/>
  </si>
  <si>
    <t>平房</t>
    <phoneticPr fontId="143" type="noConversion"/>
  </si>
  <si>
    <t>建筑面积</t>
    <phoneticPr fontId="143" type="noConversion"/>
  </si>
  <si>
    <t>小计</t>
    <phoneticPr fontId="143" type="noConversion"/>
  </si>
  <si>
    <t>补面积</t>
    <phoneticPr fontId="143" type="noConversion"/>
  </si>
  <si>
    <t>总计</t>
    <phoneticPr fontId="143" type="noConversion"/>
  </si>
  <si>
    <t>酒店</t>
    <phoneticPr fontId="143" type="noConversion"/>
  </si>
  <si>
    <t>设备</t>
    <phoneticPr fontId="143" type="noConversion"/>
  </si>
  <si>
    <t>办公、商业、剧院、酒店</t>
    <phoneticPr fontId="143" type="noConversion"/>
  </si>
  <si>
    <t>保利剧院办公</t>
    <phoneticPr fontId="3" type="noConversion"/>
  </si>
  <si>
    <t>办公</t>
    <phoneticPr fontId="32" type="noConversion"/>
  </si>
  <si>
    <t>30-40（含）</t>
  </si>
  <si>
    <r>
      <t>东直门内大街4</t>
    </r>
    <r>
      <rPr>
        <sz val="11"/>
        <color theme="1"/>
        <rFont val="宋体"/>
        <family val="3"/>
        <charset val="134"/>
        <scheme val="minor"/>
      </rPr>
      <t>8号</t>
    </r>
    <phoneticPr fontId="143" type="noConversion"/>
  </si>
  <si>
    <t>坐落</t>
    <phoneticPr fontId="143" type="noConversion"/>
  </si>
  <si>
    <t>名称</t>
    <phoneticPr fontId="143" type="noConversion"/>
  </si>
  <si>
    <t>东方银座</t>
    <phoneticPr fontId="143" type="noConversion"/>
  </si>
  <si>
    <t>建成年代</t>
    <phoneticPr fontId="143" type="noConversion"/>
  </si>
  <si>
    <t>总楼层</t>
    <phoneticPr fontId="143" type="noConversion"/>
  </si>
  <si>
    <t>南新仓商务大厦</t>
    <phoneticPr fontId="143" type="noConversion"/>
  </si>
  <si>
    <r>
      <t>东四十条甲2</t>
    </r>
    <r>
      <rPr>
        <sz val="11"/>
        <color theme="1"/>
        <rFont val="宋体"/>
        <family val="3"/>
        <charset val="134"/>
        <scheme val="minor"/>
      </rPr>
      <t>2号</t>
    </r>
    <phoneticPr fontId="143" type="noConversion"/>
  </si>
  <si>
    <t>评估单价</t>
    <phoneticPr fontId="143" type="noConversion"/>
  </si>
  <si>
    <t>评估时点</t>
    <phoneticPr fontId="143" type="noConversion"/>
  </si>
  <si>
    <t>剧院</t>
    <phoneticPr fontId="16" type="noConversion"/>
  </si>
  <si>
    <t>底商</t>
  </si>
  <si>
    <t>地上设备</t>
    <phoneticPr fontId="143" type="noConversion"/>
  </si>
  <si>
    <t>售价</t>
  </si>
  <si>
    <t>商务金融用地（商业类）</t>
  </si>
  <si>
    <t>南新仓商务大厦</t>
    <phoneticPr fontId="3" type="noConversion"/>
  </si>
  <si>
    <t>东方银座</t>
    <phoneticPr fontId="3" type="noConversion"/>
  </si>
  <si>
    <t>商业1层</t>
    <phoneticPr fontId="25"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</si>
  <si>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25" type="noConversion"/>
  </si>
  <si>
    <t>办公出租</t>
    <phoneticPr fontId="143" type="noConversion"/>
  </si>
  <si>
    <t>商业</t>
    <phoneticPr fontId="31" type="noConversion"/>
  </si>
  <si>
    <t>20-30（含）</t>
  </si>
  <si>
    <t>汇总表</t>
    <phoneticPr fontId="8" type="noConversion"/>
  </si>
  <si>
    <r>
      <rPr>
        <sz val="10"/>
        <color indexed="8"/>
        <rFont val="宋体"/>
        <family val="3"/>
        <charset val="134"/>
      </rPr>
      <t>酒店</t>
    </r>
    <r>
      <rPr>
        <sz val="10"/>
        <color indexed="8"/>
        <rFont val="Arial"/>
        <family val="2"/>
      </rPr>
      <t>-</t>
    </r>
    <r>
      <rPr>
        <sz val="10"/>
        <color indexed="8"/>
        <rFont val="宋体"/>
        <family val="3"/>
        <charset val="134"/>
      </rPr>
      <t>成本法</t>
    </r>
    <phoneticPr fontId="8" type="noConversion"/>
  </si>
  <si>
    <r>
      <rPr>
        <sz val="10"/>
        <color indexed="8"/>
        <rFont val="宋体"/>
        <family val="3"/>
        <charset val="134"/>
      </rPr>
      <t>剧院</t>
    </r>
    <r>
      <rPr>
        <sz val="10"/>
        <color indexed="8"/>
        <rFont val="Arial"/>
        <family val="2"/>
      </rPr>
      <t>-</t>
    </r>
    <r>
      <rPr>
        <sz val="10"/>
        <color indexed="8"/>
        <rFont val="宋体"/>
        <family val="3"/>
        <charset val="134"/>
      </rPr>
      <t>成本法</t>
    </r>
    <phoneticPr fontId="8" type="noConversion"/>
  </si>
  <si>
    <r>
      <rPr>
        <sz val="10"/>
        <color indexed="8"/>
        <rFont val="宋体"/>
        <family val="3"/>
        <charset val="134"/>
      </rPr>
      <t>办公</t>
    </r>
    <r>
      <rPr>
        <sz val="10"/>
        <color indexed="8"/>
        <rFont val="Arial"/>
        <family val="2"/>
      </rPr>
      <t>-</t>
    </r>
    <r>
      <rPr>
        <sz val="10"/>
        <color indexed="8"/>
        <rFont val="宋体"/>
        <family val="3"/>
        <charset val="134"/>
      </rPr>
      <t>比较法</t>
    </r>
    <phoneticPr fontId="8" type="noConversion"/>
  </si>
  <si>
    <r>
      <rPr>
        <sz val="10"/>
        <color indexed="8"/>
        <rFont val="宋体"/>
        <family val="3"/>
        <charset val="134"/>
      </rPr>
      <t>商业</t>
    </r>
    <r>
      <rPr>
        <sz val="10"/>
        <color indexed="8"/>
        <rFont val="Arial"/>
        <family val="2"/>
      </rPr>
      <t>-</t>
    </r>
    <r>
      <rPr>
        <sz val="10"/>
        <color indexed="8"/>
        <rFont val="宋体"/>
        <family val="3"/>
        <charset val="134"/>
      </rPr>
      <t>比较法</t>
    </r>
    <phoneticPr fontId="8" type="noConversion"/>
  </si>
  <si>
    <t>单价</t>
    <phoneticPr fontId="8" type="noConversion"/>
  </si>
  <si>
    <t>总价</t>
    <phoneticPr fontId="8" type="noConversion"/>
  </si>
  <si>
    <t>合计</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</si>
</sst>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numFmt numFmtId="199" formatCode="#,##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2"/>
      <color theme="1"/>
      <name val="微软雅黑"/>
      <family val="2"/>
      <charset val="134"/>
    </font>
    <font>
      <sz val="9"/>
      <color theme="1"/>
      <name val="微软雅黑"/>
      <family val="2"/>
      <charset val="134"/>
    </font>
    <font>
      <b/>
      <sz val="9"/>
      <name val="微软雅黑"/>
      <family val="2"/>
      <charset val="134"/>
    </font>
    <font>
      <sz val="9"/>
      <name val="微软雅黑"/>
      <family val="2"/>
      <charset val="134"/>
    </font>
    <font>
      <b/>
      <sz val="9"/>
      <color theme="1"/>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3" tint="0.79995117038483843"/>
        <bgColor indexed="64"/>
      </patternFill>
    </fill>
    <fill>
      <patternFill patternType="solid">
        <fgColor theme="4" tint="0.79995117038483843"/>
        <bgColor indexed="64"/>
      </patternFill>
    </fill>
    <fill>
      <patternFill patternType="solid">
        <fgColor theme="8" tint="0.79995117038483843"/>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thin">
        <color auto="1"/>
      </left>
      <right/>
      <top style="hair">
        <color auto="1"/>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43" fontId="37" fillId="0" borderId="0" applyFont="0" applyFill="0" applyBorder="0" applyAlignment="0" applyProtection="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Alignment="1">
      <alignment horizontal="left" vertical="center"/>
    </xf>
    <xf numFmtId="0" fontId="256" fillId="0" borderId="0" xfId="0" applyFont="1">
      <alignment vertical="center"/>
    </xf>
    <xf numFmtId="0" fontId="257" fillId="0" borderId="0" xfId="1" applyFont="1" applyAlignment="1">
      <alignment horizontal="left" vertical="center"/>
    </xf>
    <xf numFmtId="0" fontId="257" fillId="0" borderId="0" xfId="1" applyFont="1">
      <alignment vertical="center"/>
    </xf>
    <xf numFmtId="0" fontId="257" fillId="0" borderId="0" xfId="1" applyFont="1" applyAlignment="1">
      <alignment horizontal="center" vertical="center"/>
    </xf>
    <xf numFmtId="0" fontId="257" fillId="18" borderId="3" xfId="1" applyFont="1" applyFill="1" applyBorder="1" applyAlignment="1">
      <alignment horizontal="center" vertical="center"/>
    </xf>
    <xf numFmtId="0" fontId="257" fillId="18" borderId="58" xfId="1" applyFont="1" applyFill="1" applyBorder="1" applyAlignment="1">
      <alignment horizontal="left" vertical="center"/>
    </xf>
    <xf numFmtId="0" fontId="257" fillId="18" borderId="0" xfId="1" applyFont="1" applyFill="1" applyAlignment="1">
      <alignment horizontal="left" vertical="center"/>
    </xf>
    <xf numFmtId="0" fontId="258" fillId="0" borderId="0" xfId="1" applyFont="1">
      <alignment vertical="center"/>
    </xf>
    <xf numFmtId="0" fontId="256" fillId="0" borderId="156" xfId="0" applyFont="1" applyBorder="1" applyAlignment="1">
      <alignment horizontal="center" vertical="center"/>
    </xf>
    <xf numFmtId="0" fontId="257" fillId="0" borderId="157" xfId="1" applyFont="1" applyBorder="1">
      <alignment vertical="center"/>
    </xf>
    <xf numFmtId="0" fontId="257" fillId="0" borderId="157" xfId="1" applyFont="1" applyBorder="1" applyAlignment="1">
      <alignment horizontal="center" vertical="center"/>
    </xf>
    <xf numFmtId="0" fontId="257" fillId="0" borderId="158" xfId="1" applyFont="1" applyBorder="1" applyAlignment="1">
      <alignment horizontal="center" vertical="center"/>
    </xf>
    <xf numFmtId="0" fontId="257" fillId="0" borderId="159" xfId="1" applyFont="1" applyBorder="1" applyAlignment="1">
      <alignment horizontal="center" vertical="center"/>
    </xf>
    <xf numFmtId="0" fontId="256" fillId="0" borderId="160" xfId="0" applyFont="1" applyBorder="1" applyAlignment="1">
      <alignment horizontal="center" vertical="center"/>
    </xf>
    <xf numFmtId="0" fontId="257" fillId="0" borderId="161" xfId="1" applyFont="1" applyBorder="1">
      <alignment vertical="center"/>
    </xf>
    <xf numFmtId="0" fontId="258" fillId="0" borderId="161" xfId="1" applyFont="1" applyBorder="1" applyAlignment="1">
      <alignment horizontal="center" vertical="center"/>
    </xf>
    <xf numFmtId="0" fontId="257" fillId="0" borderId="162" xfId="1" applyFont="1" applyBorder="1" applyAlignment="1">
      <alignment horizontal="center" vertical="center"/>
    </xf>
    <xf numFmtId="0" fontId="257" fillId="0" borderId="163" xfId="1" applyFont="1" applyBorder="1" applyAlignment="1">
      <alignment horizontal="center" vertical="center"/>
    </xf>
    <xf numFmtId="0" fontId="258" fillId="0" borderId="161" xfId="1" applyFont="1" applyBorder="1">
      <alignment vertical="center"/>
    </xf>
    <xf numFmtId="0" fontId="258" fillId="0" borderId="161" xfId="1" applyFont="1" applyBorder="1" applyAlignment="1">
      <alignment horizontal="left" vertical="center"/>
    </xf>
    <xf numFmtId="0" fontId="256" fillId="0" borderId="164" xfId="0" applyFont="1" applyBorder="1" applyAlignment="1">
      <alignment horizontal="center" vertical="center"/>
    </xf>
    <xf numFmtId="0" fontId="258" fillId="0" borderId="165" xfId="1" applyFont="1" applyBorder="1" applyAlignment="1">
      <alignment horizontal="left" vertical="center"/>
    </xf>
    <xf numFmtId="0" fontId="258" fillId="0" borderId="165" xfId="1" applyFont="1" applyBorder="1">
      <alignment vertical="center"/>
    </xf>
    <xf numFmtId="0" fontId="257" fillId="0" borderId="166" xfId="1" applyFont="1" applyBorder="1" applyAlignment="1">
      <alignment horizontal="center" vertical="center"/>
    </xf>
    <xf numFmtId="0" fontId="257" fillId="0" borderId="167" xfId="1" applyFont="1" applyBorder="1" applyAlignment="1">
      <alignment horizontal="center" vertical="center"/>
    </xf>
    <xf numFmtId="0" fontId="256" fillId="0" borderId="168" xfId="0" applyFont="1" applyBorder="1" applyAlignment="1">
      <alignment horizontal="center" vertical="center"/>
    </xf>
    <xf numFmtId="0" fontId="258" fillId="0" borderId="169" xfId="1" applyFont="1" applyBorder="1" applyAlignment="1">
      <alignment horizontal="left" vertical="center"/>
    </xf>
    <xf numFmtId="0" fontId="258" fillId="0" borderId="170" xfId="1" applyFont="1" applyBorder="1" applyAlignment="1">
      <alignment horizontal="center" vertical="center"/>
    </xf>
    <xf numFmtId="0" fontId="258" fillId="0" borderId="168" xfId="1" applyFont="1" applyBorder="1" applyAlignment="1">
      <alignment horizontal="center" vertical="center"/>
    </xf>
    <xf numFmtId="0" fontId="258" fillId="0" borderId="158" xfId="1" applyFont="1" applyBorder="1" applyAlignment="1">
      <alignment horizontal="center" vertical="center" wrapText="1"/>
    </xf>
    <xf numFmtId="0" fontId="258" fillId="0" borderId="159" xfId="1" applyFont="1" applyBorder="1" applyAlignment="1">
      <alignment horizontal="center" vertical="center" wrapText="1"/>
    </xf>
    <xf numFmtId="0" fontId="256" fillId="0" borderId="160" xfId="0" applyFont="1" applyBorder="1" applyAlignment="1">
      <alignment horizontal="center" vertical="center"/>
    </xf>
    <xf numFmtId="0" fontId="258" fillId="0" borderId="162" xfId="1" applyFont="1" applyBorder="1" applyAlignment="1">
      <alignment horizontal="center" vertical="center"/>
    </xf>
    <xf numFmtId="0" fontId="258" fillId="0" borderId="160" xfId="1" applyFont="1" applyBorder="1" applyAlignment="1">
      <alignment horizontal="center" vertical="center"/>
    </xf>
    <xf numFmtId="0" fontId="258" fillId="0" borderId="162" xfId="1" applyFont="1" applyBorder="1">
      <alignment vertical="center"/>
    </xf>
    <xf numFmtId="0" fontId="258" fillId="0" borderId="163" xfId="1" applyFont="1" applyBorder="1">
      <alignment vertical="center"/>
    </xf>
    <xf numFmtId="0" fontId="256" fillId="0" borderId="171" xfId="0" applyFont="1" applyBorder="1" applyAlignment="1">
      <alignment horizontal="center" vertical="center"/>
    </xf>
    <xf numFmtId="0" fontId="258" fillId="0" borderId="172" xfId="1" applyFont="1" applyBorder="1" applyAlignment="1">
      <alignment horizontal="left" vertical="center"/>
    </xf>
    <xf numFmtId="0" fontId="258" fillId="0" borderId="164" xfId="1" applyFont="1" applyBorder="1" applyAlignment="1">
      <alignment horizontal="center" vertical="center"/>
    </xf>
    <xf numFmtId="197" fontId="258" fillId="0" borderId="166" xfId="18" applyNumberFormat="1" applyFont="1" applyBorder="1">
      <alignment vertical="center"/>
    </xf>
    <xf numFmtId="197" fontId="258" fillId="0" borderId="164" xfId="18" applyNumberFormat="1" applyFont="1" applyBorder="1">
      <alignment vertical="center"/>
    </xf>
    <xf numFmtId="197" fontId="258" fillId="0" borderId="166" xfId="18" applyNumberFormat="1" applyFont="1" applyBorder="1">
      <alignment vertical="center"/>
    </xf>
    <xf numFmtId="197" fontId="258" fillId="0" borderId="167" xfId="18" applyNumberFormat="1" applyFont="1" applyBorder="1">
      <alignment vertical="center"/>
    </xf>
    <xf numFmtId="0" fontId="258" fillId="0" borderId="167" xfId="1" applyFont="1" applyBorder="1">
      <alignment vertical="center"/>
    </xf>
    <xf numFmtId="0" fontId="257" fillId="18" borderId="168" xfId="1" applyFont="1" applyFill="1" applyBorder="1" applyAlignment="1">
      <alignment horizontal="center" vertical="center"/>
    </xf>
    <xf numFmtId="43" fontId="258" fillId="0" borderId="162" xfId="18" applyFont="1" applyBorder="1" applyAlignment="1">
      <alignment horizontal="center" vertical="center"/>
    </xf>
    <xf numFmtId="43" fontId="258" fillId="0" borderId="160" xfId="18" applyFont="1" applyBorder="1" applyAlignment="1">
      <alignment horizontal="center" vertical="center"/>
    </xf>
    <xf numFmtId="0" fontId="256" fillId="0" borderId="164" xfId="0" applyFont="1" applyBorder="1" applyAlignment="1">
      <alignment horizontal="center" vertical="center"/>
    </xf>
    <xf numFmtId="43" fontId="257" fillId="0" borderId="166" xfId="18" applyFont="1" applyBorder="1" applyAlignment="1">
      <alignment horizontal="center" vertical="center"/>
    </xf>
    <xf numFmtId="43" fontId="257" fillId="0" borderId="164" xfId="18" applyFont="1" applyBorder="1" applyAlignment="1">
      <alignment horizontal="center" vertical="center"/>
    </xf>
    <xf numFmtId="0" fontId="256" fillId="0" borderId="0" xfId="0" applyFont="1" applyAlignment="1">
      <alignment horizontal="center" vertical="center"/>
    </xf>
    <xf numFmtId="43" fontId="258" fillId="0" borderId="0" xfId="18" applyFont="1">
      <alignment vertical="center"/>
    </xf>
    <xf numFmtId="0" fontId="259" fillId="18" borderId="0" xfId="0" applyFont="1" applyFill="1" applyAlignment="1">
      <alignment horizontal="center" vertical="center"/>
    </xf>
    <xf numFmtId="0" fontId="259" fillId="18" borderId="0" xfId="0" applyFont="1" applyFill="1">
      <alignment vertical="center"/>
    </xf>
    <xf numFmtId="0" fontId="259" fillId="0" borderId="0" xfId="0" applyFont="1">
      <alignment vertical="center"/>
    </xf>
    <xf numFmtId="0" fontId="257" fillId="0" borderId="1" xfId="1" applyFont="1" applyBorder="1" applyAlignment="1">
      <alignment horizontal="center" vertical="center" wrapText="1"/>
    </xf>
    <xf numFmtId="0" fontId="257" fillId="0" borderId="1" xfId="1" applyFont="1" applyBorder="1">
      <alignment vertical="center"/>
    </xf>
    <xf numFmtId="0" fontId="258" fillId="0" borderId="161" xfId="1" applyFont="1" applyBorder="1" applyAlignment="1">
      <alignment horizontal="center" vertical="center" wrapText="1"/>
    </xf>
    <xf numFmtId="0" fontId="256" fillId="0" borderId="161" xfId="0" applyFont="1" applyBorder="1">
      <alignment vertical="center"/>
    </xf>
    <xf numFmtId="0" fontId="257" fillId="0" borderId="161" xfId="1" applyFont="1" applyBorder="1" applyAlignment="1">
      <alignment horizontal="center" vertical="center" wrapText="1"/>
    </xf>
    <xf numFmtId="179" fontId="259" fillId="0" borderId="161" xfId="1" applyNumberFormat="1" applyFont="1" applyBorder="1" applyAlignment="1">
      <alignment horizontal="center" vertical="center" wrapText="1"/>
    </xf>
    <xf numFmtId="0" fontId="259" fillId="0" borderId="161" xfId="1" applyFont="1" applyBorder="1" applyAlignment="1">
      <alignment horizontal="center" vertical="center" wrapText="1"/>
    </xf>
    <xf numFmtId="179" fontId="257" fillId="0" borderId="161" xfId="1" applyNumberFormat="1" applyFont="1" applyBorder="1" applyAlignment="1">
      <alignment horizontal="center" vertical="center" wrapText="1"/>
    </xf>
    <xf numFmtId="0" fontId="258" fillId="0" borderId="172" xfId="1" applyFont="1" applyBorder="1" applyAlignment="1">
      <alignment horizontal="center" vertical="center" wrapText="1"/>
    </xf>
    <xf numFmtId="0" fontId="256" fillId="0" borderId="172" xfId="0" applyFont="1" applyBorder="1">
      <alignment vertical="center"/>
    </xf>
    <xf numFmtId="0" fontId="257" fillId="0" borderId="172" xfId="1" applyFont="1" applyBorder="1" applyAlignment="1">
      <alignment horizontal="center" vertical="center" wrapText="1"/>
    </xf>
    <xf numFmtId="0" fontId="257" fillId="0" borderId="165" xfId="1" applyFont="1" applyBorder="1" applyAlignment="1">
      <alignment horizontal="center" vertical="center" wrapText="1"/>
    </xf>
    <xf numFmtId="0" fontId="257" fillId="0" borderId="172" xfId="1" applyFont="1" applyBorder="1">
      <alignment vertical="center"/>
    </xf>
    <xf numFmtId="0" fontId="258" fillId="0" borderId="157" xfId="1" applyFont="1" applyBorder="1" applyAlignment="1">
      <alignment horizontal="center" vertical="center" wrapText="1"/>
    </xf>
    <xf numFmtId="0" fontId="256" fillId="0" borderId="157" xfId="0" applyFont="1" applyBorder="1">
      <alignment vertical="center"/>
    </xf>
    <xf numFmtId="0" fontId="257" fillId="0" borderId="157" xfId="1" applyFont="1" applyBorder="1" applyAlignment="1">
      <alignment horizontal="center" vertical="center" wrapText="1"/>
    </xf>
    <xf numFmtId="0" fontId="257" fillId="0" borderId="169" xfId="1" applyFont="1" applyBorder="1" applyAlignment="1">
      <alignment horizontal="center" vertical="center" wrapText="1"/>
    </xf>
    <xf numFmtId="0" fontId="258" fillId="0" borderId="169" xfId="1" applyFont="1" applyBorder="1" applyAlignment="1">
      <alignment horizontal="center" vertical="center" wrapText="1"/>
    </xf>
    <xf numFmtId="0" fontId="256" fillId="0" borderId="169" xfId="0" applyFont="1" applyBorder="1">
      <alignment vertical="center"/>
    </xf>
    <xf numFmtId="0" fontId="257" fillId="0" borderId="169" xfId="1" applyFont="1" applyBorder="1">
      <alignment vertical="center"/>
    </xf>
    <xf numFmtId="10" fontId="257" fillId="0" borderId="161" xfId="17" applyNumberFormat="1" applyFont="1" applyBorder="1" applyAlignment="1">
      <alignment horizontal="center" vertical="center" wrapText="1"/>
    </xf>
    <xf numFmtId="9" fontId="257" fillId="0" borderId="161" xfId="17" applyFont="1" applyBorder="1" applyAlignment="1">
      <alignment horizontal="center" vertical="center" wrapText="1"/>
    </xf>
    <xf numFmtId="0" fontId="258" fillId="0" borderId="165" xfId="1" applyFont="1" applyBorder="1" applyAlignment="1">
      <alignment horizontal="center" vertical="center" wrapText="1"/>
    </xf>
    <xf numFmtId="0" fontId="256" fillId="0" borderId="165" xfId="0" applyFont="1" applyBorder="1">
      <alignment vertical="center"/>
    </xf>
    <xf numFmtId="10" fontId="257" fillId="0" borderId="165" xfId="17" applyNumberFormat="1" applyFont="1" applyBorder="1" applyAlignment="1">
      <alignment horizontal="center" vertical="center" wrapText="1"/>
    </xf>
    <xf numFmtId="9" fontId="257" fillId="0" borderId="165" xfId="17" applyFont="1" applyBorder="1" applyAlignment="1">
      <alignment horizontal="center" vertical="center" wrapText="1"/>
    </xf>
    <xf numFmtId="0" fontId="257" fillId="0" borderId="165" xfId="1" applyFont="1" applyBorder="1">
      <alignment vertical="center"/>
    </xf>
    <xf numFmtId="0" fontId="258" fillId="0" borderId="161" xfId="0" applyFont="1" applyBorder="1">
      <alignment vertical="center"/>
    </xf>
    <xf numFmtId="10" fontId="257" fillId="0" borderId="172" xfId="17" applyNumberFormat="1" applyFont="1" applyBorder="1" applyAlignment="1">
      <alignment horizontal="center" vertical="center" wrapText="1"/>
    </xf>
    <xf numFmtId="0" fontId="258" fillId="0" borderId="157" xfId="1" applyFont="1" applyBorder="1">
      <alignment vertical="center"/>
    </xf>
    <xf numFmtId="179" fontId="257" fillId="0" borderId="157" xfId="1" applyNumberFormat="1" applyFont="1" applyBorder="1" applyAlignment="1">
      <alignment horizontal="center" vertical="center" wrapText="1"/>
    </xf>
    <xf numFmtId="0" fontId="258" fillId="0" borderId="169" xfId="1" applyFont="1" applyBorder="1" applyAlignment="1">
      <alignment horizontal="center" vertical="center"/>
    </xf>
    <xf numFmtId="0" fontId="257" fillId="19" borderId="169" xfId="1" applyFont="1" applyFill="1" applyBorder="1">
      <alignment vertical="center"/>
    </xf>
    <xf numFmtId="0" fontId="258" fillId="19" borderId="169" xfId="1" applyFont="1" applyFill="1" applyBorder="1">
      <alignment vertical="center"/>
    </xf>
    <xf numFmtId="0" fontId="258" fillId="0" borderId="161" xfId="1" applyFont="1" applyBorder="1" applyAlignment="1">
      <alignment horizontal="center" vertical="center"/>
    </xf>
    <xf numFmtId="198" fontId="258" fillId="0" borderId="161" xfId="1" applyNumberFormat="1" applyFont="1" applyBorder="1">
      <alignment vertical="center"/>
    </xf>
    <xf numFmtId="179" fontId="258" fillId="0" borderId="161" xfId="1" applyNumberFormat="1" applyFont="1" applyBorder="1">
      <alignment vertical="center"/>
    </xf>
    <xf numFmtId="199" fontId="258" fillId="0" borderId="161" xfId="1" applyNumberFormat="1" applyFont="1" applyBorder="1">
      <alignment vertical="center"/>
    </xf>
    <xf numFmtId="0" fontId="258" fillId="0" borderId="157" xfId="1" applyFont="1" applyBorder="1" applyAlignment="1">
      <alignment horizontal="center" vertical="center"/>
    </xf>
    <xf numFmtId="0" fontId="257" fillId="19" borderId="158" xfId="5" applyFont="1" applyFill="1" applyBorder="1" applyAlignment="1"/>
    <xf numFmtId="0" fontId="258" fillId="19" borderId="157" xfId="1" applyFont="1" applyFill="1" applyBorder="1">
      <alignment vertical="center"/>
    </xf>
    <xf numFmtId="198" fontId="258" fillId="19" borderId="157" xfId="1" applyNumberFormat="1" applyFont="1" applyFill="1" applyBorder="1">
      <alignment vertical="center"/>
    </xf>
    <xf numFmtId="49" fontId="258" fillId="0" borderId="162" xfId="5" applyNumberFormat="1" applyFont="1" applyBorder="1" applyAlignment="1"/>
    <xf numFmtId="0" fontId="258" fillId="0" borderId="162" xfId="5" applyFont="1" applyBorder="1" applyAlignment="1"/>
    <xf numFmtId="0" fontId="258" fillId="0" borderId="172" xfId="1" applyFont="1" applyBorder="1" applyAlignment="1">
      <alignment horizontal="center" vertical="center"/>
    </xf>
    <xf numFmtId="0" fontId="258" fillId="0" borderId="173" xfId="5" applyFont="1" applyBorder="1" applyAlignment="1"/>
    <xf numFmtId="0" fontId="258" fillId="0" borderId="172" xfId="1" applyFont="1" applyBorder="1">
      <alignment vertical="center"/>
    </xf>
    <xf numFmtId="179" fontId="258" fillId="0" borderId="172" xfId="1" applyNumberFormat="1" applyFont="1" applyBorder="1">
      <alignment vertical="center"/>
    </xf>
    <xf numFmtId="199" fontId="258" fillId="0" borderId="172" xfId="1" applyNumberFormat="1" applyFont="1" applyBorder="1">
      <alignment vertical="center"/>
    </xf>
    <xf numFmtId="198" fontId="258" fillId="0" borderId="172" xfId="1" applyNumberFormat="1" applyFont="1" applyBorder="1">
      <alignment vertical="center"/>
    </xf>
    <xf numFmtId="0" fontId="258" fillId="0" borderId="165" xfId="1" applyFont="1" applyBorder="1" applyAlignment="1">
      <alignment horizontal="center" vertical="center"/>
    </xf>
    <xf numFmtId="0" fontId="257" fillId="0" borderId="166" xfId="5" applyFont="1" applyBorder="1" applyAlignment="1"/>
    <xf numFmtId="179" fontId="258" fillId="0" borderId="165" xfId="1" applyNumberFormat="1" applyFont="1" applyBorder="1">
      <alignment vertical="center"/>
    </xf>
    <xf numFmtId="199" fontId="258" fillId="0" borderId="165" xfId="1" applyNumberFormat="1" applyFont="1" applyBorder="1">
      <alignment vertical="center"/>
    </xf>
    <xf numFmtId="198" fontId="258" fillId="0" borderId="165" xfId="1" applyNumberFormat="1" applyFont="1" applyBorder="1">
      <alignment vertical="center"/>
    </xf>
    <xf numFmtId="0" fontId="257" fillId="19" borderId="170" xfId="5" applyFont="1" applyFill="1" applyBorder="1" applyAlignment="1"/>
    <xf numFmtId="0" fontId="257" fillId="19" borderId="157" xfId="1" applyFont="1" applyFill="1" applyBorder="1" applyAlignment="1">
      <alignment horizontal="center" vertical="center" wrapText="1"/>
    </xf>
    <xf numFmtId="198" fontId="258" fillId="19" borderId="169" xfId="1" applyNumberFormat="1" applyFont="1" applyFill="1" applyBorder="1">
      <alignment vertical="center"/>
    </xf>
    <xf numFmtId="0" fontId="258" fillId="0" borderId="162" xfId="5" applyFont="1" applyBorder="1" applyAlignment="1">
      <alignment wrapText="1"/>
    </xf>
    <xf numFmtId="0" fontId="257" fillId="19" borderId="162" xfId="5" applyFont="1" applyFill="1" applyBorder="1" applyAlignment="1">
      <alignment wrapText="1"/>
    </xf>
    <xf numFmtId="0" fontId="258" fillId="19" borderId="161" xfId="1" applyFont="1" applyFill="1" applyBorder="1">
      <alignment vertical="center"/>
    </xf>
    <xf numFmtId="0" fontId="257" fillId="19" borderId="161" xfId="1" applyFont="1" applyFill="1" applyBorder="1" applyAlignment="1">
      <alignment horizontal="center" vertical="center" wrapText="1"/>
    </xf>
    <xf numFmtId="198" fontId="258" fillId="19" borderId="161" xfId="1" applyNumberFormat="1" applyFont="1" applyFill="1" applyBorder="1">
      <alignment vertical="center"/>
    </xf>
    <xf numFmtId="49" fontId="258" fillId="0" borderId="162" xfId="5" applyNumberFormat="1" applyFont="1" applyBorder="1" applyAlignment="1">
      <alignment wrapText="1"/>
    </xf>
    <xf numFmtId="49" fontId="257" fillId="0" borderId="162" xfId="5" applyNumberFormat="1" applyFont="1" applyBorder="1" applyAlignment="1">
      <alignment wrapText="1"/>
    </xf>
    <xf numFmtId="0" fontId="258" fillId="0" borderId="162" xfId="1" applyFont="1" applyBorder="1" applyAlignment="1">
      <alignment horizontal="left" vertical="center"/>
    </xf>
    <xf numFmtId="0" fontId="258" fillId="20" borderId="161" xfId="1" applyFont="1" applyFill="1" applyBorder="1" applyAlignment="1">
      <alignment horizontal="center" vertical="center"/>
    </xf>
    <xf numFmtId="199" fontId="258" fillId="20" borderId="161" xfId="1" applyNumberFormat="1" applyFont="1" applyFill="1" applyBorder="1">
      <alignment vertical="center"/>
    </xf>
    <xf numFmtId="179" fontId="258" fillId="20" borderId="161" xfId="1" applyNumberFormat="1" applyFont="1" applyFill="1" applyBorder="1">
      <alignment vertical="center"/>
    </xf>
    <xf numFmtId="199" fontId="258" fillId="0" borderId="0" xfId="1" applyNumberFormat="1" applyFont="1">
      <alignment vertical="center"/>
    </xf>
    <xf numFmtId="199" fontId="256" fillId="0" borderId="0" xfId="0" applyNumberFormat="1" applyFont="1">
      <alignment vertical="center"/>
    </xf>
    <xf numFmtId="0" fontId="258" fillId="20" borderId="161" xfId="1" applyFont="1" applyFill="1" applyBorder="1">
      <alignment vertical="center"/>
    </xf>
    <xf numFmtId="198" fontId="258" fillId="20" borderId="161" xfId="1" applyNumberFormat="1" applyFont="1" applyFill="1" applyBorder="1">
      <alignment vertical="center"/>
    </xf>
    <xf numFmtId="0" fontId="256" fillId="20" borderId="162" xfId="0" applyFont="1" applyFill="1" applyBorder="1" applyAlignment="1">
      <alignment horizontal="justify" vertical="center"/>
    </xf>
    <xf numFmtId="0" fontId="256" fillId="20" borderId="162" xfId="0" applyFont="1" applyFill="1" applyBorder="1">
      <alignment vertical="center"/>
    </xf>
    <xf numFmtId="10" fontId="258" fillId="20" borderId="161" xfId="1" applyNumberFormat="1" applyFont="1" applyFill="1" applyBorder="1" applyAlignment="1">
      <alignment horizontal="center" vertical="center"/>
    </xf>
    <xf numFmtId="10" fontId="256" fillId="20" borderId="161" xfId="0" applyNumberFormat="1" applyFont="1" applyFill="1" applyBorder="1">
      <alignment vertical="center"/>
    </xf>
    <xf numFmtId="10" fontId="258" fillId="20" borderId="161" xfId="1" applyNumberFormat="1" applyFont="1" applyFill="1" applyBorder="1">
      <alignment vertical="center"/>
    </xf>
    <xf numFmtId="10" fontId="256" fillId="0" borderId="0" xfId="0" applyNumberFormat="1" applyFont="1">
      <alignment vertical="center"/>
    </xf>
    <xf numFmtId="10" fontId="256" fillId="20" borderId="0" xfId="0" applyNumberFormat="1" applyFont="1" applyFill="1">
      <alignment vertical="center"/>
    </xf>
    <xf numFmtId="10" fontId="258" fillId="20" borderId="161" xfId="14" applyNumberFormat="1" applyFont="1" applyFill="1" applyBorder="1">
      <alignment vertical="center"/>
    </xf>
    <xf numFmtId="0" fontId="258" fillId="20" borderId="165" xfId="1" applyFont="1" applyFill="1" applyBorder="1" applyAlignment="1">
      <alignment horizontal="center" vertical="center"/>
    </xf>
    <xf numFmtId="0" fontId="258" fillId="20" borderId="165" xfId="1" applyFont="1" applyFill="1" applyBorder="1">
      <alignment vertical="center"/>
    </xf>
    <xf numFmtId="0" fontId="258" fillId="0" borderId="0" xfId="1" applyFont="1" applyAlignment="1">
      <alignment horizontal="center" vertical="center"/>
    </xf>
    <xf numFmtId="10" fontId="258" fillId="0" borderId="0" xfId="14" applyNumberFormat="1" applyFont="1">
      <alignment vertical="center"/>
    </xf>
    <xf numFmtId="0" fontId="258" fillId="0" borderId="0" xfId="1" applyFont="1" applyAlignment="1">
      <alignment horizontal="left" vertical="center"/>
    </xf>
    <xf numFmtId="0" fontId="225" fillId="0" borderId="2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0" fontId="258" fillId="0" borderId="0" xfId="1" applyFont="1" applyProtection="1">
      <alignment vertical="center"/>
      <protection locked="0"/>
    </xf>
    <xf numFmtId="0" fontId="225" fillId="0" borderId="3" xfId="0"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7" borderId="0" xfId="0" applyFont="1" applyFill="1" applyProtection="1">
      <alignment vertical="center"/>
      <protection locked="0"/>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561214</xdr:colOff>
      <xdr:row>50</xdr:row>
      <xdr:rowOff>75162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14400"/>
          <a:ext cx="6085714" cy="8304762"/>
        </a:xfrm>
        <a:prstGeom prst="rect">
          <a:avLst/>
        </a:prstGeom>
      </xdr:spPr>
    </xdr:pic>
    <xdr:clientData/>
  </xdr:twoCellAnchor>
  <xdr:twoCellAnchor editAs="oneCell">
    <xdr:from>
      <xdr:col>8</xdr:col>
      <xdr:colOff>0</xdr:colOff>
      <xdr:row>3</xdr:row>
      <xdr:rowOff>0</xdr:rowOff>
    </xdr:from>
    <xdr:to>
      <xdr:col>20</xdr:col>
      <xdr:colOff>446705</xdr:colOff>
      <xdr:row>44</xdr:row>
      <xdr:rowOff>35253</xdr:rowOff>
    </xdr:to>
    <xdr:pic>
      <xdr:nvPicPr>
        <xdr:cNvPr id="3" name="图片 2"/>
        <xdr:cNvPicPr>
          <a:picLocks noChangeAspect="1"/>
        </xdr:cNvPicPr>
      </xdr:nvPicPr>
      <xdr:blipFill>
        <a:blip xmlns:r="http://schemas.openxmlformats.org/officeDocument/2006/relationships" r:embed="rId2"/>
        <a:stretch>
          <a:fillRect/>
        </a:stretch>
      </xdr:blipFill>
      <xdr:spPr>
        <a:xfrm>
          <a:off x="6134100" y="548640"/>
          <a:ext cx="7761905" cy="7533333"/>
        </a:xfrm>
        <a:prstGeom prst="rect">
          <a:avLst/>
        </a:prstGeom>
      </xdr:spPr>
    </xdr:pic>
    <xdr:clientData/>
  </xdr:twoCellAnchor>
  <xdr:twoCellAnchor editAs="oneCell">
    <xdr:from>
      <xdr:col>20</xdr:col>
      <xdr:colOff>0</xdr:colOff>
      <xdr:row>3</xdr:row>
      <xdr:rowOff>0</xdr:rowOff>
    </xdr:from>
    <xdr:to>
      <xdr:col>32</xdr:col>
      <xdr:colOff>560990</xdr:colOff>
      <xdr:row>44</xdr:row>
      <xdr:rowOff>54301</xdr:rowOff>
    </xdr:to>
    <xdr:pic>
      <xdr:nvPicPr>
        <xdr:cNvPr id="4" name="图片 3"/>
        <xdr:cNvPicPr>
          <a:picLocks noChangeAspect="1"/>
        </xdr:cNvPicPr>
      </xdr:nvPicPr>
      <xdr:blipFill>
        <a:blip xmlns:r="http://schemas.openxmlformats.org/officeDocument/2006/relationships" r:embed="rId3"/>
        <a:stretch>
          <a:fillRect/>
        </a:stretch>
      </xdr:blipFill>
      <xdr:spPr>
        <a:xfrm>
          <a:off x="13449300" y="548640"/>
          <a:ext cx="7876190" cy="7552381"/>
        </a:xfrm>
        <a:prstGeom prst="rect">
          <a:avLst/>
        </a:prstGeom>
      </xdr:spPr>
    </xdr:pic>
    <xdr:clientData/>
  </xdr:twoCellAnchor>
  <xdr:twoCellAnchor editAs="oneCell">
    <xdr:from>
      <xdr:col>0</xdr:col>
      <xdr:colOff>0</xdr:colOff>
      <xdr:row>50</xdr:row>
      <xdr:rowOff>0</xdr:rowOff>
    </xdr:from>
    <xdr:to>
      <xdr:col>10</xdr:col>
      <xdr:colOff>494319</xdr:colOff>
      <xdr:row>92</xdr:row>
      <xdr:rowOff>109516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144000"/>
          <a:ext cx="7847619" cy="77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北京市东城区东直门南大街14号出让国有建设用地使用权及在建建筑物预评估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受贵公司委托，我公司对北京市东城区东直门南大街14号出让国有建设用地使用权及在建建筑物房地产抵押价值进行了预评估。</v>
      </c>
    </row>
    <row r="7" spans="1:2" s="1593" customFormat="1">
      <c r="A7" s="1591" t="s">
        <v>1260</v>
      </c>
      <c r="B7" s="1592" t="str">
        <f>'预评函-1'!A7</f>
        <v>估价对象为北京市东城区东直门南大街14号出让国有建设用地使用权及在建建筑物房地产，为所有。根据《国有土地使用证》[]，估价对象（分摊）出让国有建设用地使用权面积为18463.54平方米，建筑面积为94649.49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东城区东直门南大街14号出让国有建设用地使用权及在建建筑物房地产,属开发建设的，该项目尚在开发建设中。根据《国有土地使用证》[]，估价对象（分摊）出让国有建设用地使用权面积为18463.54平方米，规划建筑面积为94649.49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东城区东直门南大街14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2019年7月29日</v>
      </c>
    </row>
    <row r="13" spans="1:2" s="1593" customFormat="1">
      <c r="A13" s="1591" t="s">
        <v>1223</v>
      </c>
      <c r="B13" s="1592" t="str">
        <f>'预评函-1'!A18</f>
        <v>本次估价的“房地产价值”是指在正常市场情况下，在价值时点2019年7月29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1228</v>
      </c>
      <c r="B18" s="1595" t="str">
        <f>'预评函-1'!A24</f>
        <v>本次评估采用的主估价方法为成本法和收益法。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t="e">
        <f ca="1">'预评函-2'!D5</f>
        <v>#REF!</v>
      </c>
    </row>
    <row r="21" spans="1:2" s="1593" customFormat="1">
      <c r="A21" s="1591" t="s">
        <v>1231</v>
      </c>
      <c r="B21" s="1592" t="e">
        <f ca="1">'预评函-2'!D7</f>
        <v>#REF!</v>
      </c>
    </row>
    <row r="22" spans="1:2" s="1593" customFormat="1">
      <c r="A22" s="1591" t="s">
        <v>1232</v>
      </c>
      <c r="B22" s="1592" t="e">
        <f ca="1">'预评函-2'!D6</f>
        <v>#REF!</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t="e">
        <f ca="1">'预评函-2'!D13</f>
        <v>#REF!</v>
      </c>
    </row>
    <row r="31" spans="1:2" s="1593" customFormat="1">
      <c r="A31" s="1591" t="s">
        <v>1270</v>
      </c>
      <c r="B31" s="1592" t="e">
        <f ca="1">'预评函-2'!D15</f>
        <v>#REF!</v>
      </c>
    </row>
    <row r="32" spans="1:2" s="1593" customFormat="1">
      <c r="A32" s="1591" t="s">
        <v>1237</v>
      </c>
      <c r="B32" s="1592" t="e">
        <f ca="1">'预评函-2'!D14</f>
        <v>#REF!</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北京市东城区东直门南大街14号出让国有建设用地使用权及在建建筑物房地产</v>
      </c>
    </row>
    <row r="42" spans="1:2" s="1593" customFormat="1" ht="31.2">
      <c r="A42" s="1591" t="s">
        <v>1284</v>
      </c>
      <c r="B42" s="1592" t="str">
        <f>'预评函-3'!B2</f>
        <v>建筑面积</v>
      </c>
    </row>
    <row r="43" spans="1:2" s="1593" customFormat="1">
      <c r="A43" s="1591" t="s">
        <v>1285</v>
      </c>
      <c r="B43" s="1592">
        <f>'预评函-3'!B4</f>
        <v>94649.49000000002</v>
      </c>
    </row>
    <row r="44" spans="1:2" s="1593" customFormat="1" ht="31.2">
      <c r="A44" s="1591" t="s">
        <v>1269</v>
      </c>
      <c r="B44" s="1592" t="str">
        <f>'预评函-3'!C2</f>
        <v>(分摊)土地面积</v>
      </c>
    </row>
    <row r="45" spans="1:2" s="1593" customFormat="1">
      <c r="A45" s="1591" t="s">
        <v>1241</v>
      </c>
      <c r="B45" s="1592">
        <f>'预评函-3'!C4</f>
        <v>18463.54</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f>'预评函-4'!A4</f>
        <v>0</v>
      </c>
    </row>
    <row r="71" spans="1:2">
      <c r="A71" s="1591" t="s">
        <v>1257</v>
      </c>
      <c r="B71" s="1592">
        <f>'预评函-4'!B4</f>
        <v>0</v>
      </c>
    </row>
    <row r="72" spans="1:2">
      <c r="A72" s="1591" t="s">
        <v>1258</v>
      </c>
      <c r="B72" s="1600">
        <f>'预评函-4'!A5</f>
        <v>0</v>
      </c>
    </row>
    <row r="73" spans="1:2" s="1587" customFormat="1" ht="16.2" thickBot="1">
      <c r="A73" s="1594" t="s">
        <v>1259</v>
      </c>
      <c r="B73" s="1595">
        <f>'预评函-4'!B5</f>
        <v>0</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3244</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直门南大街14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0"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1" t="s">
        <v>861</v>
      </c>
      <c r="C54" s="2018" t="s">
        <v>1277</v>
      </c>
    </row>
    <row r="55" spans="1:4">
      <c r="A55" s="3000"/>
      <c r="B55" s="2021" t="s">
        <v>862</v>
      </c>
      <c r="C55" s="2018" t="s">
        <v>1278</v>
      </c>
    </row>
    <row r="56" spans="1:4">
      <c r="A56" s="3000"/>
      <c r="B56" s="2021" t="s">
        <v>863</v>
      </c>
      <c r="C56" s="2018" t="s">
        <v>1282</v>
      </c>
    </row>
    <row r="57" spans="1:4">
      <c r="A57" s="3000"/>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8671875" style="2031" customWidth="1"/>
    <col min="2" max="2" width="10" style="2031" customWidth="1"/>
    <col min="3" max="3" width="11.44140625" style="2031" customWidth="1"/>
    <col min="4" max="4" width="13.33203125" style="2031" customWidth="1"/>
    <col min="5"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9" t="str">
        <f>IF(B10="北京市","北京市",C10)&amp;F10&amp;IF(结果表!G1="在建","出让国有建设用地使用权及在建建筑物",IF(结果表!G1="土地","出让国有建设用地使用权",))&amp;B9&amp;"预评估"</f>
        <v>北京市东城区东直门南大街14号出让国有建设用地使用权及在建建筑物预评估</v>
      </c>
      <c r="C1" s="3010"/>
      <c r="D1" s="3010"/>
      <c r="E1" s="3010"/>
      <c r="F1" s="3010"/>
      <c r="G1" s="3010"/>
      <c r="H1" s="3010"/>
      <c r="I1" s="301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北京市东城区东直门南大街14号出让国有建设用地使用权及在建建筑物房地产抵押价值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北京市东城区东直门南大街14号出让国有建设用地使用权及在建建筑物房地产</v>
      </c>
    </row>
    <row r="3" spans="1:19" ht="18" customHeight="1">
      <c r="A3" s="2034" t="s">
        <v>1773</v>
      </c>
      <c r="B3" s="2035"/>
      <c r="C3" s="2036" t="s">
        <v>1774</v>
      </c>
      <c r="D3" s="2035">
        <v>43675</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3056</v>
      </c>
      <c r="C8" s="2055"/>
      <c r="D8" s="3012" t="s">
        <v>1780</v>
      </c>
      <c r="E8" s="2056"/>
      <c r="F8" s="2057"/>
      <c r="G8" s="2025"/>
      <c r="H8" s="2025"/>
      <c r="I8" s="2025"/>
      <c r="J8" s="2041"/>
      <c r="K8" s="2042"/>
      <c r="L8" s="2027"/>
      <c r="M8" s="2027"/>
      <c r="N8" s="2028"/>
      <c r="O8" s="2029"/>
      <c r="P8" s="2028"/>
      <c r="Q8" s="2028"/>
      <c r="R8" s="2028"/>
    </row>
    <row r="9" spans="1:19" ht="18" customHeight="1" thickBot="1">
      <c r="A9" s="2039" t="s">
        <v>1781</v>
      </c>
      <c r="B9" s="2058"/>
      <c r="C9" s="2059"/>
      <c r="D9" s="3013"/>
      <c r="E9" s="2058"/>
      <c r="F9" s="2060"/>
      <c r="G9" s="2061"/>
      <c r="H9" s="2061"/>
      <c r="I9" s="2061"/>
      <c r="J9" s="2041"/>
      <c r="K9" s="2053"/>
      <c r="L9" s="2027"/>
      <c r="M9" s="2027"/>
      <c r="N9" s="2028"/>
      <c r="O9" s="2029"/>
      <c r="P9" s="2028"/>
      <c r="Q9" s="2028"/>
      <c r="R9" s="2028"/>
    </row>
    <row r="10" spans="1:19" ht="18" customHeight="1" thickTop="1">
      <c r="A10" s="2062" t="s">
        <v>1782</v>
      </c>
      <c r="B10" s="2063" t="s">
        <v>3057</v>
      </c>
      <c r="C10" s="2064"/>
      <c r="D10" s="2046"/>
      <c r="E10" s="2065" t="s">
        <v>1783</v>
      </c>
      <c r="F10" s="2066" t="s">
        <v>3058</v>
      </c>
      <c r="G10" s="2067"/>
      <c r="H10" s="2068"/>
      <c r="I10" s="2046"/>
      <c r="J10" s="2041"/>
      <c r="K10" s="2053"/>
      <c r="L10" s="2027"/>
      <c r="M10" s="2027"/>
      <c r="N10" s="2028"/>
      <c r="O10" s="2029"/>
      <c r="P10" s="2028"/>
      <c r="Q10" s="2028"/>
      <c r="R10" s="2028"/>
    </row>
    <row r="11" spans="1:19" ht="18" customHeight="1">
      <c r="A11" s="2069" t="s">
        <v>1784</v>
      </c>
      <c r="B11" s="2070" t="s">
        <v>3059</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3060</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52420</v>
      </c>
      <c r="F13" s="2079">
        <v>56073</v>
      </c>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23.95</v>
      </c>
      <c r="F15" s="1049">
        <f>IF(B12="出让",IF(F13="","",ROUNDDOWN(MIN((F13-$D$3)/365,F14),2)),F14)</f>
        <v>33.96</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19"/>
      <c r="C16" s="3020"/>
      <c r="D16" s="3021"/>
      <c r="E16" s="2085" t="s">
        <v>1797</v>
      </c>
      <c r="F16" s="3022"/>
      <c r="G16" s="3023"/>
      <c r="H16" s="3023"/>
      <c r="I16" s="3024"/>
      <c r="J16" s="2028"/>
      <c r="K16" s="2082"/>
      <c r="L16" s="2083"/>
      <c r="M16" s="2083"/>
      <c r="N16" s="2084"/>
      <c r="O16" s="2083"/>
      <c r="P16" s="2084"/>
      <c r="Q16" s="2028"/>
      <c r="R16" s="2028"/>
    </row>
    <row r="17" spans="1:22" ht="18" customHeight="1">
      <c r="A17" s="2086" t="s">
        <v>1798</v>
      </c>
      <c r="B17" s="2034" t="s">
        <v>1799</v>
      </c>
      <c r="C17" s="1054">
        <f>'数据-汇总表'!E3</f>
        <v>94649.49000000002</v>
      </c>
      <c r="D17" s="2087" t="s">
        <v>1800</v>
      </c>
      <c r="E17" s="3025" t="s">
        <v>1801</v>
      </c>
      <c r="F17" s="3026"/>
      <c r="G17" s="3026"/>
      <c r="H17" s="3026"/>
      <c r="I17" s="3027"/>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18463.54</v>
      </c>
      <c r="D18" s="2090" t="s">
        <v>1800</v>
      </c>
      <c r="E18" s="3028" t="s">
        <v>1804</v>
      </c>
      <c r="F18" s="3029"/>
      <c r="G18" s="3029"/>
      <c r="H18" s="3029"/>
      <c r="I18" s="3030"/>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15" t="s">
        <v>1809</v>
      </c>
      <c r="C20" s="3016"/>
      <c r="D20" s="3017" t="s">
        <v>1810</v>
      </c>
      <c r="E20" s="3018"/>
      <c r="F20" s="2097" t="s">
        <v>1811</v>
      </c>
      <c r="G20" s="2041"/>
      <c r="H20" s="2041"/>
      <c r="I20" s="2041"/>
      <c r="J20" s="2041"/>
      <c r="K20" s="301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2"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2"/>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2"/>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3"/>
      <c r="B30" s="2034" t="s">
        <v>1828</v>
      </c>
      <c r="C30" s="3004"/>
      <c r="D30" s="300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6"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01" t="s">
        <v>1838</v>
      </c>
      <c r="T34" s="2134" t="str">
        <f>NUMBERSTRING(7-K34,1)&amp;"通"</f>
        <v>七通</v>
      </c>
      <c r="U34" s="2028"/>
      <c r="V34" s="2028"/>
    </row>
    <row r="35" spans="1:22" ht="18" customHeight="1">
      <c r="A35" s="2135"/>
      <c r="B35" s="3008" t="s">
        <v>1839</v>
      </c>
      <c r="C35" s="3008"/>
      <c r="D35" s="3008"/>
      <c r="E35" s="3008"/>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1"/>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t="s">
        <v>269</v>
      </c>
      <c r="C37" s="2140" t="s">
        <v>269</v>
      </c>
      <c r="D37" s="2140" t="s">
        <v>269</v>
      </c>
      <c r="E37" s="2140" t="s">
        <v>269</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t="s">
        <v>343</v>
      </c>
      <c r="C38" s="2142" t="s">
        <v>343</v>
      </c>
      <c r="D38" s="2142" t="s">
        <v>343</v>
      </c>
      <c r="E38" s="2142" t="s">
        <v>343</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31"/>
  <sheetViews>
    <sheetView topLeftCell="B1" workbookViewId="0">
      <selection activeCell="J10" sqref="J10"/>
    </sheetView>
  </sheetViews>
  <sheetFormatPr defaultColWidth="8.88671875" defaultRowHeight="13.2"/>
  <cols>
    <col min="1" max="1" width="8.88671875" style="3337"/>
    <col min="2" max="2" width="31.33203125" style="3287" customWidth="1"/>
    <col min="3" max="3" width="17.109375" style="3287" customWidth="1"/>
    <col min="4" max="4" width="14.33203125" style="3287" customWidth="1"/>
    <col min="5" max="5" width="13.109375" style="3287" customWidth="1"/>
    <col min="6" max="6" width="14.44140625" style="3287" customWidth="1"/>
    <col min="7" max="14" width="11.44140625" style="3287" customWidth="1"/>
    <col min="15" max="15" width="15" style="3287" customWidth="1"/>
    <col min="16" max="16" width="11.44140625" style="3287" customWidth="1"/>
    <col min="17" max="16384" width="8.88671875" style="3287"/>
  </cols>
  <sheetData>
    <row r="1" spans="1:18">
      <c r="A1" s="3286" t="s">
        <v>3081</v>
      </c>
      <c r="B1" s="3286"/>
      <c r="C1" s="3286"/>
      <c r="D1" s="3286"/>
      <c r="E1" s="3286"/>
    </row>
    <row r="2" spans="1:18">
      <c r="A2" s="3286"/>
      <c r="B2" s="3286"/>
      <c r="C2" s="3286"/>
      <c r="D2" s="3286"/>
      <c r="E2" s="3286"/>
    </row>
    <row r="3" spans="1:18">
      <c r="A3" s="3288" t="s">
        <v>3082</v>
      </c>
      <c r="B3" s="3289"/>
      <c r="C3" s="3289"/>
      <c r="D3" s="3289"/>
      <c r="E3" s="3289"/>
      <c r="F3" s="3289"/>
      <c r="G3" s="3289"/>
      <c r="H3" s="3289"/>
      <c r="I3" s="3289"/>
      <c r="J3" s="3289"/>
      <c r="K3" s="3289"/>
      <c r="L3" s="3289"/>
      <c r="M3" s="3289"/>
      <c r="N3" s="3289"/>
      <c r="O3" s="3289"/>
      <c r="P3" s="3289"/>
      <c r="Q3" s="3289"/>
      <c r="R3" s="3289"/>
    </row>
    <row r="4" spans="1:18">
      <c r="A4" s="3290"/>
      <c r="B4" s="3289"/>
      <c r="C4" s="3289"/>
      <c r="D4" s="3289"/>
      <c r="E4" s="3289"/>
      <c r="F4" s="3289"/>
      <c r="G4" s="3289"/>
      <c r="H4" s="3289"/>
      <c r="I4" s="3289"/>
      <c r="J4" s="3289"/>
      <c r="K4" s="3289"/>
      <c r="L4" s="3289"/>
      <c r="M4" s="3289"/>
      <c r="N4" s="3289"/>
      <c r="O4" s="3289"/>
      <c r="P4" s="3289"/>
      <c r="Q4" s="3289"/>
      <c r="R4" s="3289"/>
    </row>
    <row r="5" spans="1:18">
      <c r="A5" s="3291" t="s">
        <v>3083</v>
      </c>
      <c r="B5" s="3292" t="s">
        <v>3084</v>
      </c>
      <c r="C5" s="3293"/>
      <c r="D5" s="3293"/>
      <c r="E5" s="3293"/>
      <c r="F5" s="3293"/>
      <c r="G5" s="3293"/>
      <c r="H5" s="3294"/>
      <c r="I5" s="3294"/>
      <c r="J5" s="3294"/>
      <c r="K5" s="3294"/>
      <c r="L5" s="3294"/>
      <c r="M5" s="3294"/>
      <c r="N5" s="3294"/>
      <c r="O5" s="3294"/>
      <c r="P5" s="3294"/>
      <c r="Q5" s="3294"/>
      <c r="R5" s="3294"/>
    </row>
    <row r="6" spans="1:18">
      <c r="A6" s="3295">
        <v>1</v>
      </c>
      <c r="B6" s="3296"/>
      <c r="C6" s="3297" t="s">
        <v>3085</v>
      </c>
      <c r="D6" s="3297" t="s">
        <v>3086</v>
      </c>
      <c r="E6" s="3298" t="s">
        <v>3087</v>
      </c>
      <c r="F6" s="3299"/>
      <c r="G6" s="3299"/>
      <c r="H6" s="3294"/>
      <c r="I6" s="3294"/>
      <c r="J6" s="3294"/>
      <c r="K6" s="3294"/>
      <c r="L6" s="3294"/>
      <c r="M6" s="3294"/>
      <c r="N6" s="3294"/>
      <c r="O6" s="3294"/>
      <c r="P6" s="3294"/>
      <c r="Q6" s="3294"/>
      <c r="R6" s="3294"/>
    </row>
    <row r="7" spans="1:18">
      <c r="A7" s="3300"/>
      <c r="B7" s="3301" t="s">
        <v>3088</v>
      </c>
      <c r="C7" s="3302">
        <v>94649.489999999991</v>
      </c>
      <c r="D7" s="3302">
        <v>94649.489999999991</v>
      </c>
      <c r="E7" s="3303"/>
      <c r="F7" s="3304"/>
      <c r="G7" s="3304"/>
      <c r="H7" s="3294"/>
      <c r="I7" s="3294" t="s">
        <v>3217</v>
      </c>
      <c r="J7" s="3294"/>
      <c r="K7" s="3294"/>
      <c r="L7" s="3427" t="s">
        <v>3218</v>
      </c>
      <c r="M7" s="3294" t="s">
        <v>3222</v>
      </c>
      <c r="N7" s="3294" t="s">
        <v>3224</v>
      </c>
      <c r="O7" s="3294"/>
      <c r="P7" s="3294"/>
      <c r="Q7" s="3294"/>
      <c r="R7" s="3294"/>
    </row>
    <row r="8" spans="1:18">
      <c r="A8" s="3300"/>
      <c r="B8" s="3305" t="s">
        <v>3089</v>
      </c>
      <c r="C8" s="3302">
        <v>25675.98</v>
      </c>
      <c r="D8" s="3302">
        <v>25675.98</v>
      </c>
      <c r="E8" s="3303"/>
      <c r="F8" s="3304"/>
      <c r="G8" s="3304"/>
      <c r="H8" s="3294"/>
      <c r="I8" s="3294"/>
      <c r="J8" s="3294"/>
      <c r="K8" s="3294"/>
      <c r="L8" s="3427" t="s">
        <v>3219</v>
      </c>
      <c r="M8" s="3294"/>
      <c r="N8" s="3294"/>
      <c r="O8" s="3294"/>
      <c r="P8" s="3294"/>
      <c r="Q8" s="3294"/>
      <c r="R8" s="3294"/>
    </row>
    <row r="9" spans="1:18">
      <c r="A9" s="3300"/>
      <c r="B9" s="3305" t="s">
        <v>3090</v>
      </c>
      <c r="C9" s="3305">
        <v>10823.55</v>
      </c>
      <c r="D9" s="3305">
        <v>10823.55</v>
      </c>
      <c r="E9" s="3303"/>
      <c r="F9" s="3304"/>
      <c r="G9" s="3304"/>
      <c r="H9" s="3294"/>
      <c r="I9" s="3294" t="s">
        <v>3253</v>
      </c>
      <c r="J9" s="3294">
        <f>C9</f>
        <v>10823.55</v>
      </c>
      <c r="K9" s="3294"/>
      <c r="L9" s="3427">
        <v>1</v>
      </c>
      <c r="M9" s="3427">
        <v>3</v>
      </c>
      <c r="N9" s="3294">
        <v>2445.5</v>
      </c>
      <c r="O9" s="3294" t="s">
        <v>3228</v>
      </c>
      <c r="P9" s="3294"/>
      <c r="Q9" s="3294"/>
      <c r="R9" s="3294"/>
    </row>
    <row r="10" spans="1:18">
      <c r="A10" s="3300"/>
      <c r="B10" s="3306" t="s">
        <v>3091</v>
      </c>
      <c r="C10" s="3305">
        <v>14854.04</v>
      </c>
      <c r="D10" s="3305">
        <v>14854.04</v>
      </c>
      <c r="E10" s="3303"/>
      <c r="F10" s="3304"/>
      <c r="G10" s="3304"/>
      <c r="H10" s="3294"/>
      <c r="I10" s="3294" t="s">
        <v>3210</v>
      </c>
      <c r="J10" s="3294">
        <f>ROUND((N17-J12-J13-J14-J15-J9)/2,2)</f>
        <v>7000.56</v>
      </c>
      <c r="K10" s="3294"/>
      <c r="L10" s="3427">
        <v>2</v>
      </c>
      <c r="M10" s="3294" t="s">
        <v>3223</v>
      </c>
      <c r="N10" s="3294">
        <v>277.5</v>
      </c>
      <c r="O10" s="3294" t="s">
        <v>3229</v>
      </c>
      <c r="P10" s="3294"/>
      <c r="Q10" s="3294"/>
      <c r="R10" s="3294"/>
    </row>
    <row r="11" spans="1:18">
      <c r="A11" s="3300"/>
      <c r="B11" s="3306" t="s">
        <v>3092</v>
      </c>
      <c r="C11" s="3305"/>
      <c r="D11" s="3305"/>
      <c r="E11" s="3303"/>
      <c r="F11" s="3304"/>
      <c r="G11" s="3304"/>
      <c r="H11" s="3294"/>
      <c r="I11" s="3294" t="s">
        <v>3212</v>
      </c>
      <c r="J11" s="3294">
        <f>N17-J10-J12-J13-J14-J15-J9</f>
        <v>7000.5600000000195</v>
      </c>
      <c r="K11" s="3294"/>
      <c r="L11" s="3427">
        <v>3</v>
      </c>
      <c r="M11" s="3294" t="s">
        <v>3223</v>
      </c>
      <c r="N11" s="3294">
        <v>106.1</v>
      </c>
      <c r="O11" s="3294" t="s">
        <v>3229</v>
      </c>
      <c r="P11" s="3294"/>
      <c r="Q11" s="3294"/>
      <c r="R11" s="3294"/>
    </row>
    <row r="12" spans="1:18">
      <c r="A12" s="3300"/>
      <c r="B12" s="3306" t="s">
        <v>3093</v>
      </c>
      <c r="C12" s="3305">
        <v>43295.92</v>
      </c>
      <c r="D12" s="3305">
        <v>43295.92</v>
      </c>
      <c r="E12" s="3303"/>
      <c r="F12" s="3304"/>
      <c r="G12" s="3304"/>
      <c r="H12" s="3294"/>
      <c r="I12" s="3294" t="s">
        <v>3213</v>
      </c>
      <c r="J12" s="3294">
        <f>C10</f>
        <v>14854.04</v>
      </c>
      <c r="K12" s="3294"/>
      <c r="L12" s="3427">
        <v>4</v>
      </c>
      <c r="M12" s="3294">
        <v>23</v>
      </c>
      <c r="N12" s="3294">
        <v>62909.19</v>
      </c>
      <c r="O12" s="3294" t="s">
        <v>3230</v>
      </c>
      <c r="P12" s="3294"/>
      <c r="Q12" s="3294"/>
      <c r="R12" s="3294"/>
    </row>
    <row r="13" spans="1:18">
      <c r="A13" s="3300"/>
      <c r="B13" s="3306" t="s">
        <v>3094</v>
      </c>
      <c r="C13" s="3305">
        <v>66743.19</v>
      </c>
      <c r="D13" s="3305">
        <v>66743.19</v>
      </c>
      <c r="E13" s="3303"/>
      <c r="F13" s="3304"/>
      <c r="G13" s="3304"/>
      <c r="H13" s="3294"/>
      <c r="I13" s="3294" t="s">
        <v>3215</v>
      </c>
      <c r="J13" s="3294">
        <f>C8</f>
        <v>25675.98</v>
      </c>
      <c r="K13" s="3294"/>
      <c r="L13" s="3427" t="s">
        <v>3220</v>
      </c>
      <c r="M13" s="3294"/>
      <c r="N13" s="3294">
        <v>27906.3</v>
      </c>
      <c r="O13" s="3294" t="s">
        <v>3229</v>
      </c>
      <c r="P13" s="3294"/>
      <c r="Q13" s="3294"/>
      <c r="R13" s="3294"/>
    </row>
    <row r="14" spans="1:18">
      <c r="A14" s="3307"/>
      <c r="B14" s="3308" t="s">
        <v>3095</v>
      </c>
      <c r="C14" s="3309">
        <v>27906.3</v>
      </c>
      <c r="D14" s="3309">
        <v>27906.3</v>
      </c>
      <c r="E14" s="3310"/>
      <c r="F14" s="3311"/>
      <c r="G14" s="3311"/>
      <c r="H14" s="3294"/>
      <c r="I14" s="3294" t="s">
        <v>3246</v>
      </c>
      <c r="J14" s="3294">
        <f>N10+N11+N16+N14</f>
        <v>1388.499999999997</v>
      </c>
      <c r="K14" s="3294"/>
      <c r="L14" s="3427" t="s">
        <v>3221</v>
      </c>
      <c r="M14" s="3294"/>
      <c r="N14" s="3294">
        <v>63.2</v>
      </c>
      <c r="O14" s="3294" t="s">
        <v>3229</v>
      </c>
      <c r="P14" s="3294"/>
      <c r="Q14" s="3294"/>
      <c r="R14" s="3294"/>
    </row>
    <row r="15" spans="1:18">
      <c r="A15" s="3312">
        <v>2</v>
      </c>
      <c r="B15" s="3313" t="s">
        <v>3096</v>
      </c>
      <c r="C15" s="3314">
        <v>285</v>
      </c>
      <c r="D15" s="3315"/>
      <c r="E15" s="3316" t="s">
        <v>3097</v>
      </c>
      <c r="F15" s="3317"/>
      <c r="G15" s="3317"/>
      <c r="H15" s="3294"/>
      <c r="I15" s="3294" t="s">
        <v>3216</v>
      </c>
      <c r="J15" s="3294">
        <f>N13</f>
        <v>27906.3</v>
      </c>
      <c r="K15" s="3294"/>
      <c r="L15" s="3294" t="s">
        <v>3225</v>
      </c>
      <c r="M15" s="3294"/>
      <c r="N15" s="3294">
        <f>SUM(N9:N14)</f>
        <v>93707.790000000008</v>
      </c>
      <c r="O15" s="3294"/>
      <c r="P15" s="3294"/>
      <c r="Q15" s="3294"/>
      <c r="R15" s="3294"/>
    </row>
    <row r="16" spans="1:18">
      <c r="A16" s="3318">
        <v>3</v>
      </c>
      <c r="B16" s="3306" t="s">
        <v>3098</v>
      </c>
      <c r="C16" s="3319">
        <v>347</v>
      </c>
      <c r="D16" s="3320"/>
      <c r="E16" s="3321" t="s">
        <v>3099</v>
      </c>
      <c r="F16" s="3322"/>
      <c r="G16" s="3322"/>
      <c r="H16" s="3294"/>
      <c r="I16" s="3294" t="s">
        <v>3227</v>
      </c>
      <c r="J16" s="3294">
        <f>SUM(J10:J15)</f>
        <v>83825.940000000017</v>
      </c>
      <c r="K16" s="3294"/>
      <c r="L16" s="3294" t="s">
        <v>3226</v>
      </c>
      <c r="M16" s="3294"/>
      <c r="N16" s="3294">
        <f>N17-N15</f>
        <v>941.69999999999709</v>
      </c>
      <c r="O16" s="3294" t="s">
        <v>3229</v>
      </c>
      <c r="P16" s="3294"/>
      <c r="Q16" s="3294"/>
      <c r="R16" s="3294"/>
    </row>
    <row r="17" spans="1:18">
      <c r="A17" s="3323">
        <v>4</v>
      </c>
      <c r="B17" s="3324" t="s">
        <v>3100</v>
      </c>
      <c r="C17" s="3319">
        <v>5</v>
      </c>
      <c r="D17" s="3320"/>
      <c r="E17" s="3321" t="s">
        <v>3101</v>
      </c>
      <c r="F17" s="3322"/>
      <c r="G17" s="3322"/>
      <c r="H17" s="3294"/>
      <c r="I17" s="3294"/>
      <c r="J17" s="3294"/>
      <c r="K17" s="3294"/>
      <c r="L17" s="3294" t="s">
        <v>3227</v>
      </c>
      <c r="M17" s="3294"/>
      <c r="N17" s="3294">
        <v>94649.49</v>
      </c>
      <c r="O17" s="3294"/>
      <c r="P17" s="3294"/>
      <c r="Q17" s="3294"/>
      <c r="R17" s="3294"/>
    </row>
    <row r="18" spans="1:18">
      <c r="A18" s="3325">
        <v>5</v>
      </c>
      <c r="B18" s="3309" t="s">
        <v>3102</v>
      </c>
      <c r="C18" s="3326">
        <v>210</v>
      </c>
      <c r="D18" s="3327"/>
      <c r="E18" s="3328" t="s">
        <v>3103</v>
      </c>
      <c r="F18" s="3329"/>
      <c r="G18" s="3330"/>
      <c r="H18" s="3294"/>
      <c r="I18" s="3294"/>
      <c r="J18" s="3294"/>
      <c r="K18" s="3294"/>
      <c r="L18" s="3294"/>
      <c r="M18" s="3294"/>
      <c r="N18" s="3294"/>
      <c r="O18" s="3294"/>
      <c r="P18" s="3294"/>
      <c r="Q18" s="3294"/>
      <c r="R18" s="3294"/>
    </row>
    <row r="19" spans="1:18">
      <c r="A19" s="3331" t="s">
        <v>3104</v>
      </c>
      <c r="B19" s="3292" t="s">
        <v>3105</v>
      </c>
      <c r="C19" s="3293"/>
      <c r="D19" s="3293"/>
      <c r="E19" s="3293"/>
      <c r="F19" s="3293"/>
      <c r="G19" s="3293"/>
      <c r="H19" s="3289"/>
      <c r="I19" s="3289"/>
      <c r="J19" s="3289"/>
      <c r="K19" s="3289"/>
      <c r="L19" s="3289"/>
      <c r="M19" s="3289"/>
      <c r="N19" s="3289"/>
      <c r="O19" s="3289"/>
      <c r="P19" s="3289"/>
      <c r="Q19" s="3289"/>
      <c r="R19" s="3289"/>
    </row>
    <row r="20" spans="1:18">
      <c r="A20" s="3318">
        <v>1</v>
      </c>
      <c r="B20" s="3305" t="s">
        <v>3106</v>
      </c>
      <c r="C20" s="3332">
        <v>21050</v>
      </c>
      <c r="D20" s="3333"/>
      <c r="E20" s="3303"/>
      <c r="F20" s="3304"/>
      <c r="G20" s="3304"/>
      <c r="H20" s="3289"/>
      <c r="I20" s="3289"/>
      <c r="J20" s="3289"/>
      <c r="K20" s="3289"/>
      <c r="L20" s="3289"/>
      <c r="M20" s="3289"/>
      <c r="N20" s="3289"/>
      <c r="O20" s="3289"/>
      <c r="P20" s="3289"/>
      <c r="Q20" s="3289"/>
      <c r="R20" s="3289"/>
    </row>
    <row r="21" spans="1:18">
      <c r="A21" s="3334">
        <v>2</v>
      </c>
      <c r="B21" s="3309" t="s">
        <v>3107</v>
      </c>
      <c r="C21" s="3335" t="s">
        <v>3108</v>
      </c>
      <c r="D21" s="3336"/>
      <c r="E21" s="3310" t="s">
        <v>3108</v>
      </c>
      <c r="F21" s="3311"/>
      <c r="G21" s="3311"/>
      <c r="H21" s="3289"/>
      <c r="I21" s="3289"/>
      <c r="J21" s="3289"/>
      <c r="K21" s="3289"/>
      <c r="L21" s="3289"/>
      <c r="M21" s="3289"/>
      <c r="N21" s="3289"/>
      <c r="O21" s="3289"/>
      <c r="P21" s="3289"/>
      <c r="Q21" s="3289"/>
      <c r="R21" s="3289"/>
    </row>
    <row r="22" spans="1:18">
      <c r="B22" s="3294"/>
      <c r="C22" s="3338"/>
      <c r="D22" s="3289"/>
      <c r="E22" s="3289"/>
      <c r="G22" s="3289"/>
      <c r="H22" s="3289"/>
      <c r="I22" s="3289"/>
      <c r="J22" s="3289"/>
      <c r="K22" s="3289"/>
      <c r="L22" s="3289"/>
      <c r="M22" s="3289"/>
      <c r="N22" s="3289"/>
      <c r="O22" s="3289"/>
      <c r="P22" s="3289"/>
      <c r="Q22" s="3289"/>
      <c r="R22" s="3289"/>
    </row>
    <row r="24" spans="1:18">
      <c r="A24" s="3339" t="s">
        <v>3109</v>
      </c>
      <c r="B24" s="3340" t="s">
        <v>3110</v>
      </c>
      <c r="C24" s="3340"/>
      <c r="D24" s="3340"/>
      <c r="E24" s="3340"/>
      <c r="F24" s="3340"/>
      <c r="G24" s="3341"/>
      <c r="H24" s="3341"/>
      <c r="I24" s="3341"/>
      <c r="J24" s="3341"/>
      <c r="K24" s="3341"/>
      <c r="L24" s="3341"/>
      <c r="M24" s="3341"/>
      <c r="N24" s="3341"/>
      <c r="O24" s="3341"/>
      <c r="P24" s="3341"/>
      <c r="Q24" s="3341"/>
      <c r="R24" s="3341"/>
    </row>
    <row r="25" spans="1:18">
      <c r="A25" s="3342" t="s">
        <v>3111</v>
      </c>
      <c r="B25" s="3342" t="s">
        <v>3112</v>
      </c>
      <c r="C25" s="3342" t="s">
        <v>3113</v>
      </c>
      <c r="D25" s="3342" t="s">
        <v>3114</v>
      </c>
      <c r="E25" s="3342" t="s">
        <v>3115</v>
      </c>
      <c r="F25" s="3342" t="s">
        <v>3116</v>
      </c>
      <c r="G25" s="3342" t="s">
        <v>3117</v>
      </c>
      <c r="H25" s="3342" t="s">
        <v>3118</v>
      </c>
      <c r="I25" s="3342" t="s">
        <v>3119</v>
      </c>
      <c r="J25" s="3342" t="s">
        <v>3120</v>
      </c>
      <c r="K25" s="3342" t="s">
        <v>3121</v>
      </c>
      <c r="L25" s="3342" t="s">
        <v>3122</v>
      </c>
      <c r="M25" s="3342" t="s">
        <v>3123</v>
      </c>
      <c r="N25" s="3342" t="s">
        <v>3124</v>
      </c>
      <c r="O25" s="3342" t="s">
        <v>3125</v>
      </c>
      <c r="P25" s="3342" t="s">
        <v>3126</v>
      </c>
      <c r="Q25" s="3342" t="s">
        <v>37</v>
      </c>
      <c r="R25" s="3343" t="s">
        <v>3127</v>
      </c>
    </row>
    <row r="26" spans="1:18">
      <c r="A26" s="3344"/>
      <c r="B26" s="3345" t="s">
        <v>3128</v>
      </c>
      <c r="C26" s="3346" t="s">
        <v>3108</v>
      </c>
      <c r="D26" s="3346" t="s">
        <v>3108</v>
      </c>
      <c r="E26" s="3347">
        <v>570.49180327868851</v>
      </c>
      <c r="F26" s="3347">
        <v>526.5065599288414</v>
      </c>
      <c r="G26" s="3347">
        <v>600.92367525522604</v>
      </c>
      <c r="H26" s="3347">
        <v>598.95782445855718</v>
      </c>
      <c r="I26" s="3347">
        <v>595.19245169986527</v>
      </c>
      <c r="J26" s="3348" t="e">
        <v>#DIV/0!</v>
      </c>
      <c r="K26" s="3348" t="e">
        <v>#DIV/0!</v>
      </c>
      <c r="L26" s="3348" t="e">
        <v>#DIV/0!</v>
      </c>
      <c r="M26" s="3348" t="e">
        <v>#DIV/0!</v>
      </c>
      <c r="N26" s="3348" t="e">
        <v>#DIV/0!</v>
      </c>
      <c r="O26" s="3348" t="e">
        <v>#DIV/0!</v>
      </c>
      <c r="P26" s="3348" t="e">
        <v>#DIV/0!</v>
      </c>
      <c r="Q26" s="3346"/>
      <c r="R26" s="3301"/>
    </row>
    <row r="27" spans="1:18">
      <c r="A27" s="3344"/>
      <c r="B27" s="3345" t="s">
        <v>3129</v>
      </c>
      <c r="C27" s="3346" t="s">
        <v>3108</v>
      </c>
      <c r="D27" s="3346" t="s">
        <v>3108</v>
      </c>
      <c r="E27" s="3346">
        <v>545.86</v>
      </c>
      <c r="F27" s="3346">
        <v>504.26</v>
      </c>
      <c r="G27" s="3346">
        <v>558.29</v>
      </c>
      <c r="H27" s="3346">
        <v>569.41</v>
      </c>
      <c r="I27" s="3346">
        <v>580.16999999999996</v>
      </c>
      <c r="J27" s="3346"/>
      <c r="K27" s="3346"/>
      <c r="L27" s="3346"/>
      <c r="M27" s="3346"/>
      <c r="N27" s="3346"/>
      <c r="O27" s="3346"/>
      <c r="P27" s="3346"/>
      <c r="Q27" s="3346"/>
      <c r="R27" s="3301"/>
    </row>
    <row r="28" spans="1:18">
      <c r="A28" s="3344"/>
      <c r="B28" s="3345"/>
      <c r="C28" s="3346"/>
      <c r="D28" s="3346"/>
      <c r="E28" s="3346"/>
      <c r="F28" s="3346"/>
      <c r="G28" s="3346"/>
      <c r="H28" s="3346"/>
      <c r="I28" s="3346"/>
      <c r="J28" s="3346"/>
      <c r="K28" s="3346"/>
      <c r="L28" s="3346"/>
      <c r="M28" s="3346"/>
      <c r="N28" s="3346"/>
      <c r="O28" s="3346"/>
      <c r="P28" s="3346"/>
      <c r="Q28" s="3346"/>
      <c r="R28" s="3301"/>
    </row>
    <row r="29" spans="1:18">
      <c r="A29" s="3344"/>
      <c r="B29" s="3345" t="s">
        <v>3130</v>
      </c>
      <c r="C29" s="3349">
        <v>567.38706732785636</v>
      </c>
      <c r="D29" s="3349">
        <v>526.19506995695997</v>
      </c>
      <c r="E29" s="3349">
        <v>570.49180327868851</v>
      </c>
      <c r="F29" s="3349">
        <v>548.97759408309764</v>
      </c>
      <c r="G29" s="3349">
        <v>569.84054669703869</v>
      </c>
      <c r="H29" s="3349">
        <v>578.15493350692816</v>
      </c>
      <c r="I29" s="3349">
        <v>582.19139197388495</v>
      </c>
      <c r="J29" s="3349">
        <v>582.19139197388495</v>
      </c>
      <c r="K29" s="3349">
        <v>582.19139197388495</v>
      </c>
      <c r="L29" s="3349">
        <v>582.19139197388495</v>
      </c>
      <c r="M29" s="3349">
        <v>582.19139197388495</v>
      </c>
      <c r="N29" s="3349">
        <v>582.19139197388495</v>
      </c>
      <c r="O29" s="3349">
        <v>582.19139197388495</v>
      </c>
      <c r="P29" s="3349">
        <v>582.19139197388495</v>
      </c>
      <c r="Q29" s="3346"/>
      <c r="R29" s="3301"/>
    </row>
    <row r="30" spans="1:18">
      <c r="A30" s="3350"/>
      <c r="B30" s="3351" t="s">
        <v>3131</v>
      </c>
      <c r="C30" s="3352"/>
      <c r="D30" s="3352"/>
      <c r="E30" s="3352">
        <v>545.86</v>
      </c>
      <c r="F30" s="3352">
        <v>522.69000000000005</v>
      </c>
      <c r="G30" s="3352">
        <v>535.17999999999995</v>
      </c>
      <c r="H30" s="3352">
        <v>545.48</v>
      </c>
      <c r="I30" s="3352">
        <v>553.75</v>
      </c>
      <c r="J30" s="3352"/>
      <c r="K30" s="3352"/>
      <c r="L30" s="3352"/>
      <c r="M30" s="3352"/>
      <c r="N30" s="3352"/>
      <c r="O30" s="3352"/>
      <c r="P30" s="3352"/>
      <c r="Q30" s="3353"/>
      <c r="R30" s="3354"/>
    </row>
    <row r="31" spans="1:18">
      <c r="A31" s="3355">
        <v>2</v>
      </c>
      <c r="B31" s="3356" t="s">
        <v>3132</v>
      </c>
      <c r="C31" s="3357" t="s">
        <v>3108</v>
      </c>
      <c r="D31" s="3357" t="s">
        <v>3108</v>
      </c>
      <c r="E31" s="3357">
        <v>6270</v>
      </c>
      <c r="F31" s="3357">
        <v>8550</v>
      </c>
      <c r="G31" s="3357">
        <v>8265</v>
      </c>
      <c r="H31" s="3357">
        <v>8835</v>
      </c>
      <c r="I31" s="3357">
        <v>8550</v>
      </c>
      <c r="J31" s="3357"/>
      <c r="K31" s="3357"/>
      <c r="L31" s="3357"/>
      <c r="M31" s="3357"/>
      <c r="N31" s="3357"/>
      <c r="O31" s="3357"/>
      <c r="P31" s="3357"/>
      <c r="Q31" s="3358"/>
      <c r="R31" s="3296"/>
    </row>
    <row r="32" spans="1:18">
      <c r="A32" s="3359"/>
      <c r="B32" s="3360" t="s">
        <v>3133</v>
      </c>
      <c r="C32" s="3358" t="s">
        <v>3108</v>
      </c>
      <c r="D32" s="3358" t="s">
        <v>3108</v>
      </c>
      <c r="E32" s="3358">
        <v>4697</v>
      </c>
      <c r="F32" s="3358">
        <v>4497</v>
      </c>
      <c r="G32" s="3358">
        <v>6171</v>
      </c>
      <c r="H32" s="3358">
        <v>6141</v>
      </c>
      <c r="I32" s="3358">
        <v>6677</v>
      </c>
      <c r="J32" s="3358"/>
      <c r="K32" s="3358"/>
      <c r="L32" s="3358"/>
      <c r="M32" s="3358"/>
      <c r="N32" s="3358"/>
      <c r="O32" s="3358"/>
      <c r="P32" s="3358"/>
      <c r="Q32" s="3346"/>
      <c r="R32" s="3361"/>
    </row>
    <row r="33" spans="1:18">
      <c r="A33" s="3344"/>
      <c r="B33" s="3345" t="s">
        <v>3134</v>
      </c>
      <c r="C33" s="3346" t="s">
        <v>3108</v>
      </c>
      <c r="D33" s="3346" t="s">
        <v>3108</v>
      </c>
      <c r="E33" s="3362">
        <v>0.74912280701754386</v>
      </c>
      <c r="F33" s="3362">
        <v>0.52596491228070175</v>
      </c>
      <c r="G33" s="3362">
        <v>0.74664246823956448</v>
      </c>
      <c r="H33" s="3362">
        <v>0.69507640067911713</v>
      </c>
      <c r="I33" s="3362">
        <v>0.78093567251461993</v>
      </c>
      <c r="J33" s="3362" t="e">
        <v>#DIV/0!</v>
      </c>
      <c r="K33" s="3362" t="e">
        <v>#DIV/0!</v>
      </c>
      <c r="L33" s="3362" t="e">
        <v>#DIV/0!</v>
      </c>
      <c r="M33" s="3362" t="e">
        <v>#DIV/0!</v>
      </c>
      <c r="N33" s="3362" t="e">
        <v>#DIV/0!</v>
      </c>
      <c r="O33" s="3362" t="e">
        <v>#DIV/0!</v>
      </c>
      <c r="P33" s="3362" t="e">
        <v>#DIV/0!</v>
      </c>
      <c r="Q33" s="3346"/>
      <c r="R33" s="3301"/>
    </row>
    <row r="34" spans="1:18">
      <c r="A34" s="3344"/>
      <c r="B34" s="3345" t="s">
        <v>3135</v>
      </c>
      <c r="C34" s="3346" t="s">
        <v>3108</v>
      </c>
      <c r="D34" s="3346" t="s">
        <v>3108</v>
      </c>
      <c r="E34" s="3362">
        <v>0.73240000000000005</v>
      </c>
      <c r="F34" s="3363">
        <v>0.65</v>
      </c>
      <c r="G34" s="3363">
        <v>0.7</v>
      </c>
      <c r="H34" s="3363">
        <v>0.7782</v>
      </c>
      <c r="I34" s="3362">
        <v>0.83640000000000003</v>
      </c>
      <c r="J34" s="3346"/>
      <c r="K34" s="3346"/>
      <c r="L34" s="3346"/>
      <c r="M34" s="3346"/>
      <c r="N34" s="3346"/>
      <c r="O34" s="3346"/>
      <c r="P34" s="3346"/>
      <c r="Q34" s="3346"/>
      <c r="R34" s="3301"/>
    </row>
    <row r="35" spans="1:18">
      <c r="A35" s="3344"/>
      <c r="B35" s="3345"/>
      <c r="C35" s="3346"/>
      <c r="D35" s="3346"/>
      <c r="E35" s="3346"/>
      <c r="F35" s="3346"/>
      <c r="G35" s="3346"/>
      <c r="H35" s="3346"/>
      <c r="I35" s="3346"/>
      <c r="J35" s="3346"/>
      <c r="K35" s="3346"/>
      <c r="L35" s="3346"/>
      <c r="M35" s="3346"/>
      <c r="N35" s="3346"/>
      <c r="O35" s="3346"/>
      <c r="P35" s="3346"/>
      <c r="Q35" s="3346"/>
      <c r="R35" s="3301"/>
    </row>
    <row r="36" spans="1:18">
      <c r="A36" s="3344"/>
      <c r="B36" s="3356" t="s">
        <v>3136</v>
      </c>
      <c r="C36" s="3346">
        <v>104025</v>
      </c>
      <c r="D36" s="3346">
        <v>104025</v>
      </c>
      <c r="E36" s="3346">
        <v>6270</v>
      </c>
      <c r="F36" s="3346">
        <v>14820</v>
      </c>
      <c r="G36" s="3346">
        <v>23085</v>
      </c>
      <c r="H36" s="3346">
        <v>31920</v>
      </c>
      <c r="I36" s="3346">
        <v>40470</v>
      </c>
      <c r="J36" s="3346">
        <v>40470</v>
      </c>
      <c r="K36" s="3346">
        <v>40470</v>
      </c>
      <c r="L36" s="3346">
        <v>40470</v>
      </c>
      <c r="M36" s="3346">
        <v>40470</v>
      </c>
      <c r="N36" s="3346">
        <v>40470</v>
      </c>
      <c r="O36" s="3346">
        <v>40470</v>
      </c>
      <c r="P36" s="3346">
        <v>40470</v>
      </c>
      <c r="Q36" s="3346"/>
      <c r="R36" s="3301"/>
    </row>
    <row r="37" spans="1:18">
      <c r="A37" s="3344"/>
      <c r="B37" s="3360" t="s">
        <v>3137</v>
      </c>
      <c r="C37" s="3346">
        <v>81066</v>
      </c>
      <c r="D37" s="3346">
        <v>74117</v>
      </c>
      <c r="E37" s="3346">
        <v>4697</v>
      </c>
      <c r="F37" s="3346">
        <v>9194</v>
      </c>
      <c r="G37" s="3346">
        <v>15365</v>
      </c>
      <c r="H37" s="3346">
        <v>21506</v>
      </c>
      <c r="I37" s="3346">
        <v>28183</v>
      </c>
      <c r="J37" s="3346">
        <v>28183</v>
      </c>
      <c r="K37" s="3346">
        <v>28183</v>
      </c>
      <c r="L37" s="3346">
        <v>28183</v>
      </c>
      <c r="M37" s="3346">
        <v>28183</v>
      </c>
      <c r="N37" s="3346">
        <v>28183</v>
      </c>
      <c r="O37" s="3346">
        <v>28183</v>
      </c>
      <c r="P37" s="3346">
        <v>28183</v>
      </c>
      <c r="Q37" s="3346"/>
      <c r="R37" s="3301"/>
    </row>
    <row r="38" spans="1:18">
      <c r="A38" s="3344"/>
      <c r="B38" s="3345" t="s">
        <v>3138</v>
      </c>
      <c r="C38" s="3362">
        <v>0.77929343907714488</v>
      </c>
      <c r="D38" s="3362">
        <v>0.71249218937755343</v>
      </c>
      <c r="E38" s="3362">
        <v>0.74912280701754386</v>
      </c>
      <c r="F38" s="3362">
        <v>0.62037786774628878</v>
      </c>
      <c r="G38" s="3362">
        <v>0.66558371236733804</v>
      </c>
      <c r="H38" s="3362">
        <v>0.67374686716791976</v>
      </c>
      <c r="I38" s="3362">
        <v>0.69639238942426485</v>
      </c>
      <c r="J38" s="3362">
        <v>0.69639238942426485</v>
      </c>
      <c r="K38" s="3362">
        <v>0.69639238942426485</v>
      </c>
      <c r="L38" s="3362">
        <v>0.69639238942426485</v>
      </c>
      <c r="M38" s="3362">
        <v>0.69639238942426485</v>
      </c>
      <c r="N38" s="3362">
        <v>0.69639238942426485</v>
      </c>
      <c r="O38" s="3362">
        <v>0.69639238942426485</v>
      </c>
      <c r="P38" s="3362">
        <v>0.69639238942426485</v>
      </c>
      <c r="Q38" s="3346"/>
      <c r="R38" s="3301"/>
    </row>
    <row r="39" spans="1:18">
      <c r="A39" s="3364"/>
      <c r="B39" s="3365" t="s">
        <v>3139</v>
      </c>
      <c r="C39" s="3366">
        <v>0.76419999999999999</v>
      </c>
      <c r="D39" s="3366">
        <v>0.7</v>
      </c>
      <c r="E39" s="3366">
        <v>0.73240000000000005</v>
      </c>
      <c r="F39" s="3367">
        <v>0.69</v>
      </c>
      <c r="G39" s="3367">
        <v>0.69</v>
      </c>
      <c r="H39" s="3367">
        <v>0.71560000000000001</v>
      </c>
      <c r="I39" s="3366">
        <v>0.74109999999999998</v>
      </c>
      <c r="J39" s="3353"/>
      <c r="K39" s="3353"/>
      <c r="L39" s="3353"/>
      <c r="M39" s="3353"/>
      <c r="N39" s="3353"/>
      <c r="O39" s="3353"/>
      <c r="P39" s="3353"/>
      <c r="Q39" s="3353"/>
      <c r="R39" s="3368"/>
    </row>
    <row r="40" spans="1:18">
      <c r="A40" s="3344"/>
      <c r="B40" s="3369" t="s">
        <v>3140</v>
      </c>
      <c r="C40" s="3346"/>
      <c r="D40" s="3346"/>
      <c r="E40" s="3362">
        <v>0.49459999999999998</v>
      </c>
      <c r="F40" s="3362">
        <v>0.32550000000000001</v>
      </c>
      <c r="G40" s="3362">
        <v>0.38319999999999999</v>
      </c>
      <c r="H40" s="3362">
        <v>0.43020000000000003</v>
      </c>
      <c r="I40" s="3362">
        <v>0.48730000000000001</v>
      </c>
      <c r="J40" s="3346"/>
      <c r="K40" s="3346"/>
      <c r="L40" s="3346"/>
      <c r="M40" s="3346"/>
      <c r="N40" s="3346"/>
      <c r="O40" s="3346"/>
      <c r="P40" s="3346"/>
      <c r="Q40" s="3346"/>
      <c r="R40" s="3301"/>
    </row>
    <row r="41" spans="1:18">
      <c r="A41" s="3344"/>
      <c r="B41" s="3345" t="s">
        <v>3135</v>
      </c>
      <c r="C41" s="3346"/>
      <c r="D41" s="3346"/>
      <c r="E41" s="3362">
        <v>0.41589999999999999</v>
      </c>
      <c r="F41" s="3362">
        <v>0.3982</v>
      </c>
      <c r="G41" s="3362">
        <v>0.34610000000000002</v>
      </c>
      <c r="H41" s="3362">
        <v>0.4123</v>
      </c>
      <c r="I41" s="3362">
        <v>0.50029999999999997</v>
      </c>
      <c r="J41" s="3346"/>
      <c r="K41" s="3346"/>
      <c r="L41" s="3346"/>
      <c r="M41" s="3346"/>
      <c r="N41" s="3346"/>
      <c r="O41" s="3346"/>
      <c r="P41" s="3346"/>
      <c r="Q41" s="3346"/>
      <c r="R41" s="3301"/>
    </row>
    <row r="42" spans="1:18">
      <c r="A42" s="3344"/>
      <c r="B42" s="3345"/>
      <c r="C42" s="3346"/>
      <c r="D42" s="3346"/>
      <c r="E42" s="3363"/>
      <c r="F42" s="3363"/>
      <c r="G42" s="3363"/>
      <c r="H42" s="3363"/>
      <c r="I42" s="3363"/>
      <c r="J42" s="3346"/>
      <c r="K42" s="3346"/>
      <c r="L42" s="3346"/>
      <c r="M42" s="3346"/>
      <c r="N42" s="3346"/>
      <c r="O42" s="3346"/>
      <c r="P42" s="3346"/>
      <c r="Q42" s="3346"/>
      <c r="R42" s="3301"/>
    </row>
    <row r="43" spans="1:18">
      <c r="A43" s="3344"/>
      <c r="B43" s="3345" t="s">
        <v>3141</v>
      </c>
      <c r="C43" s="3346"/>
      <c r="D43" s="3346"/>
      <c r="E43" s="3362">
        <v>0.49459999999999998</v>
      </c>
      <c r="F43" s="3362">
        <v>0.3957</v>
      </c>
      <c r="G43" s="3362">
        <v>0.39600000000000002</v>
      </c>
      <c r="H43" s="3362">
        <v>0.41220000000000001</v>
      </c>
      <c r="I43" s="3362">
        <v>0.42809999999999998</v>
      </c>
      <c r="J43" s="3346"/>
      <c r="K43" s="3346"/>
      <c r="L43" s="3346"/>
      <c r="M43" s="3346"/>
      <c r="N43" s="3346"/>
      <c r="O43" s="3346"/>
      <c r="P43" s="3346"/>
      <c r="Q43" s="3346"/>
      <c r="R43" s="3301"/>
    </row>
    <row r="44" spans="1:18">
      <c r="A44" s="3350"/>
      <c r="B44" s="3351" t="s">
        <v>3139</v>
      </c>
      <c r="C44" s="3352"/>
      <c r="D44" s="3352"/>
      <c r="E44" s="3370">
        <v>0.41589999999999999</v>
      </c>
      <c r="F44" s="3370">
        <v>0.40560000000000002</v>
      </c>
      <c r="G44" s="3370">
        <v>0.38500000000000001</v>
      </c>
      <c r="H44" s="3370">
        <v>0.3926</v>
      </c>
      <c r="I44" s="3370">
        <v>0.4153</v>
      </c>
      <c r="J44" s="3352"/>
      <c r="K44" s="3352"/>
      <c r="L44" s="3352"/>
      <c r="M44" s="3352"/>
      <c r="N44" s="3352"/>
      <c r="O44" s="3352"/>
      <c r="P44" s="3352"/>
      <c r="Q44" s="3353"/>
      <c r="R44" s="3354"/>
    </row>
    <row r="45" spans="1:18">
      <c r="A45" s="3355">
        <v>4</v>
      </c>
      <c r="B45" s="3371" t="s">
        <v>3142</v>
      </c>
      <c r="C45" s="3357"/>
      <c r="D45" s="3357"/>
      <c r="E45" s="3357">
        <v>9.5</v>
      </c>
      <c r="F45" s="3372">
        <v>10.767856070460114</v>
      </c>
      <c r="G45" s="3357">
        <v>9.74</v>
      </c>
      <c r="H45" s="3357">
        <v>9.75</v>
      </c>
      <c r="I45" s="3357">
        <v>9.75</v>
      </c>
      <c r="J45" s="3357"/>
      <c r="K45" s="3357"/>
      <c r="L45" s="3357"/>
      <c r="M45" s="3357"/>
      <c r="N45" s="3357"/>
      <c r="O45" s="3357"/>
      <c r="P45" s="3357"/>
      <c r="Q45" s="3358"/>
      <c r="R45" s="3296"/>
    </row>
    <row r="46" spans="1:18">
      <c r="A46" s="3344"/>
      <c r="B46" s="3305" t="s">
        <v>3143</v>
      </c>
      <c r="C46" s="3346"/>
      <c r="D46" s="3346"/>
      <c r="E46" s="3346">
        <v>8.69</v>
      </c>
      <c r="F46" s="3346">
        <v>9.58</v>
      </c>
      <c r="G46" s="3346">
        <v>8.99</v>
      </c>
      <c r="H46" s="3346">
        <v>8.94</v>
      </c>
      <c r="I46" s="3346">
        <v>8.86</v>
      </c>
      <c r="J46" s="3346"/>
      <c r="K46" s="3346"/>
      <c r="L46" s="3346"/>
      <c r="M46" s="3346"/>
      <c r="N46" s="3346"/>
      <c r="O46" s="3346"/>
      <c r="P46" s="3346"/>
      <c r="Q46" s="3346"/>
      <c r="R46" s="3301"/>
    </row>
    <row r="47" spans="1:18">
      <c r="A47" s="3344"/>
      <c r="B47" s="3305"/>
      <c r="C47" s="3346"/>
      <c r="D47" s="3346"/>
      <c r="E47" s="3346"/>
      <c r="F47" s="3346"/>
      <c r="G47" s="3346"/>
      <c r="H47" s="3346"/>
      <c r="I47" s="3346"/>
      <c r="J47" s="3346"/>
      <c r="K47" s="3346"/>
      <c r="L47" s="3346"/>
      <c r="M47" s="3346"/>
      <c r="N47" s="3346"/>
      <c r="O47" s="3346"/>
      <c r="P47" s="3346"/>
      <c r="Q47" s="3346"/>
      <c r="R47" s="3301"/>
    </row>
    <row r="48" spans="1:18">
      <c r="A48" s="3344"/>
      <c r="B48" s="3305" t="s">
        <v>3144</v>
      </c>
      <c r="C48" s="3346">
        <v>9.26</v>
      </c>
      <c r="D48" s="3346">
        <v>8.42</v>
      </c>
      <c r="E48" s="3346">
        <v>9.5</v>
      </c>
      <c r="F48" s="3346">
        <v>10.1</v>
      </c>
      <c r="G48" s="3346">
        <v>9.98</v>
      </c>
      <c r="H48" s="3346">
        <v>9.92</v>
      </c>
      <c r="I48" s="3346">
        <v>9.8800000000000008</v>
      </c>
      <c r="J48" s="3346"/>
      <c r="K48" s="3346"/>
      <c r="L48" s="3346"/>
      <c r="M48" s="3346"/>
      <c r="N48" s="3346"/>
      <c r="O48" s="3346"/>
      <c r="P48" s="3346"/>
      <c r="Q48" s="3346"/>
      <c r="R48" s="3301"/>
    </row>
    <row r="49" spans="1:18">
      <c r="A49" s="3344"/>
      <c r="B49" s="3305" t="s">
        <v>3143</v>
      </c>
      <c r="C49" s="3346">
        <v>8.51</v>
      </c>
      <c r="D49" s="3346">
        <v>8.1999999999999993</v>
      </c>
      <c r="E49" s="3346">
        <v>8.69</v>
      </c>
      <c r="F49" s="3346">
        <v>9.11</v>
      </c>
      <c r="G49" s="3346">
        <v>9.07</v>
      </c>
      <c r="H49" s="3346">
        <v>9.0399999999999991</v>
      </c>
      <c r="I49" s="3349">
        <v>9</v>
      </c>
      <c r="J49" s="3346"/>
      <c r="K49" s="3346"/>
      <c r="L49" s="3346"/>
      <c r="M49" s="3346"/>
      <c r="N49" s="3346"/>
      <c r="O49" s="3346"/>
      <c r="P49" s="3346"/>
      <c r="Q49" s="3346"/>
      <c r="R49" s="3301"/>
    </row>
    <row r="50" spans="1:18">
      <c r="A50" s="3344"/>
      <c r="B50" s="3305"/>
      <c r="C50" s="3346"/>
      <c r="D50" s="3346"/>
      <c r="E50" s="3346"/>
      <c r="F50" s="3346"/>
      <c r="G50" s="3346"/>
      <c r="H50" s="3346"/>
      <c r="I50" s="3346"/>
      <c r="J50" s="3346"/>
      <c r="K50" s="3346"/>
      <c r="L50" s="3346"/>
      <c r="M50" s="3346"/>
      <c r="N50" s="3346"/>
      <c r="O50" s="3346"/>
      <c r="P50" s="3346"/>
      <c r="Q50" s="3346"/>
      <c r="R50" s="3301"/>
    </row>
    <row r="51" spans="1:18">
      <c r="A51" s="3344"/>
      <c r="B51" s="3305" t="s">
        <v>3145</v>
      </c>
      <c r="C51" s="3346"/>
      <c r="D51" s="3346"/>
      <c r="E51" s="3363">
        <v>1</v>
      </c>
      <c r="F51" s="3363">
        <v>1</v>
      </c>
      <c r="G51" s="3363">
        <v>1</v>
      </c>
      <c r="H51" s="3363">
        <v>1</v>
      </c>
      <c r="I51" s="3363">
        <v>1</v>
      </c>
      <c r="J51" s="3346"/>
      <c r="K51" s="3346"/>
      <c r="L51" s="3346"/>
      <c r="M51" s="3346"/>
      <c r="N51" s="3346"/>
      <c r="O51" s="3346"/>
      <c r="P51" s="3346"/>
      <c r="Q51" s="3346"/>
      <c r="R51" s="3301"/>
    </row>
    <row r="52" spans="1:18">
      <c r="A52" s="3344"/>
      <c r="B52" s="3305" t="s">
        <v>3146</v>
      </c>
      <c r="C52" s="3346"/>
      <c r="D52" s="3346"/>
      <c r="E52" s="3363">
        <v>1</v>
      </c>
      <c r="F52" s="3363">
        <v>1</v>
      </c>
      <c r="G52" s="3363">
        <v>1</v>
      </c>
      <c r="H52" s="3363">
        <v>1</v>
      </c>
      <c r="I52" s="3363">
        <v>1</v>
      </c>
      <c r="J52" s="3346"/>
      <c r="K52" s="3346"/>
      <c r="L52" s="3346"/>
      <c r="M52" s="3346"/>
      <c r="N52" s="3346"/>
      <c r="O52" s="3346"/>
      <c r="P52" s="3346"/>
      <c r="Q52" s="3346"/>
      <c r="R52" s="3301"/>
    </row>
    <row r="53" spans="1:18">
      <c r="A53" s="3344"/>
      <c r="B53" s="3305"/>
      <c r="C53" s="3346"/>
      <c r="D53" s="3346"/>
      <c r="E53" s="3363"/>
      <c r="F53" s="3346"/>
      <c r="G53" s="3346"/>
      <c r="H53" s="3346"/>
      <c r="I53" s="3346"/>
      <c r="J53" s="3346"/>
      <c r="K53" s="3346"/>
      <c r="L53" s="3346"/>
      <c r="M53" s="3346"/>
      <c r="N53" s="3346"/>
      <c r="O53" s="3346"/>
      <c r="P53" s="3346"/>
      <c r="Q53" s="3346"/>
      <c r="R53" s="3301"/>
    </row>
    <row r="54" spans="1:18">
      <c r="A54" s="3344"/>
      <c r="B54" s="3305" t="s">
        <v>3147</v>
      </c>
      <c r="C54" s="3363">
        <v>1</v>
      </c>
      <c r="D54" s="3362">
        <v>0.98089999999999999</v>
      </c>
      <c r="E54" s="3363">
        <v>1</v>
      </c>
      <c r="F54" s="3363">
        <v>1</v>
      </c>
      <c r="G54" s="3363">
        <v>1</v>
      </c>
      <c r="H54" s="3363">
        <v>1</v>
      </c>
      <c r="I54" s="3363">
        <v>1</v>
      </c>
      <c r="J54" s="3346"/>
      <c r="K54" s="3346"/>
      <c r="L54" s="3346"/>
      <c r="M54" s="3346"/>
      <c r="N54" s="3346"/>
      <c r="O54" s="3346"/>
      <c r="P54" s="3346"/>
      <c r="Q54" s="3346"/>
      <c r="R54" s="3301"/>
    </row>
    <row r="55" spans="1:18">
      <c r="A55" s="3364"/>
      <c r="B55" s="3309" t="s">
        <v>3146</v>
      </c>
      <c r="C55" s="3367">
        <v>1</v>
      </c>
      <c r="D55" s="3366">
        <v>0.98970000000000002</v>
      </c>
      <c r="E55" s="3367">
        <v>1</v>
      </c>
      <c r="F55" s="3367">
        <v>1</v>
      </c>
      <c r="G55" s="3367">
        <v>1</v>
      </c>
      <c r="H55" s="3367">
        <v>1</v>
      </c>
      <c r="I55" s="3367">
        <v>1</v>
      </c>
      <c r="J55" s="3353"/>
      <c r="K55" s="3353"/>
      <c r="L55" s="3353"/>
      <c r="M55" s="3353"/>
      <c r="N55" s="3353"/>
      <c r="O55" s="3353"/>
      <c r="P55" s="3353"/>
      <c r="Q55" s="3352"/>
      <c r="R55" s="3368"/>
    </row>
    <row r="56" spans="1:18">
      <c r="A56" s="3373">
        <v>5</v>
      </c>
      <c r="B56" s="3374" t="s">
        <v>3148</v>
      </c>
      <c r="C56" s="3375">
        <v>13722.810000000001</v>
      </c>
      <c r="D56" s="3375">
        <v>12651.34</v>
      </c>
      <c r="E56" s="3375">
        <v>1017.49</v>
      </c>
      <c r="F56" s="3375">
        <v>963.09000000000015</v>
      </c>
      <c r="G56" s="3375">
        <v>1217.4099999999999</v>
      </c>
      <c r="H56" s="3375">
        <v>1102.6600000000001</v>
      </c>
      <c r="I56" s="3375">
        <v>1195.82</v>
      </c>
      <c r="J56" s="3375">
        <v>0</v>
      </c>
      <c r="K56" s="3375">
        <v>0</v>
      </c>
      <c r="L56" s="3375">
        <v>0</v>
      </c>
      <c r="M56" s="3375">
        <v>0</v>
      </c>
      <c r="N56" s="3375">
        <v>0</v>
      </c>
      <c r="O56" s="3375">
        <v>0</v>
      </c>
      <c r="P56" s="3375">
        <v>0</v>
      </c>
      <c r="Q56" s="3357">
        <v>5496.4699999999993</v>
      </c>
      <c r="R56" s="3375"/>
    </row>
    <row r="57" spans="1:18">
      <c r="A57" s="3376"/>
      <c r="B57" s="3305" t="s">
        <v>3149</v>
      </c>
      <c r="C57" s="3305">
        <v>4599.58</v>
      </c>
      <c r="D57" s="3305">
        <v>3900</v>
      </c>
      <c r="E57" s="3305">
        <v>267.95999999999998</v>
      </c>
      <c r="F57" s="3305">
        <v>236.77</v>
      </c>
      <c r="G57" s="3305">
        <v>370.83</v>
      </c>
      <c r="H57" s="3305">
        <v>367.82</v>
      </c>
      <c r="I57" s="3305">
        <v>397.41</v>
      </c>
      <c r="J57" s="3305"/>
      <c r="K57" s="3305"/>
      <c r="L57" s="3305"/>
      <c r="M57" s="3305"/>
      <c r="N57" s="3305"/>
      <c r="O57" s="3305"/>
      <c r="P57" s="3305"/>
      <c r="Q57" s="3346">
        <v>1640.79</v>
      </c>
      <c r="R57" s="3377"/>
    </row>
    <row r="58" spans="1:18">
      <c r="A58" s="3376"/>
      <c r="B58" s="3305" t="s">
        <v>3150</v>
      </c>
      <c r="C58" s="3305">
        <v>1759.58</v>
      </c>
      <c r="D58" s="3305">
        <v>1920</v>
      </c>
      <c r="E58" s="3305">
        <v>140.79</v>
      </c>
      <c r="F58" s="3305">
        <v>132.81</v>
      </c>
      <c r="G58" s="3305">
        <v>133.6</v>
      </c>
      <c r="H58" s="3305">
        <v>141.46</v>
      </c>
      <c r="I58" s="3305">
        <v>165.25</v>
      </c>
      <c r="J58" s="3305"/>
      <c r="K58" s="3305"/>
      <c r="L58" s="3305"/>
      <c r="M58" s="3305"/>
      <c r="N58" s="3305"/>
      <c r="O58" s="3305"/>
      <c r="P58" s="3305"/>
      <c r="Q58" s="3346">
        <v>713.91000000000008</v>
      </c>
      <c r="R58" s="3377"/>
    </row>
    <row r="59" spans="1:18">
      <c r="A59" s="3376"/>
      <c r="B59" s="3305" t="s">
        <v>3151</v>
      </c>
      <c r="C59" s="3305">
        <v>3667.35</v>
      </c>
      <c r="D59" s="3305">
        <v>3100</v>
      </c>
      <c r="E59" s="3305">
        <v>318.77</v>
      </c>
      <c r="F59" s="3378">
        <v>326.33</v>
      </c>
      <c r="G59" s="3378">
        <v>326.64999999999998</v>
      </c>
      <c r="H59" s="3378">
        <v>316.67</v>
      </c>
      <c r="I59" s="3305">
        <v>327.02</v>
      </c>
      <c r="J59" s="3378"/>
      <c r="K59" s="3305"/>
      <c r="L59" s="3305"/>
      <c r="M59" s="3379"/>
      <c r="N59" s="3379"/>
      <c r="O59" s="3379"/>
      <c r="P59" s="3379"/>
      <c r="Q59" s="3346">
        <v>1615.4399999999998</v>
      </c>
      <c r="R59" s="3377"/>
    </row>
    <row r="60" spans="1:18">
      <c r="A60" s="3376"/>
      <c r="B60" s="3306" t="s">
        <v>3152</v>
      </c>
      <c r="C60" s="3305">
        <v>1667.74</v>
      </c>
      <c r="D60" s="3305">
        <v>1893.59</v>
      </c>
      <c r="E60" s="3305">
        <v>175.21</v>
      </c>
      <c r="F60" s="3378">
        <v>228.78</v>
      </c>
      <c r="G60" s="3378">
        <v>322.26</v>
      </c>
      <c r="H60" s="3378">
        <v>134.76</v>
      </c>
      <c r="I60" s="3305">
        <v>118.9</v>
      </c>
      <c r="J60" s="3378"/>
      <c r="K60" s="3305"/>
      <c r="L60" s="3378"/>
      <c r="M60" s="3378"/>
      <c r="N60" s="3378"/>
      <c r="O60" s="3378"/>
      <c r="P60" s="3378"/>
      <c r="Q60" s="3346">
        <v>979.91</v>
      </c>
      <c r="R60" s="3377"/>
    </row>
    <row r="61" spans="1:18">
      <c r="A61" s="3376"/>
      <c r="B61" s="3306" t="s">
        <v>3153</v>
      </c>
      <c r="C61" s="3305">
        <v>277.69</v>
      </c>
      <c r="D61" s="3305">
        <v>210</v>
      </c>
      <c r="E61" s="3305">
        <v>23.11</v>
      </c>
      <c r="F61" s="3378">
        <v>8.9600000000000009</v>
      </c>
      <c r="G61" s="3378">
        <v>12.05</v>
      </c>
      <c r="H61" s="3378">
        <v>13.33</v>
      </c>
      <c r="I61" s="3378">
        <v>14.54</v>
      </c>
      <c r="J61" s="3378"/>
      <c r="K61" s="3378"/>
      <c r="L61" s="3378"/>
      <c r="M61" s="3378"/>
      <c r="N61" s="3378"/>
      <c r="O61" s="3378"/>
      <c r="P61" s="3378"/>
      <c r="Q61" s="3346">
        <v>71.990000000000009</v>
      </c>
      <c r="R61" s="3377"/>
    </row>
    <row r="62" spans="1:18">
      <c r="A62" s="3376"/>
      <c r="B62" s="3306" t="s">
        <v>3154</v>
      </c>
      <c r="C62" s="3305"/>
      <c r="D62" s="3305"/>
      <c r="E62" s="3305"/>
      <c r="F62" s="3378"/>
      <c r="G62" s="3378"/>
      <c r="H62" s="3378"/>
      <c r="I62" s="3378"/>
      <c r="J62" s="3378"/>
      <c r="K62" s="3378"/>
      <c r="L62" s="3378"/>
      <c r="M62" s="3378"/>
      <c r="N62" s="3378"/>
      <c r="O62" s="3378"/>
      <c r="P62" s="3378"/>
      <c r="Q62" s="3346"/>
      <c r="R62" s="3377"/>
    </row>
    <row r="63" spans="1:18">
      <c r="A63" s="3376"/>
      <c r="B63" s="3306" t="s">
        <v>3155</v>
      </c>
      <c r="C63" s="3305">
        <v>1750.87</v>
      </c>
      <c r="D63" s="3305">
        <v>1627.75</v>
      </c>
      <c r="E63" s="3305">
        <v>91.65</v>
      </c>
      <c r="F63" s="3378">
        <v>29.44</v>
      </c>
      <c r="G63" s="3378">
        <v>52.02</v>
      </c>
      <c r="H63" s="3378">
        <v>128.62</v>
      </c>
      <c r="I63" s="3378">
        <v>172.7</v>
      </c>
      <c r="J63" s="3378"/>
      <c r="K63" s="3378"/>
      <c r="L63" s="3378"/>
      <c r="M63" s="3378"/>
      <c r="N63" s="3378"/>
      <c r="O63" s="3378"/>
      <c r="P63" s="3378"/>
      <c r="Q63" s="3346">
        <v>474.43</v>
      </c>
      <c r="R63" s="3377"/>
    </row>
    <row r="64" spans="1:18">
      <c r="A64" s="3376"/>
      <c r="B64" s="3306" t="s">
        <v>3156</v>
      </c>
      <c r="C64" s="3305">
        <v>4599.58</v>
      </c>
      <c r="D64" s="3305">
        <v>3900</v>
      </c>
      <c r="E64" s="3305">
        <v>267.95999999999998</v>
      </c>
      <c r="F64" s="3378">
        <v>504.73</v>
      </c>
      <c r="G64" s="3378">
        <v>875.56</v>
      </c>
      <c r="H64" s="3378">
        <v>1243.3799999999999</v>
      </c>
      <c r="I64" s="3378">
        <v>1640.79</v>
      </c>
      <c r="J64" s="3378">
        <v>1640.79</v>
      </c>
      <c r="K64" s="3378">
        <v>1640.79</v>
      </c>
      <c r="L64" s="3378">
        <v>1640.79</v>
      </c>
      <c r="M64" s="3378">
        <v>1640.79</v>
      </c>
      <c r="N64" s="3378">
        <v>1640.79</v>
      </c>
      <c r="O64" s="3378">
        <v>1640.79</v>
      </c>
      <c r="P64" s="3378">
        <v>1640.79</v>
      </c>
      <c r="Q64" s="3346"/>
      <c r="R64" s="3377"/>
    </row>
    <row r="65" spans="1:20">
      <c r="A65" s="3376"/>
      <c r="B65" s="3301" t="s">
        <v>3157</v>
      </c>
      <c r="C65" s="3305">
        <v>13399.97</v>
      </c>
      <c r="D65" s="3305">
        <v>12208</v>
      </c>
      <c r="E65" s="3305">
        <v>854.21</v>
      </c>
      <c r="F65" s="3305">
        <v>947.39</v>
      </c>
      <c r="G65" s="3305"/>
      <c r="H65" s="3305">
        <v>1077.79</v>
      </c>
      <c r="I65" s="3305">
        <v>1094.5</v>
      </c>
      <c r="J65" s="3305"/>
      <c r="K65" s="3305"/>
      <c r="L65" s="3305"/>
      <c r="M65" s="3305"/>
      <c r="N65" s="3305"/>
      <c r="O65" s="3305"/>
      <c r="P65" s="3305"/>
      <c r="Q65" s="3352">
        <v>3973.89</v>
      </c>
      <c r="R65" s="3377"/>
      <c r="S65" s="3294"/>
      <c r="T65" s="3294"/>
    </row>
    <row r="66" spans="1:20">
      <c r="A66" s="3380">
        <v>6</v>
      </c>
      <c r="B66" s="3381" t="s">
        <v>3158</v>
      </c>
      <c r="C66" s="3382">
        <v>12308.359999999999</v>
      </c>
      <c r="D66" s="3382">
        <v>11278.64</v>
      </c>
      <c r="E66" s="3382">
        <v>805.90000000000009</v>
      </c>
      <c r="F66" s="3382">
        <v>952.1</v>
      </c>
      <c r="G66" s="3382">
        <v>1442.6999999999998</v>
      </c>
      <c r="H66" s="3382">
        <v>646.93999999999994</v>
      </c>
      <c r="I66" s="3382">
        <v>719.63000000000011</v>
      </c>
      <c r="J66" s="3382">
        <v>0</v>
      </c>
      <c r="K66" s="3382">
        <v>0</v>
      </c>
      <c r="L66" s="3382">
        <v>0</v>
      </c>
      <c r="M66" s="3382">
        <v>0</v>
      </c>
      <c r="N66" s="3382">
        <v>0</v>
      </c>
      <c r="O66" s="3382">
        <v>0</v>
      </c>
      <c r="P66" s="3382">
        <v>0</v>
      </c>
      <c r="Q66" s="3357">
        <v>4567.2700000000004</v>
      </c>
      <c r="R66" s="3383"/>
      <c r="S66" s="3294"/>
      <c r="T66" s="3294"/>
    </row>
    <row r="67" spans="1:20">
      <c r="A67" s="3376"/>
      <c r="B67" s="3384" t="s">
        <v>3159</v>
      </c>
      <c r="C67" s="3305">
        <v>4292.1499999999996</v>
      </c>
      <c r="D67" s="3305">
        <v>4233.57</v>
      </c>
      <c r="E67" s="3305">
        <v>281.26</v>
      </c>
      <c r="F67" s="3378">
        <v>377.14</v>
      </c>
      <c r="G67" s="3378">
        <v>266.08999999999997</v>
      </c>
      <c r="H67" s="3378">
        <v>265.56</v>
      </c>
      <c r="I67" s="3305">
        <v>292.08999999999997</v>
      </c>
      <c r="J67" s="3378"/>
      <c r="K67" s="3305"/>
      <c r="L67" s="3305"/>
      <c r="M67" s="3379"/>
      <c r="N67" s="3379"/>
      <c r="O67" s="3379"/>
      <c r="P67" s="3379"/>
      <c r="Q67" s="3346">
        <v>1482.1399999999999</v>
      </c>
      <c r="R67" s="3377"/>
      <c r="S67" s="3294"/>
      <c r="T67" s="3294"/>
    </row>
    <row r="68" spans="1:20">
      <c r="A68" s="3376"/>
      <c r="B68" s="3385" t="s">
        <v>3160</v>
      </c>
      <c r="C68" s="3305"/>
      <c r="D68" s="3305"/>
      <c r="E68" s="3305">
        <v>0</v>
      </c>
      <c r="F68" s="3378"/>
      <c r="G68" s="3378"/>
      <c r="H68" s="3378"/>
      <c r="I68" s="3305"/>
      <c r="J68" s="3378"/>
      <c r="K68" s="3305"/>
      <c r="L68" s="3305"/>
      <c r="M68" s="3379"/>
      <c r="N68" s="3379"/>
      <c r="O68" s="3379"/>
      <c r="P68" s="3379"/>
      <c r="Q68" s="3346">
        <v>0</v>
      </c>
      <c r="R68" s="3377"/>
      <c r="S68" s="3294"/>
      <c r="T68" s="3294"/>
    </row>
    <row r="69" spans="1:20">
      <c r="A69" s="3376"/>
      <c r="B69" s="3385" t="s">
        <v>3161</v>
      </c>
      <c r="C69" s="3305">
        <v>919.28</v>
      </c>
      <c r="D69" s="3305">
        <v>950.17</v>
      </c>
      <c r="E69" s="3305">
        <v>8.68</v>
      </c>
      <c r="F69" s="3378">
        <v>2.64</v>
      </c>
      <c r="G69" s="3378">
        <v>473.51</v>
      </c>
      <c r="H69" s="3378">
        <v>6.88</v>
      </c>
      <c r="I69" s="3305">
        <v>5.72</v>
      </c>
      <c r="J69" s="3378"/>
      <c r="K69" s="3305"/>
      <c r="L69" s="3305"/>
      <c r="M69" s="3379"/>
      <c r="N69" s="3379"/>
      <c r="O69" s="3379"/>
      <c r="P69" s="3379"/>
      <c r="Q69" s="3346">
        <v>497.43</v>
      </c>
      <c r="R69" s="3377"/>
      <c r="S69" s="3294"/>
      <c r="T69" s="3294"/>
    </row>
    <row r="70" spans="1:20">
      <c r="A70" s="3376"/>
      <c r="B70" s="3384" t="s">
        <v>3162</v>
      </c>
      <c r="C70" s="3305">
        <v>420.9</v>
      </c>
      <c r="D70" s="3305">
        <v>436.32</v>
      </c>
      <c r="E70" s="3305">
        <v>32.799999999999997</v>
      </c>
      <c r="F70" s="3378">
        <v>30.8</v>
      </c>
      <c r="G70" s="3378">
        <v>22.92</v>
      </c>
      <c r="H70" s="3378">
        <v>28.13</v>
      </c>
      <c r="I70" s="3305">
        <v>27.68</v>
      </c>
      <c r="J70" s="3378"/>
      <c r="K70" s="3305"/>
      <c r="L70" s="3305"/>
      <c r="M70" s="3379"/>
      <c r="N70" s="3379"/>
      <c r="O70" s="3379"/>
      <c r="P70" s="3379"/>
      <c r="Q70" s="3346">
        <v>142.32999999999998</v>
      </c>
      <c r="R70" s="3377"/>
      <c r="S70" s="3294"/>
      <c r="T70" s="3294"/>
    </row>
    <row r="71" spans="1:20">
      <c r="A71" s="3376"/>
      <c r="B71" s="3385" t="s">
        <v>3163</v>
      </c>
      <c r="C71" s="3305">
        <v>7282.68</v>
      </c>
      <c r="D71" s="3305">
        <v>6196.18</v>
      </c>
      <c r="E71" s="3305">
        <v>481.18</v>
      </c>
      <c r="F71" s="3378">
        <v>539.84</v>
      </c>
      <c r="G71" s="3378">
        <v>685.18</v>
      </c>
      <c r="H71" s="3378">
        <v>371.71</v>
      </c>
      <c r="I71" s="3305">
        <v>393.69</v>
      </c>
      <c r="J71" s="3378"/>
      <c r="K71" s="3305"/>
      <c r="L71" s="3305"/>
      <c r="M71" s="3379"/>
      <c r="N71" s="3379"/>
      <c r="O71" s="3379"/>
      <c r="P71" s="3379"/>
      <c r="Q71" s="3346">
        <v>2471.6</v>
      </c>
      <c r="R71" s="3377"/>
      <c r="S71" s="3294"/>
      <c r="T71" s="3294"/>
    </row>
    <row r="72" spans="1:20">
      <c r="A72" s="3386"/>
      <c r="B72" s="3387" t="s">
        <v>3164</v>
      </c>
      <c r="C72" s="3388">
        <v>-606.65</v>
      </c>
      <c r="D72" s="3388">
        <v>-537.6</v>
      </c>
      <c r="E72" s="3388">
        <v>1.98</v>
      </c>
      <c r="F72" s="3389">
        <v>1.68</v>
      </c>
      <c r="G72" s="3389">
        <v>-5</v>
      </c>
      <c r="H72" s="3389">
        <v>-25.34</v>
      </c>
      <c r="I72" s="3388">
        <v>0.45</v>
      </c>
      <c r="J72" s="3389"/>
      <c r="K72" s="3388"/>
      <c r="L72" s="3388"/>
      <c r="M72" s="3390"/>
      <c r="N72" s="3390"/>
      <c r="O72" s="3390"/>
      <c r="P72" s="3390"/>
      <c r="Q72" s="3352">
        <v>-26.23</v>
      </c>
      <c r="R72" s="3391"/>
      <c r="S72" s="3294"/>
      <c r="T72" s="3294"/>
    </row>
    <row r="73" spans="1:20">
      <c r="A73" s="3392"/>
      <c r="B73" s="3393" t="s">
        <v>3165</v>
      </c>
      <c r="C73" s="3309">
        <v>11782.47</v>
      </c>
      <c r="D73" s="3309">
        <v>10962.93</v>
      </c>
      <c r="E73" s="3309">
        <v>644.73</v>
      </c>
      <c r="F73" s="3394">
        <v>786.06</v>
      </c>
      <c r="G73" s="3394"/>
      <c r="H73" s="3394">
        <v>741.2</v>
      </c>
      <c r="I73" s="3309">
        <v>734.21</v>
      </c>
      <c r="J73" s="3394"/>
      <c r="K73" s="3309"/>
      <c r="L73" s="3309"/>
      <c r="M73" s="3395"/>
      <c r="N73" s="3395"/>
      <c r="O73" s="3395"/>
      <c r="P73" s="3395"/>
      <c r="Q73" s="3352">
        <v>2906.2</v>
      </c>
      <c r="R73" s="3396"/>
      <c r="S73" s="3294"/>
      <c r="T73" s="3294"/>
    </row>
    <row r="74" spans="1:20">
      <c r="A74" s="3373">
        <v>7</v>
      </c>
      <c r="B74" s="3397" t="s">
        <v>3166</v>
      </c>
      <c r="C74" s="3375">
        <v>0</v>
      </c>
      <c r="D74" s="3375">
        <v>0</v>
      </c>
      <c r="E74" s="3375">
        <v>0</v>
      </c>
      <c r="F74" s="3375">
        <v>0</v>
      </c>
      <c r="G74" s="3375">
        <v>0</v>
      </c>
      <c r="H74" s="3375">
        <v>0</v>
      </c>
      <c r="I74" s="3375">
        <v>0</v>
      </c>
      <c r="J74" s="3375">
        <v>0</v>
      </c>
      <c r="K74" s="3375">
        <v>0</v>
      </c>
      <c r="L74" s="3375">
        <v>0</v>
      </c>
      <c r="M74" s="3375">
        <v>0</v>
      </c>
      <c r="N74" s="3375">
        <v>0</v>
      </c>
      <c r="O74" s="3375">
        <v>0</v>
      </c>
      <c r="P74" s="3375">
        <v>0</v>
      </c>
      <c r="Q74" s="3398">
        <v>0</v>
      </c>
      <c r="R74" s="3399"/>
      <c r="S74" s="3294"/>
      <c r="T74" s="3294"/>
    </row>
    <row r="75" spans="1:20">
      <c r="A75" s="3376"/>
      <c r="B75" s="3384" t="s">
        <v>3167</v>
      </c>
      <c r="C75" s="3305"/>
      <c r="D75" s="3305"/>
      <c r="E75" s="3305"/>
      <c r="F75" s="3378"/>
      <c r="G75" s="3378"/>
      <c r="H75" s="3378"/>
      <c r="I75" s="3305"/>
      <c r="J75" s="3378"/>
      <c r="K75" s="3305"/>
      <c r="L75" s="3305"/>
      <c r="M75" s="3379"/>
      <c r="N75" s="3379"/>
      <c r="O75" s="3379"/>
      <c r="P75" s="3379"/>
      <c r="Q75" s="3346">
        <v>0</v>
      </c>
      <c r="R75" s="3377"/>
      <c r="S75" s="3294"/>
      <c r="T75" s="3294"/>
    </row>
    <row r="76" spans="1:20" ht="26.4">
      <c r="A76" s="3376"/>
      <c r="B76" s="3400" t="s">
        <v>3168</v>
      </c>
      <c r="C76" s="3305"/>
      <c r="D76" s="3305"/>
      <c r="E76" s="3305"/>
      <c r="F76" s="3378"/>
      <c r="G76" s="3378"/>
      <c r="H76" s="3378"/>
      <c r="I76" s="3305"/>
      <c r="J76" s="3378"/>
      <c r="K76" s="3305"/>
      <c r="L76" s="3305"/>
      <c r="M76" s="3379"/>
      <c r="N76" s="3379"/>
      <c r="O76" s="3379"/>
      <c r="P76" s="3379"/>
      <c r="Q76" s="3346">
        <v>0</v>
      </c>
      <c r="R76" s="3377"/>
      <c r="S76" s="3294"/>
      <c r="T76" s="3294"/>
    </row>
    <row r="77" spans="1:20">
      <c r="A77" s="3376"/>
      <c r="B77" s="3400" t="s">
        <v>3169</v>
      </c>
      <c r="C77" s="3305"/>
      <c r="D77" s="3305"/>
      <c r="E77" s="3305"/>
      <c r="F77" s="3378"/>
      <c r="G77" s="3378"/>
      <c r="H77" s="3378"/>
      <c r="I77" s="3305"/>
      <c r="J77" s="3378"/>
      <c r="K77" s="3305"/>
      <c r="L77" s="3305"/>
      <c r="M77" s="3379"/>
      <c r="N77" s="3379"/>
      <c r="O77" s="3379"/>
      <c r="P77" s="3379"/>
      <c r="Q77" s="3346">
        <v>0</v>
      </c>
      <c r="R77" s="3377"/>
      <c r="S77" s="3294"/>
      <c r="T77" s="3294"/>
    </row>
    <row r="78" spans="1:20">
      <c r="A78" s="3376"/>
      <c r="B78" s="3400" t="s">
        <v>3170</v>
      </c>
      <c r="C78" s="3305"/>
      <c r="D78" s="3305"/>
      <c r="E78" s="3305"/>
      <c r="F78" s="3378"/>
      <c r="G78" s="3378"/>
      <c r="H78" s="3378"/>
      <c r="I78" s="3305"/>
      <c r="J78" s="3378"/>
      <c r="K78" s="3305"/>
      <c r="L78" s="3305"/>
      <c r="M78" s="3379"/>
      <c r="N78" s="3379"/>
      <c r="O78" s="3379"/>
      <c r="P78" s="3379"/>
      <c r="Q78" s="3346">
        <v>0</v>
      </c>
      <c r="R78" s="3377"/>
      <c r="S78" s="3294"/>
      <c r="T78" s="3294"/>
    </row>
    <row r="79" spans="1:20">
      <c r="A79" s="3376"/>
      <c r="B79" s="3400" t="s">
        <v>3171</v>
      </c>
      <c r="C79" s="3305"/>
      <c r="D79" s="3305"/>
      <c r="E79" s="3305"/>
      <c r="F79" s="3378"/>
      <c r="G79" s="3378"/>
      <c r="H79" s="3378"/>
      <c r="I79" s="3305"/>
      <c r="J79" s="3378"/>
      <c r="K79" s="3305"/>
      <c r="L79" s="3305"/>
      <c r="M79" s="3379"/>
      <c r="N79" s="3379"/>
      <c r="O79" s="3379"/>
      <c r="P79" s="3379"/>
      <c r="Q79" s="3346">
        <v>0</v>
      </c>
      <c r="R79" s="3377"/>
      <c r="S79" s="3294"/>
      <c r="T79" s="3294"/>
    </row>
    <row r="80" spans="1:20">
      <c r="A80" s="3302">
        <v>8</v>
      </c>
      <c r="B80" s="3401" t="s">
        <v>3172</v>
      </c>
      <c r="C80" s="3402">
        <v>1414.4500000000025</v>
      </c>
      <c r="D80" s="3402">
        <v>1372.7000000000007</v>
      </c>
      <c r="E80" s="3402">
        <v>211.58999999999992</v>
      </c>
      <c r="F80" s="3402">
        <v>10.990000000000123</v>
      </c>
      <c r="G80" s="3402">
        <v>-225.28999999999996</v>
      </c>
      <c r="H80" s="3402">
        <v>455.72000000000014</v>
      </c>
      <c r="I80" s="3402">
        <v>476.18999999999983</v>
      </c>
      <c r="J80" s="3402">
        <v>0</v>
      </c>
      <c r="K80" s="3402">
        <v>0</v>
      </c>
      <c r="L80" s="3402">
        <v>0</v>
      </c>
      <c r="M80" s="3402">
        <v>0</v>
      </c>
      <c r="N80" s="3402">
        <v>0</v>
      </c>
      <c r="O80" s="3402">
        <v>0</v>
      </c>
      <c r="P80" s="3402">
        <v>0</v>
      </c>
      <c r="Q80" s="3403">
        <v>929.2</v>
      </c>
      <c r="R80" s="3404"/>
      <c r="S80" s="3294"/>
      <c r="T80" s="3294"/>
    </row>
    <row r="81" spans="1:20">
      <c r="A81" s="3376">
        <v>9</v>
      </c>
      <c r="B81" s="3405" t="s">
        <v>3173</v>
      </c>
      <c r="C81" s="3305"/>
      <c r="D81" s="3305"/>
      <c r="E81" s="3305"/>
      <c r="F81" s="3305">
        <v>0.05</v>
      </c>
      <c r="G81" s="3305">
        <v>0.06</v>
      </c>
      <c r="H81" s="3305"/>
      <c r="I81" s="3305">
        <v>2.04</v>
      </c>
      <c r="J81" s="3305"/>
      <c r="K81" s="3305"/>
      <c r="L81" s="3305"/>
      <c r="M81" s="3305"/>
      <c r="N81" s="3305"/>
      <c r="O81" s="3305"/>
      <c r="P81" s="3305"/>
      <c r="Q81" s="3346">
        <v>2.15</v>
      </c>
      <c r="R81" s="3377"/>
      <c r="S81" s="3294"/>
      <c r="T81" s="3294"/>
    </row>
    <row r="82" spans="1:20">
      <c r="A82" s="3376"/>
      <c r="B82" s="3400" t="s">
        <v>3174</v>
      </c>
      <c r="C82" s="3305"/>
      <c r="D82" s="3305"/>
      <c r="E82" s="3305"/>
      <c r="F82" s="3305"/>
      <c r="G82" s="3305"/>
      <c r="H82" s="3305"/>
      <c r="I82" s="3305"/>
      <c r="J82" s="3305"/>
      <c r="K82" s="3305"/>
      <c r="L82" s="3305"/>
      <c r="M82" s="3305"/>
      <c r="N82" s="3305"/>
      <c r="O82" s="3305"/>
      <c r="P82" s="3305"/>
      <c r="Q82" s="3346">
        <v>0</v>
      </c>
      <c r="R82" s="3377"/>
      <c r="S82" s="3294"/>
      <c r="T82" s="3294"/>
    </row>
    <row r="83" spans="1:20">
      <c r="A83" s="3376">
        <v>10</v>
      </c>
      <c r="B83" s="3401" t="s">
        <v>3175</v>
      </c>
      <c r="C83" s="3402">
        <v>1414.4500000000025</v>
      </c>
      <c r="D83" s="3402">
        <v>1372.7000000000007</v>
      </c>
      <c r="E83" s="3402">
        <v>211.58999999999992</v>
      </c>
      <c r="F83" s="3402">
        <v>11.040000000000123</v>
      </c>
      <c r="G83" s="3402">
        <v>-225.22999999999996</v>
      </c>
      <c r="H83" s="3402">
        <v>455.72000000000014</v>
      </c>
      <c r="I83" s="3402">
        <v>478.22999999999985</v>
      </c>
      <c r="J83" s="3402">
        <v>0</v>
      </c>
      <c r="K83" s="3402">
        <v>0</v>
      </c>
      <c r="L83" s="3402">
        <v>0</v>
      </c>
      <c r="M83" s="3402">
        <v>0</v>
      </c>
      <c r="N83" s="3402">
        <v>0</v>
      </c>
      <c r="O83" s="3402">
        <v>0</v>
      </c>
      <c r="P83" s="3402">
        <v>0</v>
      </c>
      <c r="Q83" s="3403">
        <v>931.35000000000014</v>
      </c>
      <c r="R83" s="3404"/>
      <c r="S83" s="3294"/>
      <c r="T83" s="3294"/>
    </row>
    <row r="84" spans="1:20">
      <c r="A84" s="3376"/>
      <c r="B84" s="3400" t="s">
        <v>3176</v>
      </c>
      <c r="C84" s="3305"/>
      <c r="D84" s="3305"/>
      <c r="E84" s="3305"/>
      <c r="F84" s="3305"/>
      <c r="G84" s="3305"/>
      <c r="H84" s="3305"/>
      <c r="I84" s="3305">
        <v>360.29</v>
      </c>
      <c r="J84" s="3305"/>
      <c r="K84" s="3305"/>
      <c r="L84" s="3305"/>
      <c r="M84" s="3305"/>
      <c r="N84" s="3305"/>
      <c r="O84" s="3305"/>
      <c r="P84" s="3305"/>
      <c r="Q84" s="3346">
        <v>360.29</v>
      </c>
      <c r="R84" s="3377"/>
      <c r="S84" s="3294"/>
      <c r="T84" s="3294"/>
    </row>
    <row r="85" spans="1:20">
      <c r="A85" s="3302">
        <v>11</v>
      </c>
      <c r="B85" s="3406" t="s">
        <v>3177</v>
      </c>
      <c r="C85" s="3305"/>
      <c r="D85" s="3305"/>
      <c r="E85" s="3305"/>
      <c r="F85" s="3305"/>
      <c r="G85" s="3305"/>
      <c r="H85" s="3305"/>
      <c r="I85" s="3305"/>
      <c r="J85" s="3305"/>
      <c r="K85" s="3305"/>
      <c r="L85" s="3305"/>
      <c r="M85" s="3305"/>
      <c r="N85" s="3305"/>
      <c r="O85" s="3305"/>
      <c r="P85" s="3305"/>
      <c r="Q85" s="3346">
        <v>0</v>
      </c>
      <c r="R85" s="3377"/>
      <c r="S85" s="3294"/>
      <c r="T85" s="3294"/>
    </row>
    <row r="86" spans="1:20">
      <c r="A86" s="3376">
        <v>12</v>
      </c>
      <c r="B86" s="3401" t="s">
        <v>3178</v>
      </c>
      <c r="C86" s="3402">
        <v>1414.4500000000025</v>
      </c>
      <c r="D86" s="3402">
        <v>1372.7000000000007</v>
      </c>
      <c r="E86" s="3402">
        <v>211.58999999999992</v>
      </c>
      <c r="F86" s="3402">
        <v>11.040000000000123</v>
      </c>
      <c r="G86" s="3402">
        <v>-225.22999999999996</v>
      </c>
      <c r="H86" s="3402">
        <v>455.72000000000014</v>
      </c>
      <c r="I86" s="3402">
        <v>478.22999999999985</v>
      </c>
      <c r="J86" s="3402">
        <v>0</v>
      </c>
      <c r="K86" s="3402">
        <v>0</v>
      </c>
      <c r="L86" s="3402">
        <v>0</v>
      </c>
      <c r="M86" s="3402">
        <v>0</v>
      </c>
      <c r="N86" s="3402">
        <v>0</v>
      </c>
      <c r="O86" s="3402">
        <v>0</v>
      </c>
      <c r="P86" s="3402">
        <v>0</v>
      </c>
      <c r="Q86" s="3403">
        <v>931.35000000000014</v>
      </c>
      <c r="R86" s="3404"/>
      <c r="S86" s="3294"/>
      <c r="T86" s="3294"/>
    </row>
    <row r="87" spans="1:20">
      <c r="A87" s="3376"/>
      <c r="B87" s="3400" t="s">
        <v>3179</v>
      </c>
      <c r="C87" s="3305"/>
      <c r="D87" s="3305"/>
      <c r="E87" s="3305"/>
      <c r="F87" s="3378"/>
      <c r="G87" s="3378"/>
      <c r="H87" s="3378"/>
      <c r="I87" s="3305"/>
      <c r="J87" s="3378"/>
      <c r="K87" s="3305"/>
      <c r="L87" s="3305"/>
      <c r="M87" s="3379"/>
      <c r="N87" s="3379"/>
      <c r="O87" s="3379"/>
      <c r="P87" s="3379"/>
      <c r="Q87" s="3346">
        <v>0</v>
      </c>
      <c r="R87" s="3377"/>
      <c r="S87" s="3294"/>
      <c r="T87" s="3294"/>
    </row>
    <row r="88" spans="1:20">
      <c r="A88" s="3376"/>
      <c r="B88" s="3400" t="s">
        <v>3180</v>
      </c>
      <c r="C88" s="3305"/>
      <c r="D88" s="3305"/>
      <c r="E88" s="3305"/>
      <c r="F88" s="3378"/>
      <c r="G88" s="3378"/>
      <c r="H88" s="3378"/>
      <c r="I88" s="3305"/>
      <c r="J88" s="3378"/>
      <c r="K88" s="3305"/>
      <c r="L88" s="3305"/>
      <c r="M88" s="3379"/>
      <c r="N88" s="3379"/>
      <c r="O88" s="3379"/>
      <c r="P88" s="3379"/>
      <c r="Q88" s="3346">
        <v>0</v>
      </c>
      <c r="R88" s="3377"/>
      <c r="S88" s="3294"/>
      <c r="T88" s="3294"/>
    </row>
    <row r="89" spans="1:20">
      <c r="A89" s="3302">
        <v>13</v>
      </c>
      <c r="B89" s="3385" t="s">
        <v>3181</v>
      </c>
      <c r="C89" s="3305"/>
      <c r="D89" s="3305"/>
      <c r="E89" s="3305"/>
      <c r="F89" s="3378"/>
      <c r="G89" s="3378"/>
      <c r="H89" s="3378"/>
      <c r="I89" s="3305"/>
      <c r="J89" s="3378"/>
      <c r="K89" s="3305"/>
      <c r="L89" s="3305"/>
      <c r="M89" s="3379"/>
      <c r="N89" s="3379"/>
      <c r="O89" s="3379"/>
      <c r="P89" s="3379"/>
      <c r="Q89" s="3346">
        <v>0</v>
      </c>
      <c r="R89" s="3377"/>
      <c r="S89" s="3294"/>
      <c r="T89" s="3294"/>
    </row>
    <row r="90" spans="1:20">
      <c r="A90" s="3386">
        <v>14</v>
      </c>
      <c r="B90" s="3385" t="s">
        <v>3182</v>
      </c>
      <c r="C90" s="3305">
        <v>508.51</v>
      </c>
      <c r="D90" s="3305">
        <v>516</v>
      </c>
      <c r="E90" s="3305">
        <v>42.72</v>
      </c>
      <c r="F90" s="3378">
        <v>42.72</v>
      </c>
      <c r="G90" s="3378">
        <v>42.72</v>
      </c>
      <c r="H90" s="3378">
        <v>42.72</v>
      </c>
      <c r="I90" s="3305">
        <v>42.78</v>
      </c>
      <c r="J90" s="3378"/>
      <c r="K90" s="3305"/>
      <c r="L90" s="3305"/>
      <c r="M90" s="3379"/>
      <c r="N90" s="3379"/>
      <c r="O90" s="3379"/>
      <c r="P90" s="3379"/>
      <c r="Q90" s="3346">
        <v>213.66</v>
      </c>
      <c r="R90" s="3377"/>
      <c r="S90" s="3294"/>
      <c r="T90" s="3294"/>
    </row>
    <row r="91" spans="1:20" ht="14.4" customHeight="1">
      <c r="A91" s="3373"/>
      <c r="B91" s="3385" t="s">
        <v>3183</v>
      </c>
      <c r="C91" s="3305"/>
      <c r="D91" s="3305"/>
      <c r="E91" s="3305">
        <v>19.420000000000002</v>
      </c>
      <c r="F91" s="3378">
        <v>19.420000000000002</v>
      </c>
      <c r="G91" s="3378">
        <v>19.420000000000002</v>
      </c>
      <c r="H91" s="3378">
        <v>19.420000000000002</v>
      </c>
      <c r="I91" s="3305">
        <v>19.420000000000002</v>
      </c>
      <c r="J91" s="3378"/>
      <c r="K91" s="3305"/>
      <c r="L91" s="3305"/>
      <c r="M91" s="3379"/>
      <c r="N91" s="3379"/>
      <c r="O91" s="3379"/>
      <c r="P91" s="3379"/>
      <c r="Q91" s="3346">
        <v>97.100000000000009</v>
      </c>
      <c r="R91" s="3377"/>
      <c r="S91" s="3294"/>
      <c r="T91" s="3294"/>
    </row>
    <row r="92" spans="1:20">
      <c r="A92" s="3302">
        <v>15</v>
      </c>
      <c r="B92" s="3385" t="s">
        <v>3184</v>
      </c>
      <c r="C92" s="3305">
        <v>296.5</v>
      </c>
      <c r="D92" s="3305">
        <v>296</v>
      </c>
      <c r="E92" s="3305">
        <v>24.92</v>
      </c>
      <c r="F92" s="3378">
        <v>24.92</v>
      </c>
      <c r="G92" s="3378">
        <v>24.92</v>
      </c>
      <c r="H92" s="3378">
        <v>24.92</v>
      </c>
      <c r="I92" s="3305">
        <v>24.92</v>
      </c>
      <c r="J92" s="3378"/>
      <c r="K92" s="3305"/>
      <c r="L92" s="3305"/>
      <c r="M92" s="3379"/>
      <c r="N92" s="3379"/>
      <c r="O92" s="3379"/>
      <c r="P92" s="3379"/>
      <c r="Q92" s="3346">
        <v>124.60000000000001</v>
      </c>
      <c r="R92" s="3377"/>
      <c r="S92" s="3294"/>
      <c r="T92" s="3294"/>
    </row>
    <row r="93" spans="1:20">
      <c r="A93" s="3376">
        <v>16</v>
      </c>
      <c r="B93" s="3385" t="s">
        <v>3185</v>
      </c>
      <c r="C93" s="3305">
        <v>0</v>
      </c>
      <c r="D93" s="3305">
        <v>0</v>
      </c>
      <c r="E93" s="3305">
        <v>0</v>
      </c>
      <c r="F93" s="3305">
        <v>0</v>
      </c>
      <c r="G93" s="3305">
        <v>0</v>
      </c>
      <c r="H93" s="3305">
        <v>0</v>
      </c>
      <c r="I93" s="3305">
        <v>0</v>
      </c>
      <c r="J93" s="3305">
        <v>0</v>
      </c>
      <c r="K93" s="3305">
        <v>0</v>
      </c>
      <c r="L93" s="3305">
        <v>0</v>
      </c>
      <c r="M93" s="3305">
        <v>0</v>
      </c>
      <c r="N93" s="3305">
        <v>0</v>
      </c>
      <c r="O93" s="3305">
        <v>0</v>
      </c>
      <c r="P93" s="3305">
        <v>0</v>
      </c>
      <c r="Q93" s="3346">
        <v>0</v>
      </c>
      <c r="R93" s="3377"/>
      <c r="S93" s="3294"/>
      <c r="T93" s="3294"/>
    </row>
    <row r="94" spans="1:20">
      <c r="A94" s="3376"/>
      <c r="B94" s="3385" t="s">
        <v>3186</v>
      </c>
      <c r="C94" s="3305"/>
      <c r="D94" s="3305"/>
      <c r="E94" s="3305"/>
      <c r="F94" s="3378"/>
      <c r="G94" s="3378"/>
      <c r="H94" s="3378"/>
      <c r="I94" s="3305"/>
      <c r="J94" s="3378"/>
      <c r="K94" s="3305"/>
      <c r="L94" s="3305"/>
      <c r="M94" s="3379"/>
      <c r="N94" s="3379"/>
      <c r="O94" s="3379"/>
      <c r="P94" s="3379"/>
      <c r="Q94" s="3346">
        <v>0</v>
      </c>
      <c r="R94" s="3377"/>
      <c r="S94" s="3294"/>
      <c r="T94" s="3294"/>
    </row>
    <row r="95" spans="1:20">
      <c r="A95" s="3376"/>
      <c r="B95" s="3306" t="s">
        <v>3187</v>
      </c>
      <c r="C95" s="3305"/>
      <c r="D95" s="3305"/>
      <c r="E95" s="3305"/>
      <c r="F95" s="3378"/>
      <c r="G95" s="3378"/>
      <c r="H95" s="3378"/>
      <c r="I95" s="3305"/>
      <c r="J95" s="3378"/>
      <c r="K95" s="3305"/>
      <c r="L95" s="3305"/>
      <c r="M95" s="3379"/>
      <c r="N95" s="3379"/>
      <c r="O95" s="3379"/>
      <c r="P95" s="3379"/>
      <c r="Q95" s="3346">
        <v>0</v>
      </c>
      <c r="R95" s="3377"/>
      <c r="S95" s="3294"/>
      <c r="T95" s="3294"/>
    </row>
    <row r="96" spans="1:20">
      <c r="A96" s="3302">
        <v>18</v>
      </c>
      <c r="B96" s="3407" t="s">
        <v>3188</v>
      </c>
      <c r="C96" s="3305"/>
      <c r="D96" s="3305"/>
      <c r="E96" s="3305"/>
      <c r="F96" s="3378"/>
      <c r="G96" s="3378"/>
      <c r="H96" s="3378"/>
      <c r="I96" s="3305"/>
      <c r="J96" s="3378"/>
      <c r="K96" s="3305"/>
      <c r="L96" s="3305"/>
      <c r="M96" s="3379"/>
      <c r="N96" s="3379"/>
      <c r="O96" s="3379"/>
      <c r="P96" s="3379"/>
      <c r="Q96" s="3346">
        <v>0</v>
      </c>
      <c r="R96" s="3377"/>
      <c r="S96" s="3294"/>
      <c r="T96" s="3294"/>
    </row>
    <row r="97" spans="1:20">
      <c r="A97" s="3302">
        <v>19</v>
      </c>
      <c r="B97" s="3407" t="s">
        <v>3189</v>
      </c>
      <c r="C97" s="3305"/>
      <c r="D97" s="3305"/>
      <c r="E97" s="3305"/>
      <c r="F97" s="3378"/>
      <c r="G97" s="3378"/>
      <c r="H97" s="3378"/>
      <c r="I97" s="3305"/>
      <c r="J97" s="3378"/>
      <c r="K97" s="3305"/>
      <c r="L97" s="3305"/>
      <c r="M97" s="3379"/>
      <c r="N97" s="3379"/>
      <c r="O97" s="3379"/>
      <c r="P97" s="3379"/>
      <c r="Q97" s="3346">
        <v>0</v>
      </c>
      <c r="R97" s="3377"/>
      <c r="S97" s="3294"/>
      <c r="T97" s="3294"/>
    </row>
    <row r="98" spans="1:20">
      <c r="A98" s="3376">
        <v>20</v>
      </c>
      <c r="B98" s="3301" t="s">
        <v>3190</v>
      </c>
      <c r="C98" s="3305">
        <v>2235.65</v>
      </c>
      <c r="D98" s="3305">
        <v>950.17000000000007</v>
      </c>
      <c r="E98" s="3305">
        <v>51.019999999999996</v>
      </c>
      <c r="F98" s="3305">
        <v>34.68</v>
      </c>
      <c r="G98" s="3305">
        <v>528.87</v>
      </c>
      <c r="H98" s="3305">
        <v>6.86</v>
      </c>
      <c r="I98" s="3305">
        <v>45.710000000000008</v>
      </c>
      <c r="J98" s="3305">
        <v>0</v>
      </c>
      <c r="K98" s="3305">
        <v>0</v>
      </c>
      <c r="L98" s="3305">
        <v>0</v>
      </c>
      <c r="M98" s="3305">
        <v>0</v>
      </c>
      <c r="N98" s="3305">
        <v>0</v>
      </c>
      <c r="O98" s="3305">
        <v>0</v>
      </c>
      <c r="P98" s="3305">
        <v>0</v>
      </c>
      <c r="Q98" s="3346">
        <v>667.14</v>
      </c>
      <c r="R98" s="3377"/>
      <c r="S98" s="3294"/>
      <c r="T98" s="3294"/>
    </row>
    <row r="99" spans="1:20">
      <c r="A99" s="3376"/>
      <c r="B99" s="3305" t="s">
        <v>3191</v>
      </c>
      <c r="C99" s="3305">
        <v>803.22</v>
      </c>
      <c r="D99" s="3305"/>
      <c r="E99" s="3305">
        <v>55.81</v>
      </c>
      <c r="F99" s="3305">
        <v>52.64</v>
      </c>
      <c r="G99" s="3305">
        <v>80.05</v>
      </c>
      <c r="H99" s="3305">
        <v>63.07</v>
      </c>
      <c r="I99" s="3305">
        <v>67.180000000000007</v>
      </c>
      <c r="J99" s="3305"/>
      <c r="K99" s="3305"/>
      <c r="L99" s="3305"/>
      <c r="M99" s="3305"/>
      <c r="N99" s="3305"/>
      <c r="O99" s="3305"/>
      <c r="P99" s="3305"/>
      <c r="Q99" s="3346">
        <v>318.75</v>
      </c>
      <c r="R99" s="3377"/>
      <c r="S99" s="3294"/>
      <c r="T99" s="3294"/>
    </row>
    <row r="100" spans="1:20">
      <c r="A100" s="3376"/>
      <c r="B100" s="3305" t="s">
        <v>3192</v>
      </c>
      <c r="C100" s="3305">
        <v>276.8</v>
      </c>
      <c r="D100" s="3305"/>
      <c r="E100" s="3305">
        <v>17.34</v>
      </c>
      <c r="F100" s="3305">
        <v>30.6</v>
      </c>
      <c r="G100" s="3305">
        <v>24.68</v>
      </c>
      <c r="H100" s="3305">
        <v>10.17</v>
      </c>
      <c r="I100" s="3305">
        <v>27.2</v>
      </c>
      <c r="J100" s="3305"/>
      <c r="K100" s="3305"/>
      <c r="L100" s="3305"/>
      <c r="M100" s="3305"/>
      <c r="N100" s="3305"/>
      <c r="O100" s="3305"/>
      <c r="P100" s="3305"/>
      <c r="Q100" s="3346">
        <v>109.99000000000001</v>
      </c>
      <c r="R100" s="3377"/>
      <c r="S100" s="3294"/>
      <c r="T100" s="3294"/>
    </row>
    <row r="101" spans="1:20">
      <c r="A101" s="3376"/>
      <c r="B101" s="3305" t="s">
        <v>3193</v>
      </c>
      <c r="C101" s="3305">
        <v>526.42000000000007</v>
      </c>
      <c r="D101" s="3305">
        <v>0</v>
      </c>
      <c r="E101" s="3305">
        <v>38.47</v>
      </c>
      <c r="F101" s="3305">
        <v>22.04</v>
      </c>
      <c r="G101" s="3305">
        <v>55.37</v>
      </c>
      <c r="H101" s="3305"/>
      <c r="I101" s="3305">
        <v>39.980000000000004</v>
      </c>
      <c r="J101" s="3305">
        <v>0</v>
      </c>
      <c r="K101" s="3305">
        <v>0</v>
      </c>
      <c r="L101" s="3305">
        <v>0</v>
      </c>
      <c r="M101" s="3305">
        <v>0</v>
      </c>
      <c r="N101" s="3305">
        <v>0</v>
      </c>
      <c r="O101" s="3305">
        <v>0</v>
      </c>
      <c r="P101" s="3305">
        <v>0</v>
      </c>
      <c r="Q101" s="3346">
        <v>155.86000000000001</v>
      </c>
      <c r="R101" s="3377"/>
      <c r="S101" s="3294"/>
      <c r="T101" s="3294"/>
    </row>
    <row r="102" spans="1:20">
      <c r="A102" s="3376"/>
      <c r="B102" s="3305" t="s">
        <v>3194</v>
      </c>
      <c r="C102" s="3305">
        <v>63.64</v>
      </c>
      <c r="D102" s="3305">
        <v>46.8</v>
      </c>
      <c r="E102" s="3305">
        <v>4.6100000000000003</v>
      </c>
      <c r="F102" s="3378">
        <v>2.64</v>
      </c>
      <c r="G102" s="3378">
        <v>6.64</v>
      </c>
      <c r="H102" s="3378">
        <v>6.45</v>
      </c>
      <c r="I102" s="3378">
        <v>4.3600000000000003</v>
      </c>
      <c r="J102" s="3378"/>
      <c r="K102" s="3378"/>
      <c r="L102" s="3378"/>
      <c r="M102" s="3378"/>
      <c r="N102" s="3378"/>
      <c r="O102" s="3378"/>
      <c r="P102" s="3378"/>
      <c r="Q102" s="3346">
        <v>24.7</v>
      </c>
      <c r="R102" s="3377"/>
      <c r="S102" s="3294"/>
      <c r="T102" s="3294"/>
    </row>
    <row r="103" spans="1:20">
      <c r="A103" s="3376"/>
      <c r="B103" s="3305" t="s">
        <v>3195</v>
      </c>
      <c r="C103" s="3305">
        <v>802.17</v>
      </c>
      <c r="D103" s="3305">
        <v>843.32</v>
      </c>
      <c r="E103" s="3305"/>
      <c r="F103" s="3378"/>
      <c r="G103" s="3378">
        <v>421.66</v>
      </c>
      <c r="H103" s="3378"/>
      <c r="I103" s="3378">
        <v>0.63</v>
      </c>
      <c r="J103" s="3378"/>
      <c r="K103" s="3378"/>
      <c r="L103" s="3378"/>
      <c r="M103" s="3378"/>
      <c r="N103" s="3378"/>
      <c r="O103" s="3378"/>
      <c r="P103" s="3378"/>
      <c r="Q103" s="3346">
        <v>422.29</v>
      </c>
      <c r="R103" s="3377"/>
      <c r="S103" s="3294"/>
      <c r="T103" s="3294"/>
    </row>
    <row r="104" spans="1:20">
      <c r="A104" s="3376"/>
      <c r="B104" s="3305" t="s">
        <v>3196</v>
      </c>
      <c r="C104" s="3305">
        <v>44.31</v>
      </c>
      <c r="D104" s="3305">
        <v>44.31</v>
      </c>
      <c r="E104" s="3305"/>
      <c r="F104" s="3378"/>
      <c r="G104" s="3378">
        <v>44.31</v>
      </c>
      <c r="H104" s="3378"/>
      <c r="I104" s="3378"/>
      <c r="J104" s="3378"/>
      <c r="K104" s="3378"/>
      <c r="L104" s="3378"/>
      <c r="M104" s="3378"/>
      <c r="N104" s="3378"/>
      <c r="O104" s="3378"/>
      <c r="P104" s="3378"/>
      <c r="Q104" s="3346">
        <v>44.31</v>
      </c>
      <c r="R104" s="3377"/>
      <c r="S104" s="3294"/>
      <c r="T104" s="3294"/>
    </row>
    <row r="105" spans="1:20">
      <c r="A105" s="3376"/>
      <c r="B105" s="3305" t="s">
        <v>3197</v>
      </c>
      <c r="C105" s="3305">
        <v>8.94</v>
      </c>
      <c r="D105" s="3305">
        <v>8.5</v>
      </c>
      <c r="E105" s="3305">
        <v>3.87</v>
      </c>
      <c r="F105" s="3378"/>
      <c r="G105" s="3378">
        <v>0.89</v>
      </c>
      <c r="H105" s="3378">
        <v>0.4</v>
      </c>
      <c r="I105" s="3378">
        <v>0.63</v>
      </c>
      <c r="J105" s="3378"/>
      <c r="K105" s="3378"/>
      <c r="L105" s="3378"/>
      <c r="M105" s="3378"/>
      <c r="N105" s="3378"/>
      <c r="O105" s="3378"/>
      <c r="P105" s="3378"/>
      <c r="Q105" s="3346">
        <v>5.79</v>
      </c>
      <c r="R105" s="3377"/>
      <c r="S105" s="3294"/>
      <c r="T105" s="3294"/>
    </row>
    <row r="106" spans="1:20">
      <c r="A106" s="3376"/>
      <c r="B106" s="3305" t="s">
        <v>3198</v>
      </c>
      <c r="C106" s="3305">
        <v>790.17</v>
      </c>
      <c r="D106" s="3305">
        <v>7.24</v>
      </c>
      <c r="E106" s="3305">
        <v>4.07</v>
      </c>
      <c r="F106" s="3378">
        <v>10</v>
      </c>
      <c r="G106" s="3378">
        <v>0</v>
      </c>
      <c r="H106" s="3378">
        <v>0.01</v>
      </c>
      <c r="I106" s="3378">
        <v>0.11</v>
      </c>
      <c r="J106" s="3378"/>
      <c r="K106" s="3378"/>
      <c r="L106" s="3378"/>
      <c r="M106" s="3378"/>
      <c r="N106" s="3378"/>
      <c r="O106" s="3378"/>
      <c r="P106" s="3378"/>
      <c r="Q106" s="3346">
        <v>14.19</v>
      </c>
      <c r="R106" s="3377"/>
      <c r="S106" s="3294"/>
      <c r="T106" s="3294"/>
    </row>
    <row r="107" spans="1:20" s="3412" customFormat="1">
      <c r="A107" s="3408">
        <v>21</v>
      </c>
      <c r="B107" s="3409" t="s">
        <v>3199</v>
      </c>
      <c r="C107" s="3409">
        <v>442.1610189858207</v>
      </c>
      <c r="D107" s="3409">
        <v>374.9098774333093</v>
      </c>
      <c r="E107" s="3409">
        <v>427.36842105263156</v>
      </c>
      <c r="F107" s="3409">
        <v>340.57354925775974</v>
      </c>
      <c r="G107" s="3410">
        <v>379.27658652804848</v>
      </c>
      <c r="H107" s="3410">
        <v>389.53007518796983</v>
      </c>
      <c r="I107" s="3410">
        <v>405.43365455893252</v>
      </c>
      <c r="J107" s="3409">
        <v>405.43365455893252</v>
      </c>
      <c r="K107" s="3409">
        <v>405.43365455893252</v>
      </c>
      <c r="L107" s="3409">
        <v>405.43365455893252</v>
      </c>
      <c r="M107" s="3409">
        <v>405.43365455893252</v>
      </c>
      <c r="N107" s="3409">
        <v>405.43365455893252</v>
      </c>
      <c r="O107" s="3409">
        <v>405.43365455893252</v>
      </c>
      <c r="P107" s="3409">
        <v>405.43365455893252</v>
      </c>
      <c r="Q107" s="3409"/>
      <c r="R107" s="3409"/>
      <c r="S107" s="3411"/>
      <c r="T107" s="3411"/>
    </row>
    <row r="108" spans="1:20">
      <c r="A108" s="3408">
        <v>22</v>
      </c>
      <c r="B108" s="3413" t="s">
        <v>3200</v>
      </c>
      <c r="C108" s="3413">
        <v>8526.4400000000023</v>
      </c>
      <c r="D108" s="3413">
        <v>8279.6</v>
      </c>
      <c r="E108" s="3413">
        <v>791.32</v>
      </c>
      <c r="F108" s="3413">
        <v>640.95000000000016</v>
      </c>
      <c r="G108" s="3413">
        <v>545.45999999999992</v>
      </c>
      <c r="H108" s="3413">
        <v>897.88000000000011</v>
      </c>
      <c r="I108" s="3413">
        <v>965.69999999999993</v>
      </c>
      <c r="J108" s="3413">
        <v>0</v>
      </c>
      <c r="K108" s="3413">
        <v>0</v>
      </c>
      <c r="L108" s="3413">
        <v>0</v>
      </c>
      <c r="M108" s="3413">
        <v>0</v>
      </c>
      <c r="N108" s="3413">
        <v>0</v>
      </c>
      <c r="O108" s="3413">
        <v>0</v>
      </c>
      <c r="P108" s="3413">
        <v>0</v>
      </c>
      <c r="Q108" s="3413">
        <v>3347.1899999999996</v>
      </c>
      <c r="R108" s="3414"/>
      <c r="S108" s="3294"/>
      <c r="T108" s="3294"/>
    </row>
    <row r="109" spans="1:20">
      <c r="A109" s="3408">
        <v>23</v>
      </c>
      <c r="B109" s="3413" t="s">
        <v>3201</v>
      </c>
      <c r="C109" s="3413">
        <v>2219.4600000000028</v>
      </c>
      <c r="D109" s="3413">
        <v>2184.7000000000007</v>
      </c>
      <c r="E109" s="3413">
        <v>279.2299999999999</v>
      </c>
      <c r="F109" s="3413">
        <v>78.630000000000123</v>
      </c>
      <c r="G109" s="3413">
        <v>-157.64999999999998</v>
      </c>
      <c r="H109" s="3413">
        <v>523.36000000000013</v>
      </c>
      <c r="I109" s="3413">
        <v>543.88999999999976</v>
      </c>
      <c r="J109" s="3413">
        <v>0</v>
      </c>
      <c r="K109" s="3413">
        <v>0</v>
      </c>
      <c r="L109" s="3413">
        <v>0</v>
      </c>
      <c r="M109" s="3413">
        <v>0</v>
      </c>
      <c r="N109" s="3413">
        <v>0</v>
      </c>
      <c r="O109" s="3413">
        <v>0</v>
      </c>
      <c r="P109" s="3413">
        <v>0</v>
      </c>
      <c r="Q109" s="3413">
        <v>1267.4599999999989</v>
      </c>
      <c r="R109" s="3414"/>
      <c r="S109" s="3294"/>
      <c r="T109" s="3294"/>
    </row>
    <row r="110" spans="1:20">
      <c r="A110" s="3408">
        <v>24</v>
      </c>
      <c r="B110" s="3413" t="s">
        <v>3202</v>
      </c>
      <c r="C110" s="3413">
        <v>1414.4500000000025</v>
      </c>
      <c r="D110" s="3413">
        <v>1372.7000000000007</v>
      </c>
      <c r="E110" s="3413">
        <v>231.00999999999993</v>
      </c>
      <c r="F110" s="3413">
        <v>30.410000000000124</v>
      </c>
      <c r="G110" s="3413">
        <v>-205.86999999999995</v>
      </c>
      <c r="H110" s="3413">
        <v>475.14000000000016</v>
      </c>
      <c r="I110" s="3413">
        <v>495.60999999999984</v>
      </c>
      <c r="J110" s="3413">
        <v>0</v>
      </c>
      <c r="K110" s="3413">
        <v>0</v>
      </c>
      <c r="L110" s="3413">
        <v>0</v>
      </c>
      <c r="M110" s="3413">
        <v>0</v>
      </c>
      <c r="N110" s="3413">
        <v>0</v>
      </c>
      <c r="O110" s="3413">
        <v>0</v>
      </c>
      <c r="P110" s="3413">
        <v>0</v>
      </c>
      <c r="Q110" s="3413">
        <v>1026.2999999999988</v>
      </c>
      <c r="R110" s="3414"/>
      <c r="S110" s="3294"/>
      <c r="T110" s="3294"/>
    </row>
    <row r="111" spans="1:20">
      <c r="A111" s="3408">
        <v>25</v>
      </c>
      <c r="B111" s="3415" t="s">
        <v>3203</v>
      </c>
      <c r="C111" s="3413">
        <v>1414.4500000000025</v>
      </c>
      <c r="D111" s="3413">
        <v>1372.7000000000007</v>
      </c>
      <c r="E111" s="3413">
        <v>211.58999999999992</v>
      </c>
      <c r="F111" s="3413">
        <v>11.040000000000123</v>
      </c>
      <c r="G111" s="3413">
        <v>-225.22999999999996</v>
      </c>
      <c r="H111" s="3413">
        <v>455.72000000000014</v>
      </c>
      <c r="I111" s="3413">
        <v>478.22999999999985</v>
      </c>
      <c r="J111" s="3413">
        <v>0</v>
      </c>
      <c r="K111" s="3413">
        <v>0</v>
      </c>
      <c r="L111" s="3413">
        <v>0</v>
      </c>
      <c r="M111" s="3413">
        <v>0</v>
      </c>
      <c r="N111" s="3413">
        <v>0</v>
      </c>
      <c r="O111" s="3413">
        <v>0</v>
      </c>
      <c r="P111" s="3413">
        <v>0</v>
      </c>
      <c r="Q111" s="3413">
        <v>931.35000000000014</v>
      </c>
      <c r="R111" s="3414"/>
      <c r="S111" s="3294"/>
      <c r="T111" s="3294"/>
    </row>
    <row r="112" spans="1:20">
      <c r="A112" s="3408">
        <v>26</v>
      </c>
      <c r="B112" s="3416" t="s">
        <v>3204</v>
      </c>
      <c r="C112" s="3413">
        <v>2219.4600000000028</v>
      </c>
      <c r="D112" s="3413">
        <v>2184.7000000000007</v>
      </c>
      <c r="E112" s="3413">
        <v>279.2299999999999</v>
      </c>
      <c r="F112" s="3413">
        <v>78.680000000000121</v>
      </c>
      <c r="G112" s="3413">
        <v>-157.58999999999997</v>
      </c>
      <c r="H112" s="3413">
        <v>523.36000000000013</v>
      </c>
      <c r="I112" s="3413">
        <v>545.92999999999984</v>
      </c>
      <c r="J112" s="3413">
        <v>0</v>
      </c>
      <c r="K112" s="3413">
        <v>0</v>
      </c>
      <c r="L112" s="3413">
        <v>0</v>
      </c>
      <c r="M112" s="3413">
        <v>0</v>
      </c>
      <c r="N112" s="3413">
        <v>0</v>
      </c>
      <c r="O112" s="3413">
        <v>0</v>
      </c>
      <c r="P112" s="3413">
        <v>0</v>
      </c>
      <c r="Q112" s="3413">
        <v>1269.6100000000001</v>
      </c>
      <c r="R112" s="3414"/>
      <c r="S112" s="3294"/>
      <c r="T112" s="3294"/>
    </row>
    <row r="113" spans="1:20">
      <c r="A113" s="3408">
        <v>27</v>
      </c>
      <c r="B113" s="3413" t="s">
        <v>3205</v>
      </c>
      <c r="C113" s="3413">
        <v>2219.4600000000028</v>
      </c>
      <c r="D113" s="3413">
        <v>2184.7000000000007</v>
      </c>
      <c r="E113" s="3413">
        <v>279.2299999999999</v>
      </c>
      <c r="F113" s="3413">
        <v>78.680000000000121</v>
      </c>
      <c r="G113" s="3413">
        <v>-157.58999999999997</v>
      </c>
      <c r="H113" s="3413">
        <v>523.36000000000013</v>
      </c>
      <c r="I113" s="3413">
        <v>545.92999999999984</v>
      </c>
      <c r="J113" s="3413">
        <v>0</v>
      </c>
      <c r="K113" s="3413">
        <v>0</v>
      </c>
      <c r="L113" s="3413">
        <v>0</v>
      </c>
      <c r="M113" s="3413">
        <v>0</v>
      </c>
      <c r="N113" s="3413">
        <v>0</v>
      </c>
      <c r="O113" s="3413">
        <v>0</v>
      </c>
      <c r="P113" s="3413">
        <v>0</v>
      </c>
      <c r="Q113" s="3413">
        <v>1269.6100000000001</v>
      </c>
      <c r="R113" s="3414"/>
      <c r="S113" s="3294"/>
      <c r="T113" s="3294"/>
    </row>
    <row r="114" spans="1:20" s="3420" customFormat="1">
      <c r="A114" s="3417">
        <v>28</v>
      </c>
      <c r="B114" s="3418" t="s">
        <v>3206</v>
      </c>
      <c r="C114" s="3419">
        <v>0.8969270870907633</v>
      </c>
      <c r="D114" s="3419">
        <v>0.8914976595364601</v>
      </c>
      <c r="E114" s="3419">
        <v>0.79204709628595871</v>
      </c>
      <c r="F114" s="3419">
        <v>0.98858881309119595</v>
      </c>
      <c r="G114" s="3419">
        <v>1.1850568009134146</v>
      </c>
      <c r="H114" s="3419">
        <v>0.58670850488817938</v>
      </c>
      <c r="I114" s="3419">
        <v>0.60178789449917225</v>
      </c>
      <c r="J114" s="3419" t="e">
        <v>#DIV/0!</v>
      </c>
      <c r="K114" s="3419" t="e">
        <v>#DIV/0!</v>
      </c>
      <c r="L114" s="3419" t="e">
        <v>#DIV/0!</v>
      </c>
      <c r="M114" s="3419" t="e">
        <v>#DIV/0!</v>
      </c>
      <c r="N114" s="3419" t="e">
        <v>#DIV/0!</v>
      </c>
      <c r="O114" s="3419" t="e">
        <v>#DIV/0!</v>
      </c>
      <c r="P114" s="3419" t="e">
        <v>#DIV/0!</v>
      </c>
      <c r="Q114" s="3419"/>
      <c r="R114" s="3419"/>
    </row>
    <row r="115" spans="1:20" s="3420" customFormat="1">
      <c r="A115" s="3417">
        <v>29</v>
      </c>
      <c r="B115" s="3421" t="s">
        <v>3207</v>
      </c>
      <c r="C115" s="3419">
        <v>0.62133338580072173</v>
      </c>
      <c r="D115" s="3419">
        <v>0.65444450943536414</v>
      </c>
      <c r="E115" s="3419">
        <v>0.77771771712744109</v>
      </c>
      <c r="F115" s="3419">
        <v>0.6655141264056319</v>
      </c>
      <c r="G115" s="3419">
        <v>0.44804954781051576</v>
      </c>
      <c r="H115" s="3419">
        <v>0.81428545517203854</v>
      </c>
      <c r="I115" s="3419">
        <v>0.80756301115552509</v>
      </c>
      <c r="J115" s="3419" t="e">
        <v>#DIV/0!</v>
      </c>
      <c r="K115" s="3419" t="e">
        <v>#DIV/0!</v>
      </c>
      <c r="L115" s="3419" t="e">
        <v>#DIV/0!</v>
      </c>
      <c r="M115" s="3419" t="e">
        <v>#DIV/0!</v>
      </c>
      <c r="N115" s="3419" t="e">
        <v>#DIV/0!</v>
      </c>
      <c r="O115" s="3419" t="e">
        <v>#DIV/0!</v>
      </c>
      <c r="P115" s="3419" t="e">
        <v>#DIV/0!</v>
      </c>
      <c r="Q115" s="3419"/>
      <c r="R115" s="3419"/>
    </row>
    <row r="116" spans="1:20">
      <c r="A116" s="3408">
        <v>30</v>
      </c>
      <c r="B116" s="3413" t="s">
        <v>3208</v>
      </c>
      <c r="C116" s="3413" t="e">
        <v>#VALUE!</v>
      </c>
      <c r="D116" s="3413" t="e">
        <v>#DIV/0!</v>
      </c>
      <c r="E116" s="3413" t="e">
        <v>#VALUE!</v>
      </c>
      <c r="F116" s="3413" t="e">
        <v>#DIV/0!</v>
      </c>
      <c r="G116" s="3413" t="e">
        <v>#DIV/0!</v>
      </c>
      <c r="H116" s="3413" t="e">
        <v>#DIV/0!</v>
      </c>
      <c r="I116" s="3413" t="e">
        <v>#DIV/0!</v>
      </c>
      <c r="J116" s="3413" t="e">
        <v>#DIV/0!</v>
      </c>
      <c r="K116" s="3413" t="e">
        <v>#DIV/0!</v>
      </c>
      <c r="L116" s="3413" t="e">
        <v>#DIV/0!</v>
      </c>
      <c r="M116" s="3413" t="e">
        <v>#DIV/0!</v>
      </c>
      <c r="N116" s="3413" t="e">
        <v>#DIV/0!</v>
      </c>
      <c r="O116" s="3413" t="e">
        <v>#DIV/0!</v>
      </c>
      <c r="P116" s="3413" t="e">
        <v>#DIV/0!</v>
      </c>
      <c r="Q116" s="3413"/>
      <c r="R116" s="3422"/>
    </row>
    <row r="117" spans="1:20">
      <c r="A117" s="3423">
        <v>31</v>
      </c>
      <c r="B117" s="3424" t="s">
        <v>3209</v>
      </c>
      <c r="C117" s="3424" t="e">
        <v>#VALUE!</v>
      </c>
      <c r="D117" s="3424" t="e">
        <v>#DIV/0!</v>
      </c>
      <c r="E117" s="3424" t="e">
        <v>#VALUE!</v>
      </c>
      <c r="F117" s="3424" t="e">
        <v>#DIV/0!</v>
      </c>
      <c r="G117" s="3424" t="e">
        <v>#DIV/0!</v>
      </c>
      <c r="H117" s="3424" t="e">
        <v>#DIV/0!</v>
      </c>
      <c r="I117" s="3424" t="e">
        <v>#DIV/0!</v>
      </c>
      <c r="J117" s="3424" t="e">
        <v>#DIV/0!</v>
      </c>
      <c r="K117" s="3424" t="e">
        <v>#DIV/0!</v>
      </c>
      <c r="L117" s="3424" t="e">
        <v>#DIV/0!</v>
      </c>
      <c r="M117" s="3424" t="e">
        <v>#DIV/0!</v>
      </c>
      <c r="N117" s="3424" t="e">
        <v>#DIV/0!</v>
      </c>
      <c r="O117" s="3424" t="e">
        <v>#DIV/0!</v>
      </c>
      <c r="P117" s="3424" t="e">
        <v>#DIV/0!</v>
      </c>
      <c r="Q117" s="3424"/>
      <c r="R117" s="3424"/>
    </row>
    <row r="119" spans="1:20">
      <c r="A119" s="3425"/>
      <c r="B119" s="3294"/>
      <c r="C119" s="3294"/>
      <c r="D119" s="3426"/>
      <c r="E119" s="3426"/>
      <c r="F119" s="3294"/>
      <c r="G119" s="3294"/>
      <c r="H119" s="3294"/>
      <c r="I119" s="3294"/>
      <c r="J119" s="3294"/>
      <c r="K119" s="3294"/>
      <c r="L119" s="3294"/>
      <c r="M119" s="3294"/>
      <c r="N119" s="3294"/>
      <c r="O119" s="3294"/>
      <c r="P119" s="3294"/>
      <c r="Q119" s="3294"/>
      <c r="R119" s="3294"/>
    </row>
    <row r="120" spans="1:20">
      <c r="A120" s="3425"/>
      <c r="B120" s="3294"/>
      <c r="C120" s="3294"/>
      <c r="D120" s="3294"/>
      <c r="E120" s="3294"/>
      <c r="F120" s="3294"/>
      <c r="G120" s="3294"/>
      <c r="H120" s="3294"/>
      <c r="I120" s="3294"/>
      <c r="J120" s="3294"/>
      <c r="K120" s="3294"/>
      <c r="L120" s="3294"/>
      <c r="M120" s="3294"/>
      <c r="N120" s="3294"/>
      <c r="O120" s="3294"/>
      <c r="P120" s="3294"/>
      <c r="Q120" s="3294"/>
      <c r="R120" s="3294"/>
    </row>
    <row r="121" spans="1:20">
      <c r="A121" s="3425"/>
      <c r="B121" s="3294"/>
      <c r="C121" s="3294"/>
      <c r="D121" s="3294"/>
      <c r="E121" s="3294"/>
      <c r="F121" s="3294"/>
      <c r="G121" s="3294"/>
      <c r="H121" s="3294"/>
      <c r="I121" s="3294"/>
      <c r="J121" s="3294"/>
      <c r="K121" s="3294"/>
      <c r="L121" s="3294"/>
      <c r="M121" s="3294"/>
      <c r="N121" s="3294"/>
      <c r="O121" s="3294"/>
      <c r="P121" s="3294"/>
      <c r="Q121" s="3294"/>
      <c r="R121" s="3294"/>
    </row>
    <row r="122" spans="1:20">
      <c r="A122" s="3425"/>
      <c r="B122" s="3294"/>
      <c r="C122" s="3294"/>
      <c r="D122" s="3294"/>
      <c r="E122" s="3294"/>
      <c r="F122" s="3294"/>
      <c r="G122" s="3294"/>
      <c r="H122" s="3294"/>
      <c r="I122" s="3294"/>
      <c r="J122" s="3294"/>
      <c r="K122" s="3294"/>
      <c r="L122" s="3294"/>
      <c r="M122" s="3294"/>
      <c r="N122" s="3294"/>
      <c r="O122" s="3294"/>
      <c r="P122" s="3294"/>
      <c r="Q122" s="3294"/>
      <c r="R122" s="3294"/>
    </row>
    <row r="123" spans="1:20">
      <c r="A123" s="3425"/>
      <c r="B123" s="3294"/>
      <c r="C123" s="3294"/>
      <c r="D123" s="3294"/>
      <c r="E123" s="3294"/>
      <c r="F123" s="3294"/>
      <c r="G123" s="3294"/>
      <c r="H123" s="3294"/>
      <c r="I123" s="3294"/>
      <c r="J123" s="3294"/>
      <c r="K123" s="3294"/>
      <c r="L123" s="3294"/>
      <c r="M123" s="3294"/>
      <c r="N123" s="3294"/>
      <c r="O123" s="3294"/>
      <c r="P123" s="3294"/>
      <c r="Q123" s="3294"/>
      <c r="R123" s="3294"/>
    </row>
    <row r="124" spans="1:20">
      <c r="A124" s="3425"/>
      <c r="B124" s="3294"/>
      <c r="C124" s="3294"/>
      <c r="D124" s="3294"/>
      <c r="E124" s="3294"/>
      <c r="F124" s="3294"/>
      <c r="G124" s="3294"/>
      <c r="H124" s="3294"/>
      <c r="I124" s="3294"/>
      <c r="J124" s="3294"/>
      <c r="K124" s="3294"/>
      <c r="L124" s="3294"/>
      <c r="M124" s="3294"/>
      <c r="N124" s="3294"/>
      <c r="O124" s="3294"/>
      <c r="P124" s="3294"/>
      <c r="Q124" s="3294"/>
      <c r="R124" s="3294"/>
    </row>
    <row r="125" spans="1:20">
      <c r="A125" s="3425"/>
      <c r="B125" s="3294"/>
      <c r="C125" s="3294"/>
      <c r="D125" s="3294"/>
      <c r="E125" s="3294"/>
      <c r="F125" s="3294"/>
      <c r="G125" s="3294"/>
      <c r="H125" s="3294"/>
      <c r="I125" s="3294"/>
      <c r="J125" s="3294"/>
      <c r="K125" s="3294"/>
      <c r="L125" s="3294"/>
      <c r="M125" s="3294"/>
      <c r="N125" s="3294"/>
      <c r="O125" s="3294"/>
      <c r="P125" s="3294"/>
      <c r="Q125" s="3294"/>
      <c r="R125" s="3294"/>
    </row>
    <row r="126" spans="1:20">
      <c r="A126" s="3425"/>
      <c r="B126" s="3294"/>
      <c r="C126" s="3294"/>
      <c r="D126" s="3294"/>
      <c r="E126" s="3294"/>
      <c r="F126" s="3294"/>
      <c r="G126" s="3294"/>
      <c r="H126" s="3294"/>
      <c r="I126" s="3294"/>
      <c r="J126" s="3294"/>
      <c r="K126" s="3294"/>
      <c r="L126" s="3294"/>
      <c r="M126" s="3294"/>
      <c r="N126" s="3294"/>
      <c r="O126" s="3294"/>
      <c r="P126" s="3294"/>
      <c r="Q126" s="3294"/>
      <c r="R126" s="3294"/>
    </row>
    <row r="127" spans="1:20">
      <c r="A127" s="3425"/>
      <c r="B127" s="3294"/>
      <c r="C127" s="3294"/>
      <c r="D127" s="3294"/>
      <c r="E127" s="3294"/>
      <c r="F127" s="3294"/>
      <c r="G127" s="3294"/>
      <c r="H127" s="3294"/>
      <c r="I127" s="3294"/>
      <c r="J127" s="3294"/>
      <c r="K127" s="3294"/>
      <c r="L127" s="3294"/>
      <c r="M127" s="3294"/>
      <c r="N127" s="3294"/>
      <c r="O127" s="3294"/>
      <c r="P127" s="3294"/>
      <c r="Q127" s="3294"/>
      <c r="R127" s="3294"/>
    </row>
    <row r="128" spans="1:20">
      <c r="A128" s="3425"/>
      <c r="B128" s="3294"/>
      <c r="C128" s="3294"/>
      <c r="D128" s="3294"/>
      <c r="E128" s="3294"/>
      <c r="F128" s="3294"/>
      <c r="G128" s="3294"/>
      <c r="H128" s="3294"/>
      <c r="I128" s="3294"/>
      <c r="J128" s="3294"/>
      <c r="K128" s="3294"/>
      <c r="L128" s="3294"/>
      <c r="M128" s="3294"/>
      <c r="N128" s="3294"/>
      <c r="O128" s="3294"/>
      <c r="P128" s="3294"/>
      <c r="Q128" s="3294"/>
      <c r="R128" s="3294"/>
    </row>
    <row r="129" spans="1:14">
      <c r="A129" s="3425"/>
      <c r="B129" s="3294"/>
      <c r="C129" s="3294"/>
      <c r="D129" s="3294"/>
      <c r="E129" s="3294"/>
      <c r="F129" s="3294"/>
      <c r="G129" s="3294"/>
      <c r="H129" s="3294"/>
      <c r="I129" s="3294"/>
      <c r="J129" s="3294"/>
      <c r="K129" s="3294"/>
      <c r="L129" s="3294"/>
      <c r="M129" s="3294"/>
      <c r="N129" s="3294"/>
    </row>
    <row r="130" spans="1:14">
      <c r="A130" s="3425"/>
      <c r="B130" s="3294"/>
      <c r="C130" s="3294"/>
      <c r="D130" s="3294"/>
      <c r="E130" s="3294"/>
      <c r="F130" s="3294"/>
      <c r="G130" s="3294"/>
      <c r="H130" s="3294"/>
      <c r="I130" s="3294"/>
      <c r="J130" s="3294"/>
      <c r="K130" s="3294"/>
      <c r="L130" s="3294"/>
      <c r="M130" s="3294"/>
      <c r="N130" s="3294"/>
    </row>
    <row r="131" spans="1:14">
      <c r="A131" s="3425"/>
      <c r="B131" s="3294"/>
      <c r="C131" s="3294"/>
      <c r="D131" s="3294"/>
      <c r="E131" s="3294"/>
      <c r="F131" s="3294"/>
      <c r="G131" s="3294"/>
      <c r="H131" s="3294"/>
      <c r="I131" s="3294"/>
      <c r="J131" s="3294"/>
      <c r="K131" s="3294"/>
      <c r="L131" s="3294"/>
      <c r="M131" s="3294"/>
      <c r="N131" s="3294"/>
    </row>
  </sheetData>
  <mergeCells count="35">
    <mergeCell ref="A98:A106"/>
    <mergeCell ref="A74:A79"/>
    <mergeCell ref="A81:A82"/>
    <mergeCell ref="A83:A84"/>
    <mergeCell ref="A86:A88"/>
    <mergeCell ref="A90:A91"/>
    <mergeCell ref="A93:A95"/>
    <mergeCell ref="A26:A30"/>
    <mergeCell ref="A31:A39"/>
    <mergeCell ref="A40:A44"/>
    <mergeCell ref="A45:A55"/>
    <mergeCell ref="A56:A65"/>
    <mergeCell ref="A66:A73"/>
    <mergeCell ref="C18:D18"/>
    <mergeCell ref="B19:G19"/>
    <mergeCell ref="C20:D20"/>
    <mergeCell ref="E20:G20"/>
    <mergeCell ref="C21:D21"/>
    <mergeCell ref="E21:G21"/>
    <mergeCell ref="E13:G13"/>
    <mergeCell ref="E14:G14"/>
    <mergeCell ref="C15:D15"/>
    <mergeCell ref="E15:G15"/>
    <mergeCell ref="C16:D16"/>
    <mergeCell ref="C17:D17"/>
    <mergeCell ref="A1:E2"/>
    <mergeCell ref="B5:G5"/>
    <mergeCell ref="A6:A14"/>
    <mergeCell ref="E6:G6"/>
    <mergeCell ref="E7:G7"/>
    <mergeCell ref="E8:G8"/>
    <mergeCell ref="E9:G9"/>
    <mergeCell ref="E10:G10"/>
    <mergeCell ref="E11:G11"/>
    <mergeCell ref="E12:G12"/>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hidden="1" customWidth="1"/>
    <col min="11" max="11" width="11" style="2159" customWidth="1"/>
    <col min="12" max="12" width="9.44140625" style="2159" hidden="1" customWidth="1"/>
    <col min="13" max="13" width="9.44140625" style="2159" customWidth="1"/>
    <col min="14" max="14" width="9.44140625" style="2159" hidden="1" customWidth="1"/>
    <col min="15" max="15" width="9.88671875" style="2159" customWidth="1"/>
    <col min="16" max="16" width="9.77734375" style="2159" hidden="1"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hidden="1" customWidth="1"/>
    <col min="31" max="31" width="9.77734375" style="2159" hidden="1" customWidth="1"/>
    <col min="32" max="37" width="9.44140625" style="2159" hidden="1" customWidth="1"/>
    <col min="38"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18463.54</v>
      </c>
      <c r="B3" s="14">
        <f>IF(C3="否",G5-AT5,G5)</f>
        <v>94649.49000000002</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1875</v>
      </c>
      <c r="B5" s="1803"/>
      <c r="C5" s="1803"/>
      <c r="D5" s="1806"/>
      <c r="E5" s="16" t="s">
        <v>1</v>
      </c>
      <c r="F5" s="16">
        <f>SUM(F13:F587)</f>
        <v>0</v>
      </c>
      <c r="G5" s="16">
        <f>SUM(G13:G587)</f>
        <v>94649.49000000002</v>
      </c>
      <c r="H5" s="16">
        <f t="shared" ref="H5:AT5" si="0">SUM(H13:H656)</f>
        <v>65354.690000000017</v>
      </c>
      <c r="I5" s="16">
        <f t="shared" si="0"/>
        <v>17824.11</v>
      </c>
      <c r="J5" s="16">
        <f t="shared" si="0"/>
        <v>0</v>
      </c>
      <c r="K5" s="16">
        <f t="shared" si="0"/>
        <v>7000.5600000000195</v>
      </c>
      <c r="L5" s="16">
        <f t="shared" si="0"/>
        <v>0</v>
      </c>
      <c r="M5" s="16">
        <f t="shared" si="0"/>
        <v>14854.04</v>
      </c>
      <c r="N5" s="16">
        <f t="shared" si="0"/>
        <v>0</v>
      </c>
      <c r="O5" s="16">
        <f t="shared" si="0"/>
        <v>25675.98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29294.799999999996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1388.499999999997</v>
      </c>
      <c r="AM5" s="16">
        <f t="shared" si="0"/>
        <v>0</v>
      </c>
      <c r="AN5" s="16">
        <f t="shared" si="0"/>
        <v>27906.3</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94649.49000000002</v>
      </c>
      <c r="BA5" s="18">
        <f t="shared" si="1"/>
        <v>65354.690000000017</v>
      </c>
      <c r="BB5" s="18">
        <f t="shared" si="1"/>
        <v>17824.11</v>
      </c>
      <c r="BC5" s="18">
        <f t="shared" si="1"/>
        <v>7000.5600000000195</v>
      </c>
      <c r="BD5" s="18">
        <f t="shared" si="1"/>
        <v>14854.04</v>
      </c>
      <c r="BE5" s="18">
        <f t="shared" si="1"/>
        <v>25675.98</v>
      </c>
      <c r="BF5" s="18">
        <f t="shared" si="1"/>
        <v>0</v>
      </c>
      <c r="BG5" s="18">
        <f t="shared" si="1"/>
        <v>0</v>
      </c>
      <c r="BH5" s="18">
        <f t="shared" si="1"/>
        <v>0</v>
      </c>
      <c r="BI5" s="18">
        <f t="shared" si="1"/>
        <v>0</v>
      </c>
      <c r="BJ5" s="18">
        <f t="shared" si="1"/>
        <v>0</v>
      </c>
      <c r="BK5" s="18">
        <f t="shared" si="1"/>
        <v>0</v>
      </c>
      <c r="BL5" s="18">
        <f t="shared" si="1"/>
        <v>29294.799999999996</v>
      </c>
      <c r="BM5" s="18">
        <f t="shared" si="1"/>
        <v>0</v>
      </c>
      <c r="BN5" s="18">
        <f t="shared" si="1"/>
        <v>0</v>
      </c>
      <c r="BO5" s="18">
        <f t="shared" si="1"/>
        <v>0</v>
      </c>
      <c r="BP5" s="18">
        <f t="shared" si="1"/>
        <v>0</v>
      </c>
      <c r="BQ5" s="18">
        <f t="shared" si="1"/>
        <v>1388.499999999997</v>
      </c>
      <c r="BR5" s="18">
        <f t="shared" si="1"/>
        <v>27906.3</v>
      </c>
      <c r="BS5" s="18">
        <f t="shared" si="1"/>
        <v>0</v>
      </c>
      <c r="BT5" s="19">
        <f t="shared" si="1"/>
        <v>0</v>
      </c>
    </row>
    <row r="6" spans="1:72" s="2177" customFormat="1" ht="13.2">
      <c r="A6" s="15" t="s">
        <v>1876</v>
      </c>
      <c r="B6" s="2174"/>
      <c r="C6" s="2174"/>
      <c r="D6" s="2175"/>
      <c r="E6" s="16">
        <f>H6+AC6+AT6</f>
        <v>18463.55</v>
      </c>
      <c r="F6" s="16" t="s">
        <v>1</v>
      </c>
      <c r="G6" s="16" t="s">
        <v>2</v>
      </c>
      <c r="H6" s="20">
        <f>SUMIF(I$12:AB$12,"总值",I6:AB6)</f>
        <v>12748.93</v>
      </c>
      <c r="I6" s="16">
        <f t="shared" ref="I6:AB6" si="2">ROUND($A$3*I5/$B$3,2)</f>
        <v>3477</v>
      </c>
      <c r="J6" s="16">
        <f t="shared" si="2"/>
        <v>0</v>
      </c>
      <c r="K6" s="16">
        <f t="shared" si="2"/>
        <v>1365.62</v>
      </c>
      <c r="L6" s="16">
        <f t="shared" si="2"/>
        <v>0</v>
      </c>
      <c r="M6" s="16">
        <f t="shared" si="2"/>
        <v>2897.62</v>
      </c>
      <c r="N6" s="16">
        <f t="shared" si="2"/>
        <v>0</v>
      </c>
      <c r="O6" s="16">
        <f t="shared" si="2"/>
        <v>5008.6899999999996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5714.62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270.86</v>
      </c>
      <c r="AM6" s="16">
        <f t="shared" si="3"/>
        <v>0</v>
      </c>
      <c r="AN6" s="16">
        <f t="shared" si="3"/>
        <v>5443.76</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18463.54</v>
      </c>
      <c r="AZ6" s="16" t="s">
        <v>3</v>
      </c>
      <c r="BA6" s="16">
        <f>ROUND($AY$6*BA5/$AZ$5,2)</f>
        <v>12748.92</v>
      </c>
      <c r="BB6" s="16">
        <f>ROUND($AY$6*BB5/$AZ$5,2)</f>
        <v>3477</v>
      </c>
      <c r="BC6" s="16">
        <f t="shared" ref="BC6:BH6" si="4">ROUND($AY$6*BC5/$AZ$5,2)</f>
        <v>1365.62</v>
      </c>
      <c r="BD6" s="16">
        <f t="shared" si="4"/>
        <v>2897.62</v>
      </c>
      <c r="BE6" s="16">
        <f t="shared" si="4"/>
        <v>5008.6899999999996</v>
      </c>
      <c r="BF6" s="16">
        <f t="shared" si="4"/>
        <v>0</v>
      </c>
      <c r="BG6" s="16">
        <f t="shared" si="4"/>
        <v>0</v>
      </c>
      <c r="BH6" s="16">
        <f t="shared" si="4"/>
        <v>0</v>
      </c>
      <c r="BI6" s="16">
        <f t="shared" ref="BI6:BT6" si="5">ROUND($AY$6*BI5/$AZ$5,2)</f>
        <v>0</v>
      </c>
      <c r="BJ6" s="16">
        <f t="shared" si="5"/>
        <v>0</v>
      </c>
      <c r="BK6" s="16">
        <f t="shared" si="5"/>
        <v>0</v>
      </c>
      <c r="BL6" s="16">
        <f t="shared" si="5"/>
        <v>5714.62</v>
      </c>
      <c r="BM6" s="16">
        <f t="shared" si="5"/>
        <v>0</v>
      </c>
      <c r="BN6" s="16">
        <f t="shared" si="5"/>
        <v>0</v>
      </c>
      <c r="BO6" s="16">
        <f t="shared" si="5"/>
        <v>0</v>
      </c>
      <c r="BP6" s="16">
        <f t="shared" si="5"/>
        <v>0</v>
      </c>
      <c r="BQ6" s="16">
        <f t="shared" si="5"/>
        <v>270.86</v>
      </c>
      <c r="BR6" s="16">
        <f t="shared" si="5"/>
        <v>5443.76</v>
      </c>
      <c r="BS6" s="16">
        <f t="shared" si="5"/>
        <v>0</v>
      </c>
      <c r="BT6" s="22">
        <f t="shared" si="5"/>
        <v>0</v>
      </c>
    </row>
    <row r="7" spans="1:72" s="2167" customFormat="1" ht="25.2">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2">
      <c r="A9" s="2182"/>
      <c r="B9" s="2182"/>
      <c r="C9" s="2182"/>
      <c r="D9" s="2182"/>
      <c r="E9" s="2182"/>
      <c r="F9" s="2182"/>
      <c r="G9" s="1292"/>
      <c r="H9" s="2190" t="s">
        <v>1895</v>
      </c>
      <c r="I9" s="2191" t="s">
        <v>3062</v>
      </c>
      <c r="J9" s="981"/>
      <c r="K9" s="2191" t="s">
        <v>3062</v>
      </c>
      <c r="L9" s="981"/>
      <c r="M9" s="2191" t="s">
        <v>3062</v>
      </c>
      <c r="N9" s="981"/>
      <c r="O9" s="2191" t="s">
        <v>3062</v>
      </c>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3.2">
      <c r="A10" s="2182"/>
      <c r="B10" s="2182"/>
      <c r="C10" s="2182"/>
      <c r="D10" s="2182"/>
      <c r="E10" s="2182"/>
      <c r="F10" s="2182"/>
      <c r="G10" s="1292"/>
      <c r="H10" s="28"/>
      <c r="I10" s="2191" t="s">
        <v>27</v>
      </c>
      <c r="J10" s="981"/>
      <c r="K10" s="2197" t="s">
        <v>1373</v>
      </c>
      <c r="L10" s="981"/>
      <c r="M10" s="2197" t="s">
        <v>1373</v>
      </c>
      <c r="N10" s="981"/>
      <c r="O10" s="2197" t="s">
        <v>1373</v>
      </c>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t="str">
        <f>K9</f>
        <v>地上</v>
      </c>
      <c r="BD10" s="29" t="str">
        <f>M9</f>
        <v>地上</v>
      </c>
      <c r="BE10" s="29" t="str">
        <f>O9</f>
        <v>地上</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2">
      <c r="A11" s="2182"/>
      <c r="B11" s="2182"/>
      <c r="C11" s="2182"/>
      <c r="D11" s="2182"/>
      <c r="E11" s="2182"/>
      <c r="F11" s="2182"/>
      <c r="G11" s="1292"/>
      <c r="H11" s="2199"/>
      <c r="I11" s="2202" t="s">
        <v>3063</v>
      </c>
      <c r="J11" s="2203"/>
      <c r="K11" s="2202" t="s">
        <v>3211</v>
      </c>
      <c r="L11" s="2203"/>
      <c r="M11" s="2202" t="s">
        <v>3245</v>
      </c>
      <c r="N11" s="2203"/>
      <c r="O11" s="2202" t="s">
        <v>3214</v>
      </c>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商业</v>
      </c>
      <c r="BD11" s="2187" t="str">
        <f>M10</f>
        <v>商业</v>
      </c>
      <c r="BE11" s="2187" t="str">
        <f>O10</f>
        <v>商业</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办公楼</v>
      </c>
      <c r="BC12" s="2212" t="str">
        <f>K11</f>
        <v>剧院</v>
      </c>
      <c r="BD12" s="2212" t="str">
        <f>M11</f>
        <v>底商</v>
      </c>
      <c r="BE12" s="2187" t="str">
        <f>O11</f>
        <v>酒店</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2">
      <c r="A13" s="1272"/>
      <c r="B13" s="1272"/>
      <c r="C13" s="1272"/>
      <c r="D13" s="2213" t="s">
        <v>3061</v>
      </c>
      <c r="E13" s="16">
        <f>IF($C$3="是",ROUND($A$3*G13/$B$3,2),ROUND($A$3*(G13-AT13)/$B$3,2))</f>
        <v>18463.54</v>
      </c>
      <c r="F13" s="32"/>
      <c r="G13" s="33">
        <f>H13+AC13+AT13</f>
        <v>94649.49000000002</v>
      </c>
      <c r="H13" s="20">
        <f>SUMIF(I$12:AB$12,"总值",I13:AB13)</f>
        <v>65354.690000000017</v>
      </c>
      <c r="I13" s="2214">
        <f>面积明细表!J9+面积明细表!J10</f>
        <v>17824.11</v>
      </c>
      <c r="J13" s="2214"/>
      <c r="K13" s="2214">
        <f>面积明细表!J11</f>
        <v>7000.5600000000195</v>
      </c>
      <c r="L13" s="2214"/>
      <c r="M13" s="2214">
        <f>面积明细表!J12</f>
        <v>14854.04</v>
      </c>
      <c r="N13" s="2214"/>
      <c r="O13" s="2214">
        <f>面积明细表!J13</f>
        <v>25675.98</v>
      </c>
      <c r="P13" s="2214"/>
      <c r="Q13" s="2214"/>
      <c r="R13" s="2214"/>
      <c r="S13" s="2214"/>
      <c r="T13" s="2214"/>
      <c r="U13" s="2214"/>
      <c r="V13" s="2214"/>
      <c r="W13" s="2214"/>
      <c r="X13" s="2214"/>
      <c r="Y13" s="2214"/>
      <c r="Z13" s="2214"/>
      <c r="AA13" s="2214"/>
      <c r="AB13" s="2214"/>
      <c r="AC13" s="16">
        <f>SUMIF(AD$12:AS$12,"总值",AD13:AS13)</f>
        <v>29294.799999999996</v>
      </c>
      <c r="AD13" s="2215"/>
      <c r="AE13" s="2215"/>
      <c r="AF13" s="2215"/>
      <c r="AG13" s="2215"/>
      <c r="AH13" s="2215"/>
      <c r="AI13" s="2215"/>
      <c r="AJ13" s="2215"/>
      <c r="AK13" s="2215"/>
      <c r="AL13" s="2215">
        <f>面积明细表!J14</f>
        <v>1388.499999999997</v>
      </c>
      <c r="AM13" s="2215"/>
      <c r="AN13" s="2215">
        <f>面积明细表!J15</f>
        <v>27906.3</v>
      </c>
      <c r="AO13" s="2215"/>
      <c r="AP13" s="2215"/>
      <c r="AQ13" s="2215"/>
      <c r="AR13" s="2215"/>
      <c r="AS13" s="2215"/>
      <c r="AT13" s="2216"/>
      <c r="AU13" s="2217"/>
      <c r="AV13" s="11">
        <f t="shared" ref="AV13:AX17" si="6">A13</f>
        <v>0</v>
      </c>
      <c r="AW13" s="11">
        <f t="shared" si="6"/>
        <v>0</v>
      </c>
      <c r="AX13" s="11">
        <f t="shared" si="6"/>
        <v>0</v>
      </c>
      <c r="AY13" s="1806">
        <f>ROUND($AY$6*AZ13/$AZ$5,2)</f>
        <v>18463.54</v>
      </c>
      <c r="AZ13" s="16">
        <f>BA13+BL13</f>
        <v>94649.49000000002</v>
      </c>
      <c r="BA13" s="16">
        <f>SUM(BB13:BK13)</f>
        <v>65354.690000000017</v>
      </c>
      <c r="BB13" s="16">
        <f>IF($D13="是",I13-J13,0)</f>
        <v>17824.11</v>
      </c>
      <c r="BC13" s="16">
        <f>IF($D13="是",K13-L13,0)</f>
        <v>7000.5600000000195</v>
      </c>
      <c r="BD13" s="16">
        <f>IF($D13="是",M13-N13,0)</f>
        <v>14854.04</v>
      </c>
      <c r="BE13" s="16">
        <f>IF($D13="是",O13-P13,0)</f>
        <v>25675.98</v>
      </c>
      <c r="BF13" s="16">
        <f>IF($D13="是",Q13-R13,0)</f>
        <v>0</v>
      </c>
      <c r="BG13" s="16">
        <f>IF($D13="是",S13-T13,0)</f>
        <v>0</v>
      </c>
      <c r="BH13" s="16">
        <f>IF($D13="是",U13-V13,0)</f>
        <v>0</v>
      </c>
      <c r="BI13" s="16">
        <f>IF($D13="是",W13-X13,0)</f>
        <v>0</v>
      </c>
      <c r="BJ13" s="16">
        <f>IF($D13="是",Y13-Z13,0)</f>
        <v>0</v>
      </c>
      <c r="BK13" s="16">
        <f>IF($D13="是",AA13-AB13,0)</f>
        <v>0</v>
      </c>
      <c r="BL13" s="16">
        <f>SUM(BM13:BT13)</f>
        <v>29294.799999999996</v>
      </c>
      <c r="BM13" s="16">
        <f>IF($D13="是",AD13-AE13,0)</f>
        <v>0</v>
      </c>
      <c r="BN13" s="16">
        <f>IF($D13="是",AF13-AG13,0)</f>
        <v>0</v>
      </c>
      <c r="BO13" s="16">
        <f>IF($D13="是",AH13-AI13,0)</f>
        <v>0</v>
      </c>
      <c r="BP13" s="16">
        <f>IF($D13="是",AJ13-AK13,0)</f>
        <v>0</v>
      </c>
      <c r="BQ13" s="16">
        <f>IF($D13="是",AL13-AM13,0)</f>
        <v>1388.499999999997</v>
      </c>
      <c r="BR13" s="16">
        <f>IF($D13="是",AN13-AO13,0)</f>
        <v>27906.3</v>
      </c>
      <c r="BS13" s="16">
        <f>IF($D13="是",AP13-AQ13,0)</f>
        <v>0</v>
      </c>
      <c r="BT13" s="22">
        <f>IF($D13="是",AR13-AS13,0)</f>
        <v>0</v>
      </c>
    </row>
    <row r="14" spans="1:72" s="2167" customFormat="1" ht="13.2">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2"/>
      <c r="B17" s="1272"/>
      <c r="C17" s="2955"/>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46.8">
      <c r="A3" s="3031"/>
      <c r="B3" s="3031"/>
      <c r="C3" s="3031"/>
      <c r="D3" s="3032"/>
      <c r="E3" s="303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1934</v>
      </c>
      <c r="B1" s="1392"/>
      <c r="C1" s="1392"/>
      <c r="D1" s="1392"/>
      <c r="E1" s="1392"/>
      <c r="F1" s="1392"/>
      <c r="G1" s="1392"/>
      <c r="H1" s="1392"/>
      <c r="I1" s="1392"/>
      <c r="J1" s="1392"/>
      <c r="K1" s="1392"/>
      <c r="L1" s="1392"/>
      <c r="M1" s="1392"/>
      <c r="N1" s="1392"/>
      <c r="O1" s="1392"/>
      <c r="P1" s="1392"/>
    </row>
    <row r="2" spans="1:16" ht="14.4">
      <c r="A2" s="3042" t="s">
        <v>1935</v>
      </c>
      <c r="B2" s="3042"/>
      <c r="C2" s="3042"/>
      <c r="D2" s="967" t="s">
        <v>1911</v>
      </c>
      <c r="E2" s="2227" t="s">
        <v>1912</v>
      </c>
      <c r="F2" s="1392"/>
      <c r="G2" s="2228"/>
      <c r="H2" s="2229"/>
      <c r="I2" s="2230" t="s">
        <v>1936</v>
      </c>
      <c r="J2" s="1392"/>
      <c r="K2" s="1392"/>
      <c r="L2" s="1392"/>
      <c r="M2" s="1392"/>
      <c r="N2" s="1427"/>
      <c r="O2" s="1392"/>
      <c r="P2" s="1392"/>
    </row>
    <row r="3" spans="1:16" ht="15" thickBot="1">
      <c r="A3" s="3043" t="s">
        <v>1909</v>
      </c>
      <c r="B3" s="3043"/>
      <c r="C3" s="3043"/>
      <c r="D3" s="46">
        <f>'数据-基础表'!AY6</f>
        <v>18463.54</v>
      </c>
      <c r="E3" s="46">
        <f>'数据-基础表'!AZ5</f>
        <v>94649.49000000002</v>
      </c>
      <c r="F3" s="1392"/>
      <c r="G3" s="1399"/>
      <c r="H3" s="1247" t="s">
        <v>1910</v>
      </c>
      <c r="I3" s="55">
        <f>ROUND('数据-基础表'!B3/'数据-基础表'!A3,2)</f>
        <v>5.13</v>
      </c>
      <c r="J3" s="1392"/>
      <c r="K3" s="1392"/>
      <c r="L3" s="1392"/>
      <c r="M3" s="1392"/>
      <c r="N3" s="1427"/>
      <c r="O3" s="1392"/>
      <c r="P3" s="1392"/>
    </row>
    <row r="4" spans="1:16" ht="14.4">
      <c r="A4" s="3044"/>
      <c r="B4" s="3045"/>
      <c r="C4" s="3046"/>
      <c r="D4" s="2231" t="s">
        <v>1911</v>
      </c>
      <c r="E4" s="2232" t="s">
        <v>1912</v>
      </c>
      <c r="F4" s="1392"/>
      <c r="G4" s="2233" t="s">
        <v>1937</v>
      </c>
      <c r="H4" s="1247" t="s">
        <v>1917</v>
      </c>
      <c r="I4" s="55">
        <f>ROUND(SUMIF('数据-基础表'!I9:AS9,"地上",'数据-基础表'!I5:AS5)/'数据-基础表'!A3,2)</f>
        <v>3.61</v>
      </c>
      <c r="J4" s="1392"/>
      <c r="K4" s="1392"/>
      <c r="L4" s="1392"/>
      <c r="M4" s="1392"/>
      <c r="N4" s="1427"/>
      <c r="O4" s="1392"/>
      <c r="P4" s="1392"/>
    </row>
    <row r="5" spans="1:16" ht="14.4">
      <c r="A5" s="47" t="s">
        <v>1913</v>
      </c>
      <c r="B5" s="3047" t="s">
        <v>1914</v>
      </c>
      <c r="C5" s="3047"/>
      <c r="D5" s="48">
        <f>ROUND($D$3*E5/$E$3,2)</f>
        <v>0</v>
      </c>
      <c r="E5" s="49">
        <f>SUMIF('数据-基础表'!$11:$11,"住宅",'数据-基础表'!$5:$5)</f>
        <v>0</v>
      </c>
      <c r="F5" s="1392"/>
      <c r="G5" s="1399"/>
      <c r="H5" s="1247" t="s">
        <v>1910</v>
      </c>
      <c r="I5" s="55">
        <f>ROUND(E31/D31,2)</f>
        <v>5.13</v>
      </c>
      <c r="J5" s="1392"/>
      <c r="K5" s="1392"/>
      <c r="L5" s="1392"/>
      <c r="M5" s="1392"/>
      <c r="N5" s="1392"/>
      <c r="O5" s="1392"/>
      <c r="P5" s="1392"/>
    </row>
    <row r="6" spans="1:16" ht="15" thickBot="1">
      <c r="A6" s="2234"/>
      <c r="B6" s="3047" t="s">
        <v>1915</v>
      </c>
      <c r="C6" s="3047"/>
      <c r="D6" s="48">
        <f>ROUND($D$3*E6/$E$3,2)</f>
        <v>18463.54</v>
      </c>
      <c r="E6" s="49">
        <f>E3-E5</f>
        <v>94649.49000000002</v>
      </c>
      <c r="F6" s="1392"/>
      <c r="G6" s="2235" t="s">
        <v>1916</v>
      </c>
      <c r="H6" s="1399" t="s">
        <v>1917</v>
      </c>
      <c r="I6" s="939">
        <f>ROUND(F31/D31,2)</f>
        <v>3.61</v>
      </c>
      <c r="J6" s="1392"/>
      <c r="K6" s="1392"/>
      <c r="L6" s="1392"/>
      <c r="M6" s="1392"/>
      <c r="N6" s="1392"/>
      <c r="O6" s="1392"/>
      <c r="P6" s="1392"/>
    </row>
    <row r="7" spans="1:16" ht="14.4">
      <c r="A7" s="3039"/>
      <c r="B7" s="3040"/>
      <c r="C7" s="3041"/>
      <c r="D7" s="2231" t="s">
        <v>1911</v>
      </c>
      <c r="E7" s="2236" t="s">
        <v>1918</v>
      </c>
      <c r="F7" s="1392"/>
      <c r="G7" s="2228" t="s">
        <v>1919</v>
      </c>
      <c r="H7" s="64"/>
      <c r="I7" s="420"/>
      <c r="J7" s="1392"/>
      <c r="K7" s="1392"/>
      <c r="L7" s="1392"/>
      <c r="M7" s="1392"/>
      <c r="N7" s="1392"/>
      <c r="O7" s="1392"/>
      <c r="P7" s="1392"/>
    </row>
    <row r="8" spans="1:16" ht="14.4">
      <c r="A8" s="47" t="s">
        <v>1920</v>
      </c>
      <c r="B8" s="50" t="s">
        <v>1921</v>
      </c>
      <c r="C8" s="48" t="s">
        <v>1922</v>
      </c>
      <c r="D8" s="48">
        <f t="shared" ref="D8:D15" si="0">ROUND($D$3*E8/$E$3,2)</f>
        <v>12748.92</v>
      </c>
      <c r="E8" s="51">
        <f>SUMIF('数据-基础表'!BB10:BK10,"地上",'数据-基础表'!BB5:BK5)</f>
        <v>65354.690000000017</v>
      </c>
      <c r="F8" s="1392"/>
      <c r="G8" s="2237"/>
      <c r="H8" s="2237"/>
      <c r="I8" s="1392"/>
      <c r="J8" s="1392"/>
      <c r="K8" s="1392"/>
      <c r="L8" s="1392"/>
      <c r="M8" s="1392"/>
      <c r="N8" s="1392"/>
      <c r="O8" s="1392"/>
      <c r="P8" s="1392"/>
    </row>
    <row r="9" spans="1:16" ht="14.4">
      <c r="A9" s="2238"/>
      <c r="B9" s="2239"/>
      <c r="C9" s="48" t="s">
        <v>1923</v>
      </c>
      <c r="D9" s="48">
        <f t="shared" si="0"/>
        <v>0</v>
      </c>
      <c r="E9" s="52">
        <v>0</v>
      </c>
      <c r="F9" s="1392"/>
      <c r="G9" s="2237"/>
      <c r="H9" s="2237"/>
      <c r="I9" s="1392"/>
      <c r="J9" s="1392"/>
      <c r="K9" s="1392"/>
      <c r="L9" s="1392"/>
      <c r="M9" s="1392"/>
      <c r="N9" s="1392"/>
      <c r="O9" s="1392"/>
      <c r="P9" s="1392"/>
    </row>
    <row r="10" spans="1:16" ht="14.4">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ht="14.4">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ht="14.4">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1927</v>
      </c>
      <c r="D16" s="50">
        <f>SUM(D8:D15)</f>
        <v>12748.92</v>
      </c>
      <c r="E16" s="53">
        <f>SUM(E8:E15)</f>
        <v>65354.690000000017</v>
      </c>
      <c r="F16" s="1392"/>
      <c r="G16" s="2237"/>
      <c r="H16" s="2240" t="s">
        <v>1939</v>
      </c>
      <c r="I16" s="2241"/>
      <c r="J16" s="1392"/>
      <c r="K16" s="3036" t="s">
        <v>1939</v>
      </c>
      <c r="L16" s="3037"/>
      <c r="M16" s="3037"/>
      <c r="N16" s="3037"/>
      <c r="O16" s="3037"/>
      <c r="P16" s="3038"/>
    </row>
    <row r="17" spans="1:19" ht="14.4">
      <c r="A17" s="2242" t="s">
        <v>1940</v>
      </c>
      <c r="B17" s="2243" t="s">
        <v>1941</v>
      </c>
      <c r="C17" s="2244" t="s">
        <v>1942</v>
      </c>
      <c r="D17" s="2245" t="s">
        <v>1930</v>
      </c>
      <c r="E17" s="2246" t="s">
        <v>1931</v>
      </c>
      <c r="F17" s="2247"/>
      <c r="G17" s="2248"/>
      <c r="H17" s="2249" t="s">
        <v>1943</v>
      </c>
      <c r="I17" s="2250" t="s">
        <v>1928</v>
      </c>
      <c r="J17" s="1392"/>
      <c r="K17" s="3033" t="s">
        <v>1944</v>
      </c>
      <c r="L17" s="3034"/>
      <c r="M17" s="3035"/>
      <c r="N17" s="3033" t="s">
        <v>1945</v>
      </c>
      <c r="O17" s="3034"/>
      <c r="P17" s="3035"/>
      <c r="R17" s="2228" t="s">
        <v>1946</v>
      </c>
      <c r="S17" s="64"/>
    </row>
    <row r="18" spans="1:19" ht="14.4">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ht="14.4">
      <c r="A19" s="2259"/>
      <c r="B19" s="50" t="s">
        <v>1929</v>
      </c>
      <c r="C19" s="2956" t="str">
        <f>面积明细表!I10</f>
        <v>办公</v>
      </c>
      <c r="D19" s="48">
        <f>ROUND($D$3*E19/$E$3,2)</f>
        <v>3477</v>
      </c>
      <c r="E19" s="56">
        <f t="shared" ref="E19:E26" si="1">SUM(F19:G19)</f>
        <v>17824.11</v>
      </c>
      <c r="F19" s="57">
        <f>'数据-基础表'!I13</f>
        <v>17824.11</v>
      </c>
      <c r="G19" s="58"/>
      <c r="H19" s="723">
        <f>ROUND($D$3*I19/$E$3,2)</f>
        <v>1558.54</v>
      </c>
      <c r="I19" s="51">
        <f t="shared" ref="I19:I26" si="2">IF($I$17="自定义",P19,M19)</f>
        <v>7989.54</v>
      </c>
      <c r="J19" s="1392"/>
      <c r="K19" s="1391">
        <f t="shared" ref="K19:K26" si="3">ROUND(E$28*E19/E$27,2)</f>
        <v>7989.54</v>
      </c>
      <c r="L19" s="1247">
        <f t="shared" ref="L19:L26" si="4">ROUND(IF(COUNTIF(C19,"*住宅*")&gt;0,E$29*E19/E$32,0),2)</f>
        <v>0</v>
      </c>
      <c r="M19" s="1403">
        <f>K19+L19</f>
        <v>7989.54</v>
      </c>
      <c r="N19" s="2260"/>
      <c r="O19" s="2261"/>
      <c r="P19" s="1403">
        <f>N19+O19</f>
        <v>0</v>
      </c>
      <c r="R19" s="1247">
        <f t="shared" ref="R19:S26" si="5">D19+H19</f>
        <v>5035.54</v>
      </c>
      <c r="S19" s="1248">
        <f t="shared" si="5"/>
        <v>25813.65</v>
      </c>
    </row>
    <row r="20" spans="1:19" ht="14.4">
      <c r="A20" s="2262"/>
      <c r="B20" s="50" t="s">
        <v>1957</v>
      </c>
      <c r="C20" s="2956" t="str">
        <f>面积明细表!I11</f>
        <v>剧院</v>
      </c>
      <c r="D20" s="48">
        <f t="shared" ref="D20:D26" si="6">ROUND($D$3*E20/$E$3,2)</f>
        <v>1365.62</v>
      </c>
      <c r="E20" s="56">
        <f t="shared" si="1"/>
        <v>7000.5600000000195</v>
      </c>
      <c r="F20" s="57">
        <f>面积明细表!J11</f>
        <v>7000.5600000000195</v>
      </c>
      <c r="G20" s="58"/>
      <c r="H20" s="723">
        <f t="shared" ref="H20:H26" si="7">ROUND($D$3*I20/$E$3,2)</f>
        <v>612.13</v>
      </c>
      <c r="I20" s="51">
        <f t="shared" si="2"/>
        <v>3137.95</v>
      </c>
      <c r="J20" s="1392"/>
      <c r="K20" s="1391">
        <f t="shared" si="3"/>
        <v>3137.95</v>
      </c>
      <c r="L20" s="1247">
        <f t="shared" si="4"/>
        <v>0</v>
      </c>
      <c r="M20" s="1403">
        <f t="shared" ref="M20:M26" si="8">K20+L20</f>
        <v>3137.95</v>
      </c>
      <c r="N20" s="2260"/>
      <c r="O20" s="2261"/>
      <c r="P20" s="1403">
        <f t="shared" ref="P20:P26" si="9">N20+O20</f>
        <v>0</v>
      </c>
      <c r="R20" s="1247">
        <f t="shared" si="5"/>
        <v>1977.75</v>
      </c>
      <c r="S20" s="1248">
        <f t="shared" si="5"/>
        <v>10138.51000000002</v>
      </c>
    </row>
    <row r="21" spans="1:19" ht="14.4">
      <c r="A21" s="2262"/>
      <c r="B21" s="50" t="s">
        <v>1957</v>
      </c>
      <c r="C21" s="3432" t="s">
        <v>3213</v>
      </c>
      <c r="D21" s="48">
        <f t="shared" si="6"/>
        <v>2897.62</v>
      </c>
      <c r="E21" s="56">
        <f t="shared" si="1"/>
        <v>14854.04</v>
      </c>
      <c r="F21" s="57">
        <f>面积明细表!J12</f>
        <v>14854.04</v>
      </c>
      <c r="G21" s="58"/>
      <c r="H21" s="723">
        <f t="shared" si="7"/>
        <v>1298.8399999999999</v>
      </c>
      <c r="I21" s="51">
        <f t="shared" si="2"/>
        <v>6658.22</v>
      </c>
      <c r="J21" s="1392"/>
      <c r="K21" s="1391">
        <f t="shared" si="3"/>
        <v>6658.22</v>
      </c>
      <c r="L21" s="1247">
        <f t="shared" si="4"/>
        <v>0</v>
      </c>
      <c r="M21" s="1403">
        <f t="shared" si="8"/>
        <v>6658.22</v>
      </c>
      <c r="N21" s="2260"/>
      <c r="O21" s="2261"/>
      <c r="P21" s="1403">
        <f t="shared" si="9"/>
        <v>0</v>
      </c>
      <c r="R21" s="1247">
        <f t="shared" si="5"/>
        <v>4196.46</v>
      </c>
      <c r="S21" s="1248">
        <f t="shared" si="5"/>
        <v>21512.260000000002</v>
      </c>
    </row>
    <row r="22" spans="1:19" ht="14.4">
      <c r="A22" s="2262"/>
      <c r="B22" s="50" t="s">
        <v>1957</v>
      </c>
      <c r="C22" s="3432" t="s">
        <v>3215</v>
      </c>
      <c r="D22" s="48">
        <f t="shared" si="6"/>
        <v>5008.6899999999996</v>
      </c>
      <c r="E22" s="56">
        <f t="shared" si="1"/>
        <v>25675.98</v>
      </c>
      <c r="F22" s="57">
        <f>面积明细表!J13</f>
        <v>25675.98</v>
      </c>
      <c r="G22" s="62"/>
      <c r="H22" s="723">
        <f t="shared" si="7"/>
        <v>2245.11</v>
      </c>
      <c r="I22" s="51">
        <f t="shared" si="2"/>
        <v>11509.09</v>
      </c>
      <c r="J22" s="1392"/>
      <c r="K22" s="1391">
        <f t="shared" si="3"/>
        <v>11509.09</v>
      </c>
      <c r="L22" s="1247">
        <f t="shared" si="4"/>
        <v>0</v>
      </c>
      <c r="M22" s="1403">
        <f t="shared" si="8"/>
        <v>11509.09</v>
      </c>
      <c r="N22" s="2260"/>
      <c r="O22" s="2261"/>
      <c r="P22" s="1403">
        <f t="shared" si="9"/>
        <v>0</v>
      </c>
      <c r="R22" s="1247">
        <f t="shared" si="5"/>
        <v>7253.7999999999993</v>
      </c>
      <c r="S22" s="1248">
        <f t="shared" si="5"/>
        <v>37185.07</v>
      </c>
    </row>
    <row r="23" spans="1:19" ht="14.4">
      <c r="A23" s="2262"/>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28.2" thickBot="1">
      <c r="A27" s="2262"/>
      <c r="B27" s="48"/>
      <c r="C27" s="2265" t="s">
        <v>1958</v>
      </c>
      <c r="D27" s="1393">
        <f>SUM(D19:D26)</f>
        <v>12748.93</v>
      </c>
      <c r="E27" s="1394">
        <f>IF(SUM(E19:E26)='数据-基础表'!BA5,SUM(E19:E26),IF(F27="地上面积有误","面积有误","地下面积有误"))</f>
        <v>65354.690000000017</v>
      </c>
      <c r="F27" s="1393">
        <f>IF(SUM(F19:F26)=E8,SUM(F19:F26),"地上面积有误")</f>
        <v>65354.690000000017</v>
      </c>
      <c r="G27" s="1395">
        <f>SUM(G19:G26)</f>
        <v>0</v>
      </c>
      <c r="H27" s="1396">
        <f>SUM(H19:H26)</f>
        <v>5714.6200000000008</v>
      </c>
      <c r="I27" s="1397">
        <f>SUM(I19:I26)</f>
        <v>29294.799999999999</v>
      </c>
      <c r="J27" s="1392"/>
      <c r="K27" s="1400">
        <f>SUM(K19:K26)</f>
        <v>29294.799999999999</v>
      </c>
      <c r="L27" s="1401">
        <f>SUM(L19:L26)</f>
        <v>0</v>
      </c>
      <c r="M27" s="1404">
        <f>SUM(M19:M26)</f>
        <v>29294.799999999999</v>
      </c>
      <c r="N27" s="1400">
        <f t="shared" ref="N27:O27" si="10">SUM(N19:N26)</f>
        <v>0</v>
      </c>
      <c r="O27" s="1401">
        <f t="shared" si="10"/>
        <v>0</v>
      </c>
      <c r="P27" s="1402">
        <f>SUM(P19:P26)</f>
        <v>0</v>
      </c>
      <c r="R27" s="1249" t="str">
        <f>IF(SUM(R19:R26)=$D$3,SUM(R19:R26),SUM(R19:R26)&amp;"误差"&amp;ROUND(SUM(R19:R26)-$D$3,2))</f>
        <v>18463.55误差0.01</v>
      </c>
      <c r="S27" s="1247">
        <f>IF(SUM(S19:S26)=$E$3,SUM(S19:S26),SUM(S19:S26)&amp;"误差"&amp;ROUND(SUM(S19:S26)-E3,2))</f>
        <v>94649.49000000002</v>
      </c>
    </row>
    <row r="28" spans="1:19" ht="14.4">
      <c r="A28" s="2262"/>
      <c r="B28" s="50" t="s">
        <v>1959</v>
      </c>
      <c r="C28" s="1259" t="s">
        <v>1960</v>
      </c>
      <c r="D28" s="48">
        <f>ROUND($D$3*E28/$E$3,2)</f>
        <v>5714.62</v>
      </c>
      <c r="E28" s="56">
        <f>SUM(F28:G28)</f>
        <v>29294.799999999996</v>
      </c>
      <c r="F28" s="64">
        <f>'数据-基础表'!BQ5+'数据-基础表'!BS5</f>
        <v>1388.499999999997</v>
      </c>
      <c r="G28" s="65">
        <f>'数据-基础表'!BR5+'数据-基础表'!BT5</f>
        <v>27906.3</v>
      </c>
      <c r="H28" s="1392"/>
      <c r="I28" s="1392"/>
      <c r="J28" s="1392"/>
      <c r="K28" s="1392"/>
      <c r="L28" s="1392"/>
      <c r="M28" s="1392"/>
      <c r="N28" s="1392"/>
      <c r="O28" s="1392"/>
      <c r="P28" s="1392"/>
    </row>
    <row r="29" spans="1:19" ht="14.4">
      <c r="A29" s="2262"/>
      <c r="B29" s="50" t="s">
        <v>1959</v>
      </c>
      <c r="C29" s="2266"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2"/>
      <c r="B30" s="50"/>
      <c r="C30" s="2267" t="s">
        <v>1958</v>
      </c>
      <c r="D30" s="1393">
        <f>SUM(D28:D29)</f>
        <v>5714.62</v>
      </c>
      <c r="E30" s="1393">
        <f>SUM(E28:E29)</f>
        <v>29294.799999999996</v>
      </c>
      <c r="F30" s="1393">
        <f>SUM(F28:F29)</f>
        <v>1388.499999999997</v>
      </c>
      <c r="G30" s="1395">
        <f>SUM(G28:G29)</f>
        <v>27906.3</v>
      </c>
      <c r="H30" s="1392"/>
      <c r="I30" s="1392"/>
      <c r="J30" s="1392"/>
      <c r="K30" s="1392"/>
      <c r="L30" s="1392"/>
      <c r="M30" s="1392"/>
      <c r="N30" s="1392"/>
      <c r="O30" s="1392"/>
      <c r="P30" s="1392"/>
    </row>
    <row r="31" spans="1:19" ht="15" thickBot="1">
      <c r="A31" s="2268"/>
      <c r="B31" s="2269"/>
      <c r="C31" s="1007" t="s">
        <v>1962</v>
      </c>
      <c r="D31" s="729">
        <f>D27+D30</f>
        <v>18463.55</v>
      </c>
      <c r="E31" s="729">
        <f>E27+E30</f>
        <v>94649.49000000002</v>
      </c>
      <c r="F31" s="730">
        <f>F27+F30</f>
        <v>66743.190000000017</v>
      </c>
      <c r="G31" s="731">
        <f>G27+G30</f>
        <v>27906.3</v>
      </c>
      <c r="H31" s="1392"/>
      <c r="I31" s="1392"/>
      <c r="J31" s="1392"/>
      <c r="K31" s="1392"/>
      <c r="L31" s="1392"/>
      <c r="M31" s="1392"/>
      <c r="N31" s="1392"/>
      <c r="O31" s="1392"/>
      <c r="P31" s="1392"/>
    </row>
    <row r="32" spans="1:19" ht="14.4">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6" sqref="M26"/>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9"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1964</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5" t="s">
        <v>1965</v>
      </c>
      <c r="B2" s="1266">
        <f>项目基本情况!D3</f>
        <v>43675</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1972</v>
      </c>
      <c r="B5" s="2289" t="s">
        <v>1973</v>
      </c>
      <c r="C5" s="2290" t="s">
        <v>1974</v>
      </c>
      <c r="D5" s="2291" t="s">
        <v>1975</v>
      </c>
      <c r="E5" s="1268" t="s">
        <v>1976</v>
      </c>
      <c r="F5" s="2292" t="s">
        <v>1977</v>
      </c>
      <c r="G5" s="1268" t="s">
        <v>1978</v>
      </c>
      <c r="H5" s="1268" t="s">
        <v>1979</v>
      </c>
      <c r="I5" s="1268" t="s">
        <v>1980</v>
      </c>
      <c r="J5" s="2293" t="s">
        <v>1981</v>
      </c>
      <c r="K5" s="2294" t="s">
        <v>1982</v>
      </c>
      <c r="L5" s="2295" t="s">
        <v>1983</v>
      </c>
      <c r="M5" s="2296" t="s">
        <v>1984</v>
      </c>
      <c r="N5" s="2297" t="s">
        <v>3064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4" t="s">
        <v>2005</v>
      </c>
      <c r="AP5" s="1249" t="s">
        <v>2006</v>
      </c>
      <c r="AQ5" s="2304" t="s">
        <v>2007</v>
      </c>
      <c r="AR5" s="2304"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5" t="str">
        <f>'数据-汇总表'!C19</f>
        <v>办公</v>
      </c>
      <c r="B6" s="2306" t="str">
        <f>IF(A6=0,"","经营性")</f>
        <v>经营性</v>
      </c>
      <c r="C6" s="2307" t="s">
        <v>27</v>
      </c>
      <c r="D6" s="1051">
        <f>SUMIF(项目基本情况!D$12:I$12,C6,项目基本情况!D$14:I$14)</f>
        <v>50</v>
      </c>
      <c r="E6" s="1048">
        <f>IF(B6="","",SUMIF(项目基本情况!D$12:I$12,C6,项目基本情况!D$13:I$13))</f>
        <v>56073</v>
      </c>
      <c r="F6" s="72">
        <f>SUMIF(项目基本情况!D$12:I$12,C6,项目基本情况!D$15:I$15)</f>
        <v>33.96</v>
      </c>
      <c r="G6" s="73">
        <f>IF(ISERROR(ROUND(POWER(1+H6,D6-F6)*(POWER(1+H6,F6)-1)/(POWER(1+H6,D6)-1),3)),0,ROUND(POWER(1+H6,D6-F6)*(POWER(1+H6,F6)-1)/(POWER(1+H6,D6)-1),3))</f>
        <v>0.88700000000000001</v>
      </c>
      <c r="H6" s="802">
        <v>0.05</v>
      </c>
      <c r="I6" s="802">
        <v>0.06</v>
      </c>
      <c r="J6" s="74">
        <v>0.08</v>
      </c>
      <c r="K6" s="1251">
        <f>SUMIF('数据-汇总表'!C$19:C$33,A6,'数据-汇总表'!E$19:E$33)</f>
        <v>17824.11</v>
      </c>
      <c r="L6" s="803">
        <v>4500</v>
      </c>
      <c r="M6" s="75">
        <f t="shared" ref="M6:M14" si="0">ROUND(K6*L6/10000,0)</f>
        <v>8021</v>
      </c>
      <c r="N6" s="801">
        <f>ROUND((1-((2019-1992)/60)+0.85)/2,2)</f>
        <v>0.7</v>
      </c>
      <c r="O6" s="75" t="str">
        <f>IF($N$5="成新度","——",ROUND(M6*N6,0))</f>
        <v>——</v>
      </c>
      <c r="P6" s="76" t="str">
        <f>IF($N$5="成新度","——",M6-O6)</f>
        <v>——</v>
      </c>
      <c r="Q6" s="804">
        <v>0.2</v>
      </c>
      <c r="R6" s="77">
        <f ca="1">SUMIF('数据-汇总表'!C$19:C$33,A6,'数据-汇总表'!R$19:R$27)</f>
        <v>5035.54</v>
      </c>
      <c r="S6" s="54">
        <f>IF('数据-汇总表'!$I$17="按面积比例",SUMIF('数据-汇总表'!C$19:C$33,A6,'数据-汇总表'!K$19:K$33),SUMIF('数据-汇总表'!C$19:C$33,A6,'数据-汇总表'!N$19:N$33))</f>
        <v>7989.54</v>
      </c>
      <c r="T6" s="1443">
        <f>ROUND($L$14*S6/10000,0)</f>
        <v>2397</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8"/>
      <c r="AO6" s="55" t="e">
        <f ca="1">SUMIF(INDIRECT("'"&amp;AN6&amp;"'"&amp;"!A:A"),"总价",INDIRECT("'"&amp;AN6&amp;"'"&amp;"!B:B"))</f>
        <v>#REF!</v>
      </c>
      <c r="AP6" s="2309">
        <f>IF(C6="住宅",K6*L6,0)</f>
        <v>0</v>
      </c>
      <c r="AQ6" s="55">
        <f>ROUND($L$14*$N$14*S6/10000,0)</f>
        <v>1678</v>
      </c>
      <c r="AR6" s="55">
        <f>ROUND($L$14*(1-$N$14)*S6/10000,0)</f>
        <v>719</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t="str">
        <f>'数据-汇总表'!C20</f>
        <v>剧院</v>
      </c>
      <c r="B7" s="2306" t="str">
        <f t="shared" ref="B7:B13" si="1">IF(A7=0,"","经营性")</f>
        <v>经营性</v>
      </c>
      <c r="C7" s="2307" t="s">
        <v>1373</v>
      </c>
      <c r="D7" s="1051">
        <f>SUMIF(项目基本情况!D$12:I$12,C7,项目基本情况!D$14:I$14)</f>
        <v>40</v>
      </c>
      <c r="E7" s="1048">
        <f>IF(B7="","",SUMIF(项目基本情况!D$12:I$12,C7,项目基本情况!D$13:I$13))</f>
        <v>52420</v>
      </c>
      <c r="F7" s="72">
        <f>SUMIF(项目基本情况!D$12:I$12,C7,项目基本情况!D$15:I$15)</f>
        <v>23.95</v>
      </c>
      <c r="G7" s="73">
        <f t="shared" ref="G7:G11" si="2">IF(ISERROR(ROUND(POWER(1+H7,D7-F7)*(POWER(1+H7,F7)-1)/(POWER(1+H7,D7)-1),3)),0,ROUND(POWER(1+H7,D7-F7)*(POWER(1+H7,F7)-1)/(POWER(1+H7,D7)-1),3))</f>
        <v>0.81899999999999995</v>
      </c>
      <c r="H7" s="802">
        <v>5.5E-2</v>
      </c>
      <c r="I7" s="802">
        <v>6.5000000000000002E-2</v>
      </c>
      <c r="J7" s="74">
        <v>0.08</v>
      </c>
      <c r="K7" s="1251">
        <f>SUMIF('数据-汇总表'!C$19:C$33,A7,'数据-汇总表'!E$19:E$33)</f>
        <v>7000.5600000000195</v>
      </c>
      <c r="L7" s="803">
        <v>9000</v>
      </c>
      <c r="M7" s="75">
        <f t="shared" si="0"/>
        <v>6301</v>
      </c>
      <c r="N7" s="801">
        <f>N6</f>
        <v>0.7</v>
      </c>
      <c r="O7" s="75" t="str">
        <f t="shared" ref="O7:O14" si="3">IF($N$5="成新度","——",ROUND(M7*N7,0))</f>
        <v>——</v>
      </c>
      <c r="P7" s="76" t="str">
        <f t="shared" ref="P7:P14" si="4">IF($N$5="成新度","——",M7-O7)</f>
        <v>——</v>
      </c>
      <c r="Q7" s="804">
        <v>0.15</v>
      </c>
      <c r="R7" s="77">
        <f ca="1">SUMIF('数据-汇总表'!C$19:C$33,A7,'数据-汇总表'!R$19:R$27)</f>
        <v>1977.75</v>
      </c>
      <c r="S7" s="54">
        <f>IF('数据-汇总表'!$I$17="按面积比例",SUMIF('数据-汇总表'!C$19:C$33,A7,'数据-汇总表'!K$19:K$33),SUMIF('数据-汇总表'!C$19:C$33,A7,'数据-汇总表'!N$19:N$33))</f>
        <v>3137.95</v>
      </c>
      <c r="T7" s="1443">
        <f t="shared" ref="T7:T13" si="5">ROUND($L$14*S7/10000,0)</f>
        <v>941</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659</v>
      </c>
      <c r="AR7" s="55">
        <f t="shared" ref="AR7:AR13" si="11">ROUND($L$14*(1-$N$14)*S7/10000,0)</f>
        <v>282</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t="str">
        <f>'数据-汇总表'!C21</f>
        <v>商业</v>
      </c>
      <c r="B8" s="2306" t="str">
        <f t="shared" si="1"/>
        <v>经营性</v>
      </c>
      <c r="C8" s="2307" t="s">
        <v>1373</v>
      </c>
      <c r="D8" s="1051">
        <f>SUMIF(项目基本情况!D$12:I$12,C8,项目基本情况!D$14:I$14)</f>
        <v>40</v>
      </c>
      <c r="E8" s="1048">
        <f>IF(B8="","",SUMIF(项目基本情况!D$12:I$12,C8,项目基本情况!D$13:I$13))</f>
        <v>52420</v>
      </c>
      <c r="F8" s="72">
        <f>SUMIF(项目基本情况!D$12:I$12,C8,项目基本情况!D$15:I$15)</f>
        <v>23.95</v>
      </c>
      <c r="G8" s="73">
        <f t="shared" si="2"/>
        <v>0.81899999999999995</v>
      </c>
      <c r="H8" s="802">
        <v>5.5E-2</v>
      </c>
      <c r="I8" s="802">
        <v>6.5000000000000002E-2</v>
      </c>
      <c r="J8" s="74">
        <v>0.08</v>
      </c>
      <c r="K8" s="1251">
        <f>SUMIF('数据-汇总表'!C$19:C$33,A8,'数据-汇总表'!E$19:E$33)</f>
        <v>14854.04</v>
      </c>
      <c r="L8" s="803">
        <f>L6</f>
        <v>4500</v>
      </c>
      <c r="M8" s="75">
        <f>ROUND(K8*L8/10000,0)</f>
        <v>6684</v>
      </c>
      <c r="N8" s="801">
        <f>N6</f>
        <v>0.7</v>
      </c>
      <c r="O8" s="75" t="str">
        <f t="shared" si="3"/>
        <v>——</v>
      </c>
      <c r="P8" s="76" t="str">
        <f t="shared" si="4"/>
        <v>——</v>
      </c>
      <c r="Q8" s="804">
        <v>0.25</v>
      </c>
      <c r="R8" s="77">
        <f ca="1">SUMIF('数据-汇总表'!C$19:C$33,A8,'数据-汇总表'!R$19:R$27)</f>
        <v>4196.46</v>
      </c>
      <c r="S8" s="54">
        <f>IF('数据-汇总表'!$I$17="按面积比例",SUMIF('数据-汇总表'!C$19:C$33,A8,'数据-汇总表'!K$19:K$33),SUMIF('数据-汇总表'!C$19:C$33,A8,'数据-汇总表'!N$19:N$33))</f>
        <v>6658.22</v>
      </c>
      <c r="T8" s="1443">
        <f t="shared" si="5"/>
        <v>1997</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1398</v>
      </c>
      <c r="AR8" s="55">
        <f t="shared" si="11"/>
        <v>599</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t="str">
        <f>'数据-汇总表'!C22</f>
        <v>酒店</v>
      </c>
      <c r="B9" s="2306" t="str">
        <f t="shared" si="1"/>
        <v>经营性</v>
      </c>
      <c r="C9" s="2307" t="s">
        <v>1373</v>
      </c>
      <c r="D9" s="1051">
        <f>SUMIF(项目基本情况!D$12:I$12,C9,项目基本情况!D$14:I$14)</f>
        <v>40</v>
      </c>
      <c r="E9" s="1048">
        <f>IF(B9="","",SUMIF(项目基本情况!D$12:I$12,C9,项目基本情况!D$13:I$13))</f>
        <v>52420</v>
      </c>
      <c r="F9" s="72">
        <f>SUMIF(项目基本情况!D$12:I$12,C9,项目基本情况!D$15:I$15)</f>
        <v>23.95</v>
      </c>
      <c r="G9" s="73">
        <f t="shared" si="2"/>
        <v>0.81899999999999995</v>
      </c>
      <c r="H9" s="802">
        <v>5.5E-2</v>
      </c>
      <c r="I9" s="802">
        <v>6.5000000000000002E-2</v>
      </c>
      <c r="J9" s="74">
        <v>0.08</v>
      </c>
      <c r="K9" s="1251">
        <f>SUMIF('数据-汇总表'!C$19:C$33,A9,'数据-汇总表'!E$19:E$33)</f>
        <v>25675.98</v>
      </c>
      <c r="L9" s="803">
        <v>7000</v>
      </c>
      <c r="M9" s="75">
        <f t="shared" si="0"/>
        <v>17973</v>
      </c>
      <c r="N9" s="801">
        <f>N6</f>
        <v>0.7</v>
      </c>
      <c r="O9" s="75" t="str">
        <f t="shared" si="3"/>
        <v>——</v>
      </c>
      <c r="P9" s="76" t="str">
        <f t="shared" si="4"/>
        <v>——</v>
      </c>
      <c r="Q9" s="804">
        <v>0.15</v>
      </c>
      <c r="R9" s="77">
        <f ca="1">SUMIF('数据-汇总表'!C$19:C$33,A9,'数据-汇总表'!R$19:R$27)</f>
        <v>7253.7999999999993</v>
      </c>
      <c r="S9" s="54">
        <f>IF('数据-汇总表'!$I$17="按面积比例",SUMIF('数据-汇总表'!C$19:C$33,A9,'数据-汇总表'!K$19:K$33),SUMIF('数据-汇总表'!C$19:C$33,A9,'数据-汇总表'!N$19:N$33))</f>
        <v>11509.09</v>
      </c>
      <c r="T9" s="1443">
        <f t="shared" si="5"/>
        <v>3453</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2417</v>
      </c>
      <c r="AR9" s="55">
        <f t="shared" si="11"/>
        <v>1036</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2009</v>
      </c>
      <c r="B14" s="2306" t="s">
        <v>2010</v>
      </c>
      <c r="C14" s="2311" t="s">
        <v>2009</v>
      </c>
      <c r="D14" s="1051"/>
      <c r="E14" s="1048"/>
      <c r="F14" s="72"/>
      <c r="G14" s="73"/>
      <c r="H14" s="1250"/>
      <c r="I14" s="1250"/>
      <c r="J14" s="1250"/>
      <c r="K14" s="1251">
        <f>SUMIF('数据-汇总表'!C$19:C$33,A14,'数据-汇总表'!E$19:E$33)</f>
        <v>29294.799999999996</v>
      </c>
      <c r="L14" s="91">
        <v>3000</v>
      </c>
      <c r="M14" s="75">
        <f t="shared" si="0"/>
        <v>8788</v>
      </c>
      <c r="N14" s="92">
        <f>N6</f>
        <v>0.7</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2013</v>
      </c>
      <c r="B16" s="97"/>
      <c r="C16" s="1005"/>
      <c r="D16" s="2313"/>
      <c r="E16" s="97"/>
      <c r="F16" s="97"/>
      <c r="G16" s="98">
        <f>ROUND(SUMPRODUCT(G6:G13,K6:K13)/SUMPRODUCT((G6:G13&gt;0)*(K6:K13)),3)</f>
        <v>0.83799999999999997</v>
      </c>
      <c r="H16" s="99">
        <f>ROUND(SUMPRODUCT(H6:H13,K6:K13)/SUMPRODUCT((H6:H13&gt;0)*(K6:K13)),3)</f>
        <v>5.3999999999999999E-2</v>
      </c>
      <c r="I16" s="100"/>
      <c r="J16" s="100"/>
      <c r="K16" s="101">
        <f>SUM(K6:K15)</f>
        <v>94649.49000000002</v>
      </c>
      <c r="L16" s="102">
        <f>ROUND(M16*10000/SUM(K6:K14),0)</f>
        <v>5047</v>
      </c>
      <c r="M16" s="102">
        <f>SUM(M6:M14)</f>
        <v>47767</v>
      </c>
      <c r="N16" s="103">
        <f>ROUND(SUMPRODUCT(M6:M14,N6:N14)/M16,3)</f>
        <v>0.7</v>
      </c>
      <c r="O16" s="102">
        <f>SUM(O6:O14)</f>
        <v>0</v>
      </c>
      <c r="P16" s="102">
        <f>SUM(P6:P14)</f>
        <v>0</v>
      </c>
      <c r="Q16" s="104">
        <f>ROUND(SUMPRODUCT(Q6:Q13,K6:K13)/SUMPRODUCT((Q6:Q13&gt;0)*(K6:K13)),2)</f>
        <v>0.19</v>
      </c>
      <c r="R16" s="1255">
        <f ca="1">SUM(R6:R13)</f>
        <v>18463.55</v>
      </c>
      <c r="S16" s="105">
        <f>SUM(S6:S13)</f>
        <v>29294.799999999999</v>
      </c>
      <c r="T16" s="106">
        <f>IF(SUMIF(T6:T13,"&lt;9E307")=M14,SUMIF(T6:T13,"&lt;9E307"),"有误，请检查")</f>
        <v>8788</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5" t="s">
        <v>2015</v>
      </c>
      <c r="B19" s="112">
        <v>0</v>
      </c>
      <c r="C19" s="2276" t="s">
        <v>2016</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6" t="s">
        <v>2017</v>
      </c>
      <c r="B20" s="113">
        <v>3</v>
      </c>
      <c r="C20" s="2276" t="s">
        <v>2018</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7" t="s">
        <v>2019</v>
      </c>
      <c r="B21" s="113">
        <v>3</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6" t="s">
        <v>2020</v>
      </c>
      <c r="B22" s="114">
        <f>B19+B20</f>
        <v>3</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7" t="s">
        <v>2021</v>
      </c>
      <c r="B23" s="114">
        <f>B19+B21</f>
        <v>3</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2022</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2023</v>
      </c>
      <c r="B26" s="2319" t="s">
        <v>2024</v>
      </c>
      <c r="C26" s="2320" t="s">
        <v>2025</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8.8">
      <c r="A27" s="2321" t="s">
        <v>2026</v>
      </c>
      <c r="B27" s="116">
        <v>160</v>
      </c>
      <c r="C27" s="1764" t="s">
        <v>2027</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2028</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2029</v>
      </c>
      <c r="B29" s="121">
        <f>ROUND(B28*K16/10000,0)</f>
        <v>1893</v>
      </c>
      <c r="C29" s="1764" t="s">
        <v>2030</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2031</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2032</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2033</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2034</v>
      </c>
      <c r="B33" s="726">
        <v>0.03</v>
      </c>
      <c r="C33" s="1763" t="s">
        <v>2035</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2036</v>
      </c>
      <c r="B34" s="122">
        <v>0</v>
      </c>
      <c r="C34" s="1763" t="s">
        <v>2037</v>
      </c>
      <c r="D34" s="2277" t="s">
        <v>2038</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2039</v>
      </c>
      <c r="B35" s="119">
        <v>200</v>
      </c>
      <c r="C35" s="1763" t="s">
        <v>2040</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3" t="s">
        <v>2042</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7" t="s">
        <v>2043</v>
      </c>
      <c r="B37" s="124">
        <v>0.02</v>
      </c>
      <c r="C37" s="1763" t="s">
        <v>2044</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4" t="s">
        <v>2045</v>
      </c>
      <c r="B38" s="122">
        <v>0.02</v>
      </c>
      <c r="C38" s="1763" t="s">
        <v>2044</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8" t="s">
        <v>2046</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2047</v>
      </c>
      <c r="B40" s="1300">
        <f ca="1">存贷款利率!G1</f>
        <v>4.7500000000000001E-2</v>
      </c>
      <c r="C40" s="1763" t="s">
        <v>2048</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1" t="s">
        <v>2049</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9" t="s">
        <v>2050</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9" t="s">
        <v>2051</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1" t="s">
        <v>2052</v>
      </c>
      <c r="B44" s="128">
        <v>7.0000000000000007E-2</v>
      </c>
      <c r="C44" s="1763" t="s">
        <v>2053</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1" t="s">
        <v>2054</v>
      </c>
      <c r="B45" s="126">
        <v>0.03</v>
      </c>
      <c r="C45" s="1764" t="s">
        <v>2055</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1" t="s">
        <v>2056</v>
      </c>
      <c r="B46" s="126">
        <v>0.02</v>
      </c>
      <c r="C46" s="1764" t="s">
        <v>2057</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2058</v>
      </c>
      <c r="B47" s="129">
        <v>0</v>
      </c>
      <c r="C47" s="1764" t="s">
        <v>2059</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3" t="s">
        <v>2060</v>
      </c>
      <c r="B48" s="130">
        <v>0.03</v>
      </c>
      <c r="C48" s="1771" t="s">
        <v>2061</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2062</v>
      </c>
      <c r="B49" s="126">
        <v>5.0000000000000001E-4</v>
      </c>
      <c r="C49" s="1771" t="s">
        <v>2063</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4" t="s">
        <v>2064</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2065</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4" t="s">
        <v>2066</v>
      </c>
      <c r="B52" s="133">
        <f>SUMIF(A54:A63,B53,B54:B63)</f>
        <v>24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4" t="s">
        <v>2067</v>
      </c>
      <c r="B53" s="2335" t="s">
        <v>269</v>
      </c>
      <c r="C53" s="1427" t="s">
        <v>2068</v>
      </c>
      <c r="D53" s="2336" t="s">
        <v>2069</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7" t="s">
        <v>2070</v>
      </c>
      <c r="B54" s="84">
        <v>30</v>
      </c>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7" t="s">
        <v>2071</v>
      </c>
      <c r="B55" s="84">
        <v>24</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7" t="s">
        <v>2072</v>
      </c>
      <c r="B56" s="84">
        <v>18</v>
      </c>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7" t="s">
        <v>2073</v>
      </c>
      <c r="B57" s="84">
        <v>12</v>
      </c>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7" t="s">
        <v>2074</v>
      </c>
      <c r="B58" s="84">
        <v>3</v>
      </c>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7" t="s">
        <v>2075</v>
      </c>
      <c r="B59" s="84">
        <v>1.5</v>
      </c>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7" t="s">
        <v>2076</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7" t="s">
        <v>2077</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7" t="s">
        <v>2078</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2079</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048" t="s">
        <v>2080</v>
      </c>
      <c r="B1" s="3049"/>
      <c r="C1" s="3049"/>
      <c r="D1" s="3049"/>
      <c r="E1" s="3049"/>
      <c r="F1" s="3049"/>
      <c r="G1" s="304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2081</v>
      </c>
      <c r="D2" s="2365"/>
      <c r="E2" s="2366"/>
      <c r="F2" s="2285"/>
      <c r="G2" s="2364" t="s">
        <v>2082</v>
      </c>
      <c r="H2" s="2367"/>
      <c r="I2" s="2367"/>
      <c r="J2" s="2367"/>
      <c r="K2" s="2367"/>
      <c r="L2" s="2367"/>
      <c r="M2" s="2367"/>
      <c r="N2" s="2367"/>
      <c r="O2" s="2367"/>
      <c r="P2" s="2367"/>
      <c r="Q2" s="2367"/>
      <c r="R2" s="2367"/>
    </row>
    <row r="3" spans="1:29" ht="57.6">
      <c r="A3" s="415" t="s">
        <v>2083</v>
      </c>
      <c r="B3" s="1268" t="s">
        <v>2084</v>
      </c>
      <c r="C3" s="2369" t="s">
        <v>2085</v>
      </c>
      <c r="D3" s="2370"/>
      <c r="E3" s="431" t="s">
        <v>2083</v>
      </c>
      <c r="F3" s="2371" t="s">
        <v>2086</v>
      </c>
      <c r="G3" s="2372" t="s">
        <v>2087</v>
      </c>
      <c r="H3" s="2367"/>
      <c r="I3" s="2367"/>
      <c r="J3" s="2367"/>
      <c r="K3" s="2367"/>
      <c r="L3" s="2367"/>
      <c r="M3" s="2367"/>
      <c r="N3" s="2367"/>
      <c r="O3" s="2367"/>
      <c r="P3" s="2367"/>
      <c r="Q3" s="2367"/>
      <c r="R3" s="2367"/>
    </row>
    <row r="4" spans="1:29" ht="43.2">
      <c r="A4" s="431"/>
      <c r="B4" s="1795" t="s">
        <v>2088</v>
      </c>
      <c r="C4" s="2373" t="s">
        <v>2089</v>
      </c>
      <c r="D4" s="2370"/>
      <c r="E4" s="2374"/>
      <c r="F4" s="42" t="s">
        <v>2090</v>
      </c>
      <c r="G4" s="2375" t="s">
        <v>2091</v>
      </c>
      <c r="H4" s="2367"/>
      <c r="I4" s="2367"/>
      <c r="J4" s="2367"/>
      <c r="K4" s="2367"/>
      <c r="L4" s="2367"/>
      <c r="M4" s="2367"/>
      <c r="N4" s="2367"/>
      <c r="O4" s="2367"/>
      <c r="P4" s="2367"/>
      <c r="Q4" s="2367"/>
      <c r="R4" s="2367"/>
    </row>
    <row r="5" spans="1:29" ht="43.2">
      <c r="A5" s="431"/>
      <c r="B5" s="1795" t="s">
        <v>2092</v>
      </c>
      <c r="C5" s="2373" t="s">
        <v>2093</v>
      </c>
      <c r="D5" s="2370"/>
      <c r="E5" s="2374"/>
      <c r="F5" s="1795" t="s">
        <v>2094</v>
      </c>
      <c r="G5" s="2375" t="s">
        <v>2095</v>
      </c>
      <c r="H5" s="2367"/>
      <c r="I5" s="2367"/>
      <c r="J5" s="2367"/>
      <c r="K5" s="2367"/>
      <c r="L5" s="2367"/>
      <c r="M5" s="2367"/>
      <c r="N5" s="2367"/>
      <c r="O5" s="2367"/>
      <c r="P5" s="2367"/>
      <c r="Q5" s="2367"/>
      <c r="R5" s="2367"/>
    </row>
    <row r="6" spans="1:29" ht="57.6">
      <c r="A6" s="431"/>
      <c r="B6" s="1795" t="s">
        <v>2096</v>
      </c>
      <c r="C6" s="2375" t="s">
        <v>2091</v>
      </c>
      <c r="D6" s="2370"/>
      <c r="E6" s="2374"/>
      <c r="F6" s="1795" t="s">
        <v>2097</v>
      </c>
      <c r="G6" s="2375" t="s">
        <v>2098</v>
      </c>
      <c r="H6" s="2367"/>
      <c r="I6" s="2367"/>
      <c r="J6" s="2367"/>
      <c r="K6" s="2367"/>
      <c r="L6" s="2367"/>
      <c r="M6" s="2367"/>
      <c r="N6" s="2367"/>
      <c r="O6" s="2367"/>
      <c r="P6" s="2367"/>
      <c r="Q6" s="2367"/>
      <c r="R6" s="2367"/>
    </row>
    <row r="7" spans="1:29" ht="43.8" thickBot="1">
      <c r="A7" s="431"/>
      <c r="B7" s="1795" t="s">
        <v>2094</v>
      </c>
      <c r="C7" s="2375" t="s">
        <v>2095</v>
      </c>
      <c r="D7" s="2376"/>
      <c r="E7" s="2377"/>
      <c r="F7" s="2378" t="s">
        <v>2099</v>
      </c>
      <c r="G7" s="2379" t="s">
        <v>2100</v>
      </c>
      <c r="H7" s="2367"/>
      <c r="I7" s="2367"/>
      <c r="J7" s="2367"/>
      <c r="K7" s="2367"/>
      <c r="L7" s="2367"/>
      <c r="M7" s="2367"/>
      <c r="N7" s="2367"/>
      <c r="O7" s="2367"/>
      <c r="P7" s="2367"/>
      <c r="Q7" s="2367"/>
      <c r="R7" s="2367"/>
    </row>
    <row r="8" spans="1:29" ht="28.8">
      <c r="A8" s="431"/>
      <c r="B8" s="1795" t="s">
        <v>2097</v>
      </c>
      <c r="C8" s="2375" t="s">
        <v>2098</v>
      </c>
      <c r="D8" s="2376"/>
      <c r="E8" s="2376"/>
      <c r="F8" s="1133"/>
      <c r="G8" s="1133"/>
      <c r="H8" s="2367"/>
      <c r="I8" s="2367"/>
      <c r="J8" s="2367"/>
      <c r="K8" s="2367"/>
      <c r="L8" s="2367"/>
      <c r="M8" s="2367"/>
      <c r="N8" s="2367"/>
      <c r="O8" s="2367"/>
      <c r="P8" s="2367"/>
      <c r="Q8" s="2367"/>
      <c r="R8" s="2367"/>
    </row>
    <row r="9" spans="1:29" ht="43.2">
      <c r="A9" s="431"/>
      <c r="B9" s="1795" t="s">
        <v>2101</v>
      </c>
      <c r="C9" s="2373" t="s">
        <v>2102</v>
      </c>
      <c r="D9" s="2370"/>
      <c r="E9" s="2376"/>
      <c r="F9" s="1133"/>
      <c r="G9" s="1133"/>
      <c r="H9" s="2367"/>
      <c r="I9" s="2367"/>
      <c r="J9" s="2367"/>
      <c r="K9" s="2367"/>
      <c r="L9" s="2367"/>
      <c r="M9" s="2367"/>
      <c r="N9" s="2367"/>
      <c r="O9" s="2367"/>
      <c r="P9" s="2367"/>
      <c r="Q9" s="2367"/>
      <c r="R9" s="2367"/>
    </row>
    <row r="10" spans="1:29" s="117" customFormat="1" ht="1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2104</v>
      </c>
      <c r="B13" s="2387"/>
      <c r="C13" s="2387"/>
      <c r="D13" s="2394"/>
      <c r="E13" s="2387"/>
      <c r="F13" s="2387"/>
      <c r="G13" s="2387"/>
    </row>
    <row r="14" spans="1:29" ht="15" thickBot="1">
      <c r="A14" s="2398"/>
      <c r="B14" s="2399"/>
      <c r="C14" s="2400" t="s">
        <v>2105</v>
      </c>
      <c r="D14" s="2370"/>
      <c r="E14" s="2401"/>
      <c r="F14" s="2401"/>
      <c r="G14" s="2364" t="s">
        <v>2106</v>
      </c>
    </row>
    <row r="15" spans="1:29" ht="55.2">
      <c r="A15" s="68" t="s">
        <v>2107</v>
      </c>
      <c r="B15" s="1267" t="s">
        <v>2084</v>
      </c>
      <c r="C15" s="2402" t="str">
        <f>C3</f>
        <v>估价对象周边居住用地比例、居住小区规模和社区发展完善程度，综合评价居住社区成熟度一般</v>
      </c>
      <c r="D15" s="2370"/>
      <c r="E15" s="2403" t="s">
        <v>2108</v>
      </c>
      <c r="F15" s="1267" t="s">
        <v>2109</v>
      </c>
      <c r="G15" s="135" t="str">
        <f>G3</f>
        <v>估价对象位于XX开发区，园区建设成熟度XX，产业集聚程度XX</v>
      </c>
    </row>
    <row r="16" spans="1:29" ht="41.4">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1.4">
      <c r="A17" s="645"/>
      <c r="B17" s="2404" t="s">
        <v>2092</v>
      </c>
      <c r="C17" s="2405" t="str">
        <f>C5</f>
        <v>估价对象位于XX商圈，周边办公楼项目较多，入驻率高，办公集聚程度较好</v>
      </c>
      <c r="D17" s="2376"/>
      <c r="E17" s="2406"/>
      <c r="F17" s="2407" t="s">
        <v>2110</v>
      </c>
      <c r="G17" s="1569"/>
    </row>
    <row r="18" spans="1:18" ht="55.2">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7.6">
      <c r="A19" s="645"/>
      <c r="B19" s="2407" t="s">
        <v>2111</v>
      </c>
      <c r="C19" s="1569"/>
      <c r="D19" s="2370"/>
      <c r="E19" s="2406"/>
      <c r="F19" s="1795" t="s">
        <v>2094</v>
      </c>
      <c r="G19" s="136" t="str">
        <f>G5</f>
        <v>估价对象所在区域公共配套设施齐备情况</v>
      </c>
    </row>
    <row r="20" spans="1:18" ht="41.4">
      <c r="A20" s="645"/>
      <c r="B20" s="2407" t="s">
        <v>2112</v>
      </c>
      <c r="C20" s="2405" t="str">
        <f>C9</f>
        <v>区域自然环境：；人文环境；综合评价环境状况一般</v>
      </c>
      <c r="D20" s="2376"/>
      <c r="E20" s="2406"/>
      <c r="F20" s="1795" t="s">
        <v>2113</v>
      </c>
      <c r="G20" s="136" t="str">
        <f>G6</f>
        <v>估价对象所在区域基础设施水平</v>
      </c>
    </row>
    <row r="21" spans="1:18" ht="27.6">
      <c r="A21" s="645"/>
      <c r="B21" s="1795" t="s">
        <v>2094</v>
      </c>
      <c r="C21" s="136" t="str">
        <f>C7</f>
        <v>估价对象所在区域公共配套设施齐备情况</v>
      </c>
      <c r="D21" s="2370"/>
      <c r="E21" s="2406"/>
      <c r="F21" s="2407" t="s">
        <v>2114</v>
      </c>
      <c r="G21" s="2408"/>
    </row>
    <row r="22" spans="1:18" ht="13.5" customHeight="1">
      <c r="A22" s="645"/>
      <c r="B22" s="1795" t="s">
        <v>2097</v>
      </c>
      <c r="C22" s="136" t="str">
        <f>C8</f>
        <v>估价对象所在区域基础设施水平</v>
      </c>
      <c r="D22" s="2370"/>
      <c r="E22" s="2406"/>
      <c r="F22" s="2407" t="s">
        <v>2103</v>
      </c>
      <c r="G22" s="1569"/>
    </row>
    <row r="23" spans="1:18" s="2367" customFormat="1" ht="1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94649.49000000002</v>
      </c>
      <c r="C1" s="1742"/>
      <c r="D1" s="1742"/>
      <c r="E1" s="1742"/>
      <c r="F1" s="1742"/>
      <c r="G1" s="1740"/>
    </row>
    <row r="2" spans="1:10" ht="16.2">
      <c r="A2" s="1743" t="s">
        <v>1349</v>
      </c>
      <c r="B2" s="1743">
        <f>SUM(C14:C23)</f>
        <v>18463.54</v>
      </c>
      <c r="C2" s="1742"/>
      <c r="D2" s="1742"/>
      <c r="E2" s="1742"/>
      <c r="F2" s="1742"/>
      <c r="G2" s="1740"/>
    </row>
    <row r="3" spans="1:10" ht="15.6">
      <c r="A3" s="1743" t="s">
        <v>1358</v>
      </c>
      <c r="B3" s="1744">
        <f>项目基本情况!D3</f>
        <v>43675</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t="e">
        <f ca="1">SUM(D14:D23)</f>
        <v>#REF!</v>
      </c>
      <c r="C5" s="1743" t="e">
        <f ca="1">ROUND(B5*10000/$B$1,0)</f>
        <v>#REF!</v>
      </c>
      <c r="D5" s="1743" t="e">
        <f ca="1">ROUND(B5*10000/$B$2,0)</f>
        <v>#REF!</v>
      </c>
      <c r="E5" s="1742"/>
      <c r="F5" s="1740"/>
      <c r="G5" s="1740"/>
    </row>
    <row r="6" spans="1:10" ht="15.6">
      <c r="A6" s="1743" t="s">
        <v>1352</v>
      </c>
      <c r="B6" s="1743" t="e">
        <f ca="1">SUM(G14:G23)</f>
        <v>#REF!</v>
      </c>
      <c r="C6" s="1743" t="e">
        <f ca="1">ROUND(B6*10000/$B$1,0)</f>
        <v>#REF!</v>
      </c>
      <c r="D6" s="1743" t="e">
        <f ca="1">ROUND(B6*10000/$B$2,0)</f>
        <v>#REF!</v>
      </c>
      <c r="E6" s="1742"/>
      <c r="F6" s="1740"/>
      <c r="G6" s="1740"/>
    </row>
    <row r="7" spans="1:10" ht="15.6">
      <c r="A7" s="1743" t="s">
        <v>1360</v>
      </c>
      <c r="B7" s="1743">
        <f>SUM(H14:H23)</f>
        <v>0</v>
      </c>
      <c r="C7" s="1743">
        <f>ROUND(B7*10000/$B$1,0)</f>
        <v>0</v>
      </c>
      <c r="D7" s="1743">
        <f>ROUND(B7*10000/$B$2,0)</f>
        <v>0</v>
      </c>
      <c r="E7" s="1742"/>
      <c r="F7" s="1740"/>
      <c r="G7" s="1740"/>
    </row>
    <row r="8" spans="1:10" ht="15.6">
      <c r="A8" s="1743" t="s">
        <v>1281</v>
      </c>
      <c r="B8" s="1743">
        <f>SUM(I14:I23)</f>
        <v>0</v>
      </c>
      <c r="C8" s="1743">
        <f>ROUND(B8*10000/$B$1,0)</f>
        <v>0</v>
      </c>
      <c r="D8" s="1743">
        <f>ROUND(B8*10000/$B$2,0)</f>
        <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94649.49000000002</v>
      </c>
      <c r="C14" s="1741">
        <f>结果表!C118</f>
        <v>18463.54</v>
      </c>
      <c r="D14" s="1741" t="e">
        <f ca="1">结果表!H118</f>
        <v>#REF!</v>
      </c>
      <c r="E14" s="1741" t="e">
        <f ca="1">ROUND(D14*10000/B14,0)</f>
        <v>#REF!</v>
      </c>
      <c r="F14" s="1741" t="e">
        <f ca="1">ROUND(D14*10000/C14,0)</f>
        <v>#REF!</v>
      </c>
      <c r="G14" s="1741" t="e">
        <f ca="1">结果表!D122</f>
        <v>#REF!</v>
      </c>
      <c r="H14" s="1741" t="str">
        <f>结果表!D124</f>
        <v>——</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M25" sqref="M25"/>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2117</v>
      </c>
      <c r="B1" s="2418"/>
      <c r="C1" s="2419"/>
      <c r="D1" s="2418"/>
      <c r="E1" s="2418"/>
      <c r="F1" s="2420" t="s">
        <v>2118</v>
      </c>
      <c r="G1" s="2070" t="s">
        <v>2119</v>
      </c>
      <c r="H1" s="2421" t="str">
        <f>IF(G1="现房","——","估价对象范围")</f>
        <v>估价对象范围</v>
      </c>
      <c r="I1" s="2422"/>
    </row>
    <row r="2" spans="1:12" ht="21.75" customHeight="1" thickBot="1">
      <c r="A2" s="3083" t="str">
        <f>项目基本情况!S2</f>
        <v>北京市东城区东直门南大街14号出让国有建设用地使用权及在建建筑物房地产</v>
      </c>
      <c r="B2" s="3084"/>
      <c r="C2" s="3084"/>
      <c r="D2" s="3084"/>
      <c r="E2" s="3084"/>
      <c r="F2" s="3084"/>
      <c r="G2" s="3084"/>
      <c r="H2" s="3084"/>
      <c r="I2" s="3085"/>
    </row>
    <row r="3" spans="1:12" ht="13.2">
      <c r="A3" s="3087" t="s">
        <v>2120</v>
      </c>
      <c r="B3" s="3088"/>
      <c r="C3" s="3088"/>
      <c r="D3" s="3088"/>
      <c r="E3" s="3088"/>
      <c r="F3" s="3088"/>
      <c r="G3" s="3088"/>
      <c r="H3" s="3088"/>
      <c r="I3" s="3088"/>
    </row>
    <row r="4" spans="1:12" ht="14.4">
      <c r="A4" s="2425" t="s">
        <v>2121</v>
      </c>
      <c r="B4" s="2426" t="s">
        <v>2122</v>
      </c>
      <c r="C4" s="2427" t="s">
        <v>3079</v>
      </c>
      <c r="D4" s="2427" t="s">
        <v>3080</v>
      </c>
      <c r="E4" s="3080" t="s">
        <v>2123</v>
      </c>
      <c r="F4" s="3081"/>
      <c r="G4" s="3081"/>
      <c r="H4" s="3081"/>
      <c r="I4" s="3089"/>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063" t="s">
        <v>2124</v>
      </c>
      <c r="B5" s="3001">
        <v>25</v>
      </c>
      <c r="C5" s="3066"/>
      <c r="D5" s="3086"/>
      <c r="E5" s="140" t="s">
        <v>2125</v>
      </c>
      <c r="F5" s="2429"/>
      <c r="G5" s="2429"/>
      <c r="H5" s="2429"/>
      <c r="I5" s="1831"/>
    </row>
    <row r="6" spans="1:12" ht="13.2">
      <c r="A6" s="3063"/>
      <c r="B6" s="3001"/>
      <c r="C6" s="3067"/>
      <c r="D6" s="3086"/>
      <c r="E6" s="140" t="s">
        <v>2126</v>
      </c>
      <c r="F6" s="2429"/>
      <c r="G6" s="2429"/>
      <c r="H6" s="2429"/>
      <c r="I6" s="1831"/>
    </row>
    <row r="7" spans="1:12" ht="13.2">
      <c r="A7" s="3063"/>
      <c r="B7" s="3001"/>
      <c r="C7" s="3068"/>
      <c r="D7" s="3086"/>
      <c r="E7" s="140" t="s">
        <v>2127</v>
      </c>
      <c r="F7" s="2429"/>
      <c r="G7" s="2429"/>
      <c r="H7" s="2429"/>
      <c r="I7" s="1831"/>
    </row>
    <row r="8" spans="1:12" ht="13.2">
      <c r="A8" s="3063" t="s">
        <v>2128</v>
      </c>
      <c r="B8" s="3001">
        <v>15</v>
      </c>
      <c r="C8" s="3066"/>
      <c r="D8" s="3086"/>
      <c r="E8" s="140" t="s">
        <v>2129</v>
      </c>
      <c r="F8" s="2429"/>
      <c r="G8" s="2429"/>
      <c r="H8" s="2429"/>
      <c r="I8" s="1831"/>
    </row>
    <row r="9" spans="1:12" ht="13.2">
      <c r="A9" s="3063"/>
      <c r="B9" s="3001"/>
      <c r="C9" s="3068"/>
      <c r="D9" s="3086"/>
      <c r="E9" s="140" t="s">
        <v>2130</v>
      </c>
      <c r="F9" s="2429"/>
      <c r="G9" s="2429"/>
      <c r="H9" s="2429"/>
      <c r="I9" s="1831"/>
    </row>
    <row r="10" spans="1:12" ht="13.2">
      <c r="A10" s="3063" t="s">
        <v>2131</v>
      </c>
      <c r="B10" s="3001">
        <v>15</v>
      </c>
      <c r="C10" s="3066"/>
      <c r="D10" s="3086"/>
      <c r="E10" s="140" t="s">
        <v>2132</v>
      </c>
      <c r="F10" s="2429"/>
      <c r="G10" s="2429"/>
      <c r="H10" s="2429"/>
      <c r="I10" s="1831"/>
    </row>
    <row r="11" spans="1:12" ht="13.2">
      <c r="A11" s="3063"/>
      <c r="B11" s="3001"/>
      <c r="C11" s="3068"/>
      <c r="D11" s="3086"/>
      <c r="E11" s="140" t="s">
        <v>2133</v>
      </c>
      <c r="F11" s="2429"/>
      <c r="G11" s="2429"/>
      <c r="H11" s="2429"/>
      <c r="I11" s="1831"/>
    </row>
    <row r="12" spans="1:12" ht="13.2">
      <c r="A12" s="3063" t="s">
        <v>2134</v>
      </c>
      <c r="B12" s="3001">
        <v>15</v>
      </c>
      <c r="C12" s="3066"/>
      <c r="D12" s="3086"/>
      <c r="E12" s="140" t="s">
        <v>2135</v>
      </c>
      <c r="F12" s="2429"/>
      <c r="G12" s="2429"/>
      <c r="H12" s="2429"/>
      <c r="I12" s="1831"/>
    </row>
    <row r="13" spans="1:12" ht="13.2">
      <c r="A13" s="3063"/>
      <c r="B13" s="3001"/>
      <c r="C13" s="3068"/>
      <c r="D13" s="3086"/>
      <c r="E13" s="140" t="s">
        <v>2136</v>
      </c>
      <c r="F13" s="2429"/>
      <c r="G13" s="2429"/>
      <c r="H13" s="2429"/>
      <c r="I13" s="1831"/>
    </row>
    <row r="14" spans="1:12" ht="13.2">
      <c r="A14" s="3063" t="s">
        <v>2137</v>
      </c>
      <c r="B14" s="3001">
        <v>30</v>
      </c>
      <c r="C14" s="3066"/>
      <c r="D14" s="3086"/>
      <c r="E14" s="140" t="s">
        <v>2138</v>
      </c>
      <c r="F14" s="2429"/>
      <c r="G14" s="2429"/>
      <c r="H14" s="2429"/>
      <c r="I14" s="1831"/>
    </row>
    <row r="15" spans="1:12" ht="13.2">
      <c r="A15" s="3063"/>
      <c r="B15" s="3001"/>
      <c r="C15" s="3067"/>
      <c r="D15" s="3086"/>
      <c r="E15" s="140" t="s">
        <v>2139</v>
      </c>
      <c r="F15" s="2429"/>
      <c r="G15" s="2429"/>
      <c r="H15" s="2429"/>
      <c r="I15" s="1831"/>
    </row>
    <row r="16" spans="1:12" ht="13.2">
      <c r="A16" s="3063"/>
      <c r="B16" s="3001"/>
      <c r="C16" s="3068"/>
      <c r="D16" s="3086"/>
      <c r="E16" s="140" t="s">
        <v>2140</v>
      </c>
      <c r="F16" s="2429"/>
      <c r="G16" s="2429"/>
      <c r="H16" s="2429"/>
      <c r="I16" s="1831"/>
    </row>
    <row r="17" spans="1:35" ht="14.4">
      <c r="A17" s="2430" t="s">
        <v>2141</v>
      </c>
      <c r="B17" s="64"/>
      <c r="C17" s="141">
        <f>SUM(C5:C16)</f>
        <v>0</v>
      </c>
      <c r="D17" s="141">
        <f>SUM(D5:D16)</f>
        <v>0</v>
      </c>
      <c r="E17" s="138"/>
      <c r="F17" s="138"/>
      <c r="G17" s="138"/>
      <c r="H17" s="138"/>
      <c r="I17" s="138"/>
      <c r="K17" s="2428"/>
      <c r="L17" s="2431" t="s">
        <v>2142</v>
      </c>
      <c r="M17" s="2431" t="s">
        <v>2143</v>
      </c>
    </row>
    <row r="18" spans="1:35" ht="15" thickBot="1">
      <c r="A18" s="2432" t="s">
        <v>2144</v>
      </c>
      <c r="B18" s="2433"/>
      <c r="C18" s="142" t="e">
        <f>ROUND(C17/SUM(C17:D17),2)</f>
        <v>#DIV/0!</v>
      </c>
      <c r="D18" s="142" t="e">
        <f>1-C18</f>
        <v>#DIV/0!</v>
      </c>
      <c r="E18" s="138"/>
      <c r="F18" s="138"/>
      <c r="G18" s="138"/>
      <c r="H18" s="138"/>
      <c r="I18" s="138"/>
      <c r="K18" s="2428" t="s">
        <v>2145</v>
      </c>
      <c r="L18" s="2428">
        <f>IF(C1="",'数据-汇总表'!E3,SUMIF(项目类型,C1,'数据-汇总表'!E17:E26)+SUMIF(项目类型,C1,'数据-汇总表'!I17:I26))</f>
        <v>94649.49000000002</v>
      </c>
      <c r="M18" s="2428">
        <f>IF(C1="",'数据-汇总表'!E3,SUMIF(项目类型,C1,'数据-汇总表'!E17:E26))</f>
        <v>94649.49000000002</v>
      </c>
    </row>
    <row r="19" spans="1:35" ht="14.4">
      <c r="A19" s="2434" t="s">
        <v>2146</v>
      </c>
      <c r="B19" s="2435" t="s">
        <v>2147</v>
      </c>
      <c r="C19" s="143" t="e">
        <f ca="1">SUMIF(INDIRECT("'"&amp;C4&amp;"'"&amp;"!A:A"),结果表!B19,INDIRECT("'"&amp;C4&amp;"'"&amp;"!B:B"))</f>
        <v>#REF!</v>
      </c>
      <c r="D19" s="144">
        <f ca="1">SUMIF(INDIRECT("'"&amp;D4&amp;"'"&amp;"!A:A"),结果表!B19,INDIRECT("'"&amp;D4&amp;"'"&amp;"!B:B"))</f>
        <v>0</v>
      </c>
      <c r="E19" s="2434" t="s">
        <v>2148</v>
      </c>
      <c r="F19" s="2435" t="s">
        <v>2147</v>
      </c>
      <c r="G19" s="145" t="e">
        <f ca="1">ROUND(C19*$C$18+D19*$D$18,0)</f>
        <v>#REF!</v>
      </c>
      <c r="H19" s="2436" t="s">
        <v>2149</v>
      </c>
      <c r="I19" s="138"/>
      <c r="K19" s="2428" t="s">
        <v>2150</v>
      </c>
      <c r="L19" s="2428">
        <f>IF(C1="",'数据-汇总表'!D3,SUMIF(项目类型,C1,'数据-汇总表'!D17:D26)+SUMIF(项目类型,C1,'数据-汇总表'!H17:H27))</f>
        <v>18463.54</v>
      </c>
      <c r="M19" s="2428">
        <f>IF(C1="",'数据-汇总表'!D3,SUMIF(项目类型,C1,'数据-汇总表'!D17:D26))</f>
        <v>18463.54</v>
      </c>
    </row>
    <row r="20" spans="1:35" ht="14.4">
      <c r="A20" s="2437"/>
      <c r="B20" s="1247" t="s">
        <v>2151</v>
      </c>
      <c r="C20" s="146" t="e">
        <f ca="1">SUMIF(INDIRECT("'"&amp;C4&amp;"'"&amp;"!A:A"),结果表!B20,INDIRECT("'"&amp;C4&amp;"'"&amp;"!B:B"))</f>
        <v>#REF!</v>
      </c>
      <c r="D20" s="147" t="e">
        <f ca="1">SUMIF(INDIRECT("'"&amp;D4&amp;"'"&amp;"!A:A"),结果表!B20,INDIRECT("'"&amp;D4&amp;"'"&amp;"!B:B"))</f>
        <v>#DIV/0!</v>
      </c>
      <c r="E20" s="2437"/>
      <c r="F20" s="1247" t="s">
        <v>2151</v>
      </c>
      <c r="G20" s="148" t="e">
        <f ca="1">ROUND(C20*$C$18+D20*$D$18,0)</f>
        <v>#REF!</v>
      </c>
      <c r="H20" s="980" t="s">
        <v>2152</v>
      </c>
      <c r="I20" s="138"/>
    </row>
    <row r="21" spans="1:35" ht="15" customHeight="1" thickBot="1">
      <c r="A21" s="1000"/>
      <c r="B21" s="2438" t="s">
        <v>2153</v>
      </c>
      <c r="C21" s="789" t="e">
        <f ca="1">ROUND(C19*10000/L19,0)</f>
        <v>#REF!</v>
      </c>
      <c r="D21" s="790">
        <f ca="1">ROUND(D19*10000/L19,0)</f>
        <v>0</v>
      </c>
      <c r="E21" s="1000"/>
      <c r="F21" s="2438" t="s">
        <v>2153</v>
      </c>
      <c r="G21" s="149" t="e">
        <f ca="1">ROUND(G19*10000/L19,0)</f>
        <v>#REF!</v>
      </c>
      <c r="H21" s="2439" t="s">
        <v>2152</v>
      </c>
      <c r="I21" s="138"/>
      <c r="J21" s="3435" t="s">
        <v>3256</v>
      </c>
      <c r="K21" s="3435" t="s">
        <v>3261</v>
      </c>
      <c r="L21" s="3435" t="s">
        <v>3262</v>
      </c>
    </row>
    <row r="22" spans="1:35" ht="15" thickBot="1">
      <c r="A22" s="2280" t="s">
        <v>2154</v>
      </c>
      <c r="B22" s="2440"/>
      <c r="C22" s="2441"/>
      <c r="D22" s="791" t="e">
        <f ca="1">IF(C19&lt;D19,D19/C19-1,C19/D19-1)</f>
        <v>#REF!</v>
      </c>
      <c r="E22" s="138"/>
      <c r="F22" s="138"/>
      <c r="G22" s="138"/>
      <c r="H22" s="138"/>
      <c r="I22" s="138"/>
      <c r="J22" s="795" t="s">
        <v>3257</v>
      </c>
      <c r="K22" s="795">
        <f ca="1">'成本法-酒店'!B3</f>
        <v>61740</v>
      </c>
      <c r="L22" s="795">
        <f ca="1">'成本法-酒店'!B2</f>
        <v>158524</v>
      </c>
    </row>
    <row r="23" spans="1:35" ht="13.8" thickBot="1">
      <c r="A23" s="2418"/>
      <c r="B23" s="2418"/>
      <c r="C23" s="2418"/>
      <c r="D23" s="2418"/>
      <c r="E23" s="138"/>
      <c r="F23" s="138"/>
      <c r="G23" s="138"/>
      <c r="H23" s="138"/>
      <c r="I23" s="138"/>
      <c r="J23" s="795" t="s">
        <v>3258</v>
      </c>
      <c r="K23" s="795">
        <f ca="1">'成本法-剧院'!B3</f>
        <v>63716</v>
      </c>
      <c r="L23" s="795">
        <f ca="1">'成本法-剧院'!B2</f>
        <v>44605</v>
      </c>
    </row>
    <row r="24" spans="1:35" ht="14.4">
      <c r="A24" s="3057" t="s">
        <v>2155</v>
      </c>
      <c r="B24" s="2435" t="s">
        <v>2147</v>
      </c>
      <c r="C24" s="145">
        <f>IF(B30=0,0,D30)</f>
        <v>0</v>
      </c>
      <c r="D24" s="2442"/>
      <c r="E24" s="138"/>
      <c r="F24" s="138"/>
      <c r="G24" s="138"/>
      <c r="H24" s="138"/>
      <c r="I24" s="138"/>
      <c r="J24" s="795" t="s">
        <v>3259</v>
      </c>
      <c r="K24" s="795">
        <f>'比较法-办公'!C49</f>
        <v>35625</v>
      </c>
      <c r="L24" s="795">
        <f>'比较法-办公'!B2</f>
        <v>63498</v>
      </c>
    </row>
    <row r="25" spans="1:35" ht="14.4">
      <c r="A25" s="3058"/>
      <c r="B25" s="1247" t="s">
        <v>2151</v>
      </c>
      <c r="C25" s="150">
        <f>IF(B30=0,0,C30)</f>
        <v>0</v>
      </c>
      <c r="D25" s="2443"/>
      <c r="E25" s="138"/>
      <c r="F25" s="138"/>
      <c r="G25" s="138"/>
      <c r="H25" s="138"/>
      <c r="I25" s="138"/>
      <c r="J25" s="795" t="s">
        <v>3260</v>
      </c>
      <c r="K25" s="795">
        <f>'典型户型修正-商业'!R22</f>
        <v>45376</v>
      </c>
      <c r="L25" s="795">
        <f>'典型户型修正-商业'!S22</f>
        <v>67401</v>
      </c>
    </row>
    <row r="26" spans="1:35" ht="13.5" customHeight="1">
      <c r="A26" s="2444" t="s">
        <v>2156</v>
      </c>
      <c r="B26" s="151" t="s">
        <v>2157</v>
      </c>
      <c r="C26" s="151" t="s">
        <v>2158</v>
      </c>
      <c r="D26" s="152" t="s">
        <v>2159</v>
      </c>
      <c r="E26" s="138"/>
      <c r="F26" s="138"/>
      <c r="G26" s="138"/>
      <c r="H26" s="138"/>
      <c r="I26" s="138"/>
      <c r="J26" s="3435" t="s">
        <v>3263</v>
      </c>
      <c r="L26" s="795">
        <f ca="1">SUM(L22:L25)</f>
        <v>334028</v>
      </c>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2160</v>
      </c>
      <c r="B30" s="151"/>
      <c r="C30" s="151"/>
      <c r="D30" s="151"/>
      <c r="E30" s="2917" t="s">
        <v>3035</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2161</v>
      </c>
      <c r="B32" s="2448"/>
      <c r="C32" s="153" t="e">
        <f ca="1">IF(D32="总价",G19-C24,G20-C25)</f>
        <v>#REF!</v>
      </c>
      <c r="D32" s="2449" t="s">
        <v>2162</v>
      </c>
      <c r="E32" s="138"/>
      <c r="F32" s="138"/>
      <c r="G32" s="138"/>
      <c r="H32" s="138"/>
      <c r="I32" s="138"/>
    </row>
    <row r="33" spans="1:15" ht="14.4">
      <c r="A33" s="957" t="s">
        <v>2163</v>
      </c>
      <c r="B33" s="2450"/>
      <c r="C33" s="2451"/>
      <c r="D33" s="2452"/>
      <c r="E33" s="2453" t="s">
        <v>2164</v>
      </c>
      <c r="F33" s="2454" t="str">
        <f>IF(D32="楼面单价","取值（单价）","取值（总价）")</f>
        <v>取值（总价）</v>
      </c>
      <c r="G33" s="138"/>
      <c r="H33" s="138"/>
      <c r="I33" s="138"/>
    </row>
    <row r="34" spans="1:15" ht="14.4">
      <c r="A34" s="2455"/>
      <c r="B34" s="2456"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2166</v>
      </c>
      <c r="F34" s="1736"/>
      <c r="G34" s="138"/>
      <c r="H34" s="138"/>
      <c r="I34" s="138"/>
    </row>
    <row r="35" spans="1:15" ht="15" thickBot="1">
      <c r="A35" s="2458"/>
      <c r="B35" s="2459"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 thickBot="1">
      <c r="A36" s="3075" t="s">
        <v>2169</v>
      </c>
      <c r="B36" s="2461" t="s">
        <v>2170</v>
      </c>
      <c r="C36" s="154"/>
      <c r="D36" s="2462"/>
      <c r="E36" s="2463"/>
      <c r="F36" s="2464"/>
      <c r="G36" s="138"/>
      <c r="H36" s="138"/>
      <c r="I36" s="138"/>
    </row>
    <row r="37" spans="1:15" ht="15" thickBot="1">
      <c r="A37" s="3076"/>
      <c r="B37" s="2266" t="s">
        <v>2171</v>
      </c>
      <c r="C37" s="156"/>
      <c r="D37" s="1392"/>
      <c r="E37" s="1392"/>
      <c r="F37" s="2464"/>
      <c r="G37" s="138"/>
      <c r="H37" s="138"/>
      <c r="I37" s="138"/>
    </row>
    <row r="38" spans="1:15" ht="15" thickBot="1">
      <c r="A38" s="3077"/>
      <c r="B38" s="2465" t="s">
        <v>2172</v>
      </c>
      <c r="C38" s="727"/>
      <c r="D38" s="2466" t="s">
        <v>2173</v>
      </c>
      <c r="E38" s="1392"/>
      <c r="F38" s="2464"/>
      <c r="G38" s="138"/>
      <c r="H38" s="138"/>
      <c r="I38" s="138"/>
    </row>
    <row r="39" spans="1:15" ht="14.4">
      <c r="A39" s="2437" t="s">
        <v>2174</v>
      </c>
      <c r="B39" s="2467" t="s">
        <v>2175</v>
      </c>
      <c r="C39" s="2468" t="s">
        <v>2176</v>
      </c>
      <c r="D39" s="2468" t="s">
        <v>2177</v>
      </c>
      <c r="E39" s="2469" t="s">
        <v>2178</v>
      </c>
      <c r="F39" s="2464"/>
      <c r="G39" s="138"/>
      <c r="H39" s="138"/>
      <c r="I39" s="138"/>
    </row>
    <row r="40" spans="1:15" ht="13.8">
      <c r="A40" s="2470" t="s">
        <v>2179</v>
      </c>
      <c r="B40" s="158"/>
      <c r="C40" s="159"/>
      <c r="D40" s="159"/>
      <c r="E40" s="160"/>
      <c r="F40" s="2464"/>
      <c r="G40" s="138"/>
      <c r="H40" s="138"/>
      <c r="I40" s="138"/>
    </row>
    <row r="41" spans="1:15" ht="13.8">
      <c r="A41" s="2470" t="s">
        <v>2180</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54" t="s">
        <v>2183</v>
      </c>
      <c r="B45" s="3055"/>
      <c r="C45" s="3056"/>
      <c r="D45" s="164" t="e">
        <f ca="1">ROUND(H101*F45,0)</f>
        <v>#REF!</v>
      </c>
      <c r="E45" s="165" t="s">
        <v>2184</v>
      </c>
      <c r="F45" s="166">
        <v>1</v>
      </c>
      <c r="G45" s="167" t="s">
        <v>2185</v>
      </c>
      <c r="H45" s="138"/>
      <c r="I45" s="138"/>
      <c r="J45" s="3114" t="s">
        <v>2186</v>
      </c>
      <c r="K45" s="3114"/>
      <c r="L45" s="3114"/>
      <c r="M45" s="3114"/>
      <c r="N45" s="3114"/>
      <c r="O45" s="3114"/>
    </row>
    <row r="46" spans="1:15" ht="14.25" customHeight="1">
      <c r="A46" s="3051" t="s">
        <v>2187</v>
      </c>
      <c r="B46" s="3052"/>
      <c r="C46" s="3052"/>
      <c r="D46" s="3052"/>
      <c r="E46" s="3052"/>
      <c r="F46" s="3052"/>
      <c r="G46" s="3053"/>
      <c r="H46" s="2480"/>
      <c r="I46" s="168"/>
      <c r="J46" s="1809">
        <v>1</v>
      </c>
      <c r="K46" s="3114" t="s">
        <v>2188</v>
      </c>
      <c r="L46" s="3114"/>
      <c r="M46" s="3134"/>
      <c r="N46" s="3134"/>
      <c r="O46" s="3134"/>
    </row>
    <row r="47" spans="1:15" ht="12" customHeight="1">
      <c r="A47" s="169" t="s">
        <v>2189</v>
      </c>
      <c r="B47" s="170"/>
      <c r="C47" s="171"/>
      <c r="D47" s="172" t="s">
        <v>2190</v>
      </c>
      <c r="E47" s="24" t="s">
        <v>2191</v>
      </c>
      <c r="F47" s="173" t="s">
        <v>2192</v>
      </c>
      <c r="G47" s="174" t="s">
        <v>2193</v>
      </c>
      <c r="H47" s="2480"/>
      <c r="I47" s="168"/>
      <c r="J47" s="1809">
        <v>2</v>
      </c>
      <c r="K47" s="3114" t="s">
        <v>2194</v>
      </c>
      <c r="L47" s="3114"/>
      <c r="M47" s="3135">
        <f>'数据-取费表'!B2</f>
        <v>43675</v>
      </c>
      <c r="N47" s="3135"/>
      <c r="O47" s="3135"/>
    </row>
    <row r="48" spans="1:15" ht="26.4">
      <c r="A48" s="3082" t="s">
        <v>2195</v>
      </c>
      <c r="B48" s="3065"/>
      <c r="C48" s="3065"/>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114" t="s">
        <v>2198</v>
      </c>
      <c r="L48" s="3114"/>
      <c r="M48" s="3136" t="e">
        <f ca="1">H101</f>
        <v>#REF!</v>
      </c>
      <c r="N48" s="3136"/>
      <c r="O48" s="3136"/>
    </row>
    <row r="49" spans="1:35" ht="25.5" customHeight="1">
      <c r="A49" s="176" t="s">
        <v>2199</v>
      </c>
      <c r="B49" s="3050" t="s">
        <v>2200</v>
      </c>
      <c r="C49" s="3050"/>
      <c r="D49" s="177">
        <v>0</v>
      </c>
      <c r="E49" s="23" t="s">
        <v>2201</v>
      </c>
      <c r="F49" s="28" t="s">
        <v>34</v>
      </c>
      <c r="G49" s="3120"/>
      <c r="H49" s="138"/>
      <c r="I49" s="2483"/>
      <c r="J49" s="1809">
        <v>4</v>
      </c>
      <c r="K49" s="3114" t="str">
        <f>IF(项目基本情况!E8="房地产抵押价值","房地产抵押价值","抵押担保权已注销时的房地产抵押价值")</f>
        <v>抵押担保权已注销时的房地产抵押价值</v>
      </c>
      <c r="L49" s="3114"/>
      <c r="M49" s="3136" t="str">
        <f>IF(项目基本情况!E8="房地产抵押价值",H107,H109)</f>
        <v>——</v>
      </c>
      <c r="N49" s="3136"/>
      <c r="O49" s="3136"/>
    </row>
    <row r="50" spans="1:35" ht="25.5" customHeight="1">
      <c r="A50" s="178"/>
      <c r="B50" s="3050" t="s">
        <v>2202</v>
      </c>
      <c r="C50" s="3050"/>
      <c r="D50" s="179"/>
      <c r="E50" s="31"/>
      <c r="F50" s="180"/>
      <c r="G50" s="3121"/>
      <c r="H50" s="138"/>
      <c r="I50" s="2483"/>
      <c r="J50" s="3114" t="s">
        <v>2203</v>
      </c>
      <c r="K50" s="3114"/>
      <c r="L50" s="3114"/>
      <c r="M50" s="3114"/>
      <c r="N50" s="3114"/>
      <c r="O50" s="3114"/>
    </row>
    <row r="51" spans="1:35" ht="12" customHeight="1">
      <c r="A51" s="181"/>
      <c r="B51" s="3050" t="s">
        <v>2204</v>
      </c>
      <c r="C51" s="3050"/>
      <c r="D51" s="182"/>
      <c r="E51" s="30"/>
      <c r="F51" s="180"/>
      <c r="G51" s="3122"/>
      <c r="H51" s="138"/>
      <c r="I51" s="2483"/>
      <c r="J51" s="2484" t="s">
        <v>2205</v>
      </c>
      <c r="K51" s="3114" t="s">
        <v>2206</v>
      </c>
      <c r="L51" s="3114"/>
      <c r="M51" s="2484" t="s">
        <v>2207</v>
      </c>
      <c r="N51" s="2484" t="s">
        <v>2208</v>
      </c>
      <c r="O51" s="2484" t="s">
        <v>2209</v>
      </c>
    </row>
    <row r="52" spans="1:35" ht="24" customHeight="1">
      <c r="A52" s="183" t="s">
        <v>2210</v>
      </c>
      <c r="B52" s="3050" t="s">
        <v>2211</v>
      </c>
      <c r="C52" s="3050"/>
      <c r="D52" s="182" t="e">
        <f ca="1">ROUND(D45*'数据-取费表'!B41/(1+'数据-取费表'!C42),0)</f>
        <v>#REF!</v>
      </c>
      <c r="E52" s="11" t="s">
        <v>2212</v>
      </c>
      <c r="F52" s="184">
        <f>'数据-取费表'!B41</f>
        <v>5.6000000000000001E-2</v>
      </c>
      <c r="G52" s="2485"/>
      <c r="H52" s="138"/>
      <c r="I52" s="2483"/>
      <c r="J52" s="1809">
        <v>1</v>
      </c>
      <c r="K52" s="3115" t="s">
        <v>2213</v>
      </c>
      <c r="L52" s="3115"/>
      <c r="M52" s="1751">
        <f>D48</f>
        <v>0</v>
      </c>
      <c r="N52" s="1809" t="str">
        <f>E48</f>
        <v>销售额×税（费）率</v>
      </c>
      <c r="O52" s="1752" t="str">
        <f>F48</f>
        <v>免征</v>
      </c>
    </row>
    <row r="53" spans="1:35" ht="12" customHeight="1">
      <c r="A53" s="183" t="s">
        <v>2214</v>
      </c>
      <c r="B53" s="3073" t="s">
        <v>2215</v>
      </c>
      <c r="C53" s="3074"/>
      <c r="D53" s="182" t="e">
        <f ca="1">ROUND(D45*'数据-取费表'!B41/(1+'数据-取费表'!C42),0)</f>
        <v>#REF!</v>
      </c>
      <c r="E53" s="11" t="s">
        <v>2212</v>
      </c>
      <c r="F53" s="184">
        <f>'数据-取费表'!B41</f>
        <v>5.6000000000000001E-2</v>
      </c>
      <c r="G53" s="2485"/>
      <c r="H53" s="138"/>
      <c r="I53" s="2483"/>
      <c r="J53" s="1809">
        <v>2</v>
      </c>
      <c r="K53" s="3115" t="s">
        <v>2216</v>
      </c>
      <c r="L53" s="3115"/>
      <c r="M53" s="1751" t="e">
        <f t="shared" ref="M53:O54" ca="1" si="0">D55</f>
        <v>#REF!</v>
      </c>
      <c r="N53" s="1809" t="str">
        <f t="shared" si="0"/>
        <v>销售额×税（费）率</v>
      </c>
      <c r="O53" s="1752">
        <f t="shared" si="0"/>
        <v>5.0000000000000001E-4</v>
      </c>
    </row>
    <row r="54" spans="1:35" ht="12" customHeight="1">
      <c r="A54" s="183" t="s">
        <v>2217</v>
      </c>
      <c r="B54" s="3073" t="s">
        <v>2218</v>
      </c>
      <c r="C54" s="3074"/>
      <c r="D54" s="182" t="e">
        <f ca="1">C68</f>
        <v>#REF!</v>
      </c>
      <c r="E54" s="30" t="s">
        <v>2219</v>
      </c>
      <c r="F54" s="184">
        <f>'数据-取费表'!B41</f>
        <v>5.6000000000000001E-2</v>
      </c>
      <c r="G54" s="2485"/>
      <c r="H54" s="2486"/>
      <c r="I54" s="2483"/>
      <c r="J54" s="1809">
        <v>3</v>
      </c>
      <c r="K54" s="3115" t="s">
        <v>2220</v>
      </c>
      <c r="L54" s="3115"/>
      <c r="M54" s="1751" t="e">
        <f t="shared" ca="1" si="0"/>
        <v>#REF!</v>
      </c>
      <c r="N54" s="1809" t="str">
        <f t="shared" si="0"/>
        <v>增值额×税（费）率</v>
      </c>
      <c r="O54" s="1753" t="str">
        <f t="shared" si="0"/>
        <v>——</v>
      </c>
    </row>
    <row r="55" spans="1:35" ht="24" customHeight="1">
      <c r="A55" s="3064" t="s">
        <v>2221</v>
      </c>
      <c r="B55" s="3065"/>
      <c r="C55" s="3065"/>
      <c r="D55" s="185" t="e">
        <f ca="1">IF(H55="个人住宅",0,ROUND(D45*I55,0))</f>
        <v>#REF!</v>
      </c>
      <c r="E55" s="11" t="s">
        <v>2222</v>
      </c>
      <c r="F55" s="184">
        <f>IF(H55="正常",I55,"免征")</f>
        <v>5.0000000000000001E-4</v>
      </c>
      <c r="G55" s="2485"/>
      <c r="H55" s="2482" t="s">
        <v>2223</v>
      </c>
      <c r="I55" s="186">
        <f>'数据-取费表'!B49</f>
        <v>5.0000000000000001E-4</v>
      </c>
      <c r="J55" s="1809" t="str">
        <f>IF(H59="非个人房产","",4)</f>
        <v/>
      </c>
      <c r="K55" s="3115" t="str">
        <f>IF(H59="非个人房产","——","个人所得税")</f>
        <v>——</v>
      </c>
      <c r="L55" s="3115"/>
      <c r="M55" s="1754" t="str">
        <f>D59</f>
        <v>——</v>
      </c>
      <c r="N55" s="1807" t="str">
        <f>E59</f>
        <v>——</v>
      </c>
      <c r="O55" s="1755" t="str">
        <f>F59</f>
        <v>——</v>
      </c>
    </row>
    <row r="56" spans="1:35" ht="25.2">
      <c r="A56" s="3064" t="s">
        <v>2224</v>
      </c>
      <c r="B56" s="3065"/>
      <c r="C56" s="3065"/>
      <c r="D56" s="185" t="e">
        <f ca="1">IF(H56="个人住宅",D57,D58)</f>
        <v>#REF!</v>
      </c>
      <c r="E56" s="11" t="s">
        <v>2225</v>
      </c>
      <c r="F56" s="184" t="str">
        <f>IF(H56="正常",F58,"免征")</f>
        <v>——</v>
      </c>
      <c r="G56" s="2487" t="s">
        <v>2226</v>
      </c>
      <c r="H56" s="2488" t="s">
        <v>2223</v>
      </c>
      <c r="I56" s="2489"/>
      <c r="J56" s="1809" t="str">
        <f>IF(项目基本情况!K6="上海银行",IF(J55="",4,J55+1),"")</f>
        <v/>
      </c>
      <c r="K56" s="3138" t="str">
        <f>IF(项目基本情况!K6="上海银行","其他处置费用","")</f>
        <v/>
      </c>
      <c r="L56" s="3139"/>
      <c r="M56" s="1751" t="str">
        <f>IF(项目基本情况!K6="上海银行",M69,"")</f>
        <v/>
      </c>
      <c r="N56" s="3141" t="str">
        <f>IF(项目基本情况!K6="上海银行","包含处置中涉及的律师、诉讼、拍卖、评估等费用","")</f>
        <v/>
      </c>
      <c r="O56" s="3142"/>
    </row>
    <row r="57" spans="1:35" ht="13.2">
      <c r="A57" s="183" t="s">
        <v>2199</v>
      </c>
      <c r="B57" s="3080" t="s">
        <v>2227</v>
      </c>
      <c r="C57" s="3089"/>
      <c r="D57" s="187">
        <v>0</v>
      </c>
      <c r="E57" s="23" t="s">
        <v>2201</v>
      </c>
      <c r="F57" s="155"/>
      <c r="G57" s="2485"/>
      <c r="H57" s="2489"/>
      <c r="I57" s="2489"/>
      <c r="J57" s="3115">
        <f>IF(AND(J55="",J56=""),4,IF(项目基本情况!K6="上海银行",结果表!J56+1,结果表!J55+1))</f>
        <v>4</v>
      </c>
      <c r="K57" s="3115" t="s">
        <v>2228</v>
      </c>
      <c r="L57" s="2490" t="s">
        <v>2229</v>
      </c>
      <c r="M57" s="1756"/>
      <c r="N57" s="1757">
        <f ca="1">SUMIF(M52:M56,"&lt;9e307")</f>
        <v>0</v>
      </c>
      <c r="O57" s="2491"/>
      <c r="P57" s="1750" t="e">
        <f ca="1">N57/M49</f>
        <v>#VALUE!</v>
      </c>
    </row>
    <row r="58" spans="1:35" ht="25.2">
      <c r="A58" s="183" t="s">
        <v>2210</v>
      </c>
      <c r="B58" s="3080" t="s">
        <v>2230</v>
      </c>
      <c r="C58" s="3081"/>
      <c r="D58" s="185" t="e">
        <f ca="1">IF(H58="转让取得",C81,C97)</f>
        <v>#REF!</v>
      </c>
      <c r="E58" s="11" t="s">
        <v>2225</v>
      </c>
      <c r="F58" s="24" t="s">
        <v>34</v>
      </c>
      <c r="G58" s="2485"/>
      <c r="H58" s="2488" t="s">
        <v>2231</v>
      </c>
      <c r="I58" s="2489"/>
      <c r="J58" s="3115"/>
      <c r="K58" s="3115"/>
      <c r="L58" s="2490" t="s">
        <v>2232</v>
      </c>
      <c r="M58" s="1758"/>
      <c r="N58" s="2492" t="str">
        <f ca="1">NUMBERSTRING(INT(N57*10000),2)&amp;"元整"</f>
        <v>零元整</v>
      </c>
      <c r="O58" s="2493"/>
    </row>
    <row r="59" spans="1:35" ht="24.6" thickBot="1">
      <c r="A59" s="3118" t="s">
        <v>2233</v>
      </c>
      <c r="B59" s="3119"/>
      <c r="C59" s="3119"/>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16">
        <f>J57+1</f>
        <v>5</v>
      </c>
      <c r="K59" s="3115" t="s">
        <v>2235</v>
      </c>
      <c r="L59" s="1809" t="s">
        <v>2229</v>
      </c>
      <c r="M59" s="1759"/>
      <c r="N59" s="1760" t="e">
        <f ca="1">M49-N57</f>
        <v>#VALUE!</v>
      </c>
      <c r="O59" s="2495"/>
    </row>
    <row r="60" spans="1:35" ht="12" customHeight="1">
      <c r="A60" s="2496"/>
      <c r="B60" s="2418"/>
      <c r="C60" s="2418"/>
      <c r="D60" s="2418"/>
      <c r="E60" s="2166"/>
      <c r="F60" s="2489"/>
      <c r="G60" s="2489"/>
      <c r="H60" s="2497"/>
      <c r="I60" s="138"/>
      <c r="J60" s="3117"/>
      <c r="K60" s="3115"/>
      <c r="L60" s="2490" t="s">
        <v>2232</v>
      </c>
      <c r="M60" s="1758"/>
      <c r="N60" s="2492" t="e">
        <f ca="1">NUMBERSTRING(INT(N59*10000),2)&amp;"元整"</f>
        <v>#VALUE!</v>
      </c>
      <c r="O60" s="2493"/>
    </row>
    <row r="61" spans="1:35" ht="13.8" thickBot="1">
      <c r="A61" s="3062" t="s">
        <v>2236</v>
      </c>
      <c r="B61" s="3062"/>
      <c r="C61" s="3062"/>
      <c r="D61" s="3062"/>
      <c r="E61" s="3062"/>
      <c r="F61" s="2489"/>
      <c r="G61" s="2489"/>
      <c r="H61" s="2497"/>
      <c r="I61" s="138"/>
      <c r="J61" s="1809">
        <f>J59+1</f>
        <v>6</v>
      </c>
      <c r="K61" s="3115" t="s">
        <v>2237</v>
      </c>
      <c r="L61" s="3115"/>
      <c r="M61" s="1761"/>
      <c r="N61" s="1762" t="e">
        <f ca="1">ROUND(N59*10000/'数据-汇总表'!E3,0)</f>
        <v>#VALUE!</v>
      </c>
      <c r="O61" s="2498"/>
    </row>
    <row r="62" spans="1:35" ht="13.2">
      <c r="A62" s="3078" t="s">
        <v>2238</v>
      </c>
      <c r="B62" s="3079"/>
      <c r="C62" s="1801"/>
      <c r="D62" s="1801" t="s">
        <v>2239</v>
      </c>
      <c r="E62" s="192" t="s">
        <v>2240</v>
      </c>
      <c r="F62" s="2489"/>
      <c r="G62" s="2489"/>
      <c r="H62" s="2497"/>
      <c r="I62" s="138"/>
    </row>
    <row r="63" spans="1:35" ht="13.2">
      <c r="A63" s="203" t="s">
        <v>775</v>
      </c>
      <c r="B63" s="193" t="s">
        <v>2241</v>
      </c>
      <c r="C63" s="194" t="e">
        <f ca="1">ROUND((C64+C65)/(1+'数据-取费表'!C42),0)</f>
        <v>#REF!</v>
      </c>
      <c r="D63" s="195"/>
      <c r="E63" s="196"/>
      <c r="F63" s="2489"/>
      <c r="G63" s="2489"/>
      <c r="H63" s="2497"/>
      <c r="I63" s="138"/>
      <c r="J63" s="3140" t="s">
        <v>2242</v>
      </c>
      <c r="K63" s="2499" t="s">
        <v>2243</v>
      </c>
      <c r="L63" s="1749"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t="e">
        <f ca="1">D45</f>
        <v>#REF!</v>
      </c>
      <c r="D64" s="200" t="s">
        <v>32</v>
      </c>
      <c r="E64" s="201"/>
      <c r="F64" s="2489"/>
      <c r="G64" s="2489"/>
      <c r="H64" s="2497"/>
      <c r="I64" s="138"/>
      <c r="J64" s="3140"/>
      <c r="K64" s="249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140"/>
      <c r="K65" s="2499" t="s">
        <v>2248</v>
      </c>
      <c r="L65" s="1749"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3" t="s">
        <v>1367</v>
      </c>
      <c r="F66" s="2489"/>
      <c r="G66" s="2489"/>
      <c r="H66" s="2497"/>
      <c r="I66" s="138"/>
      <c r="J66" s="3140"/>
      <c r="K66" s="2499" t="s">
        <v>2250</v>
      </c>
      <c r="L66" s="1749" t="e">
        <f>M49*0.5%</f>
        <v>#VALUE!</v>
      </c>
      <c r="M66" s="24" t="e">
        <f>IF(L66&gt;0.5,0.5,ROUND(L66,0))</f>
        <v>#VALUE!</v>
      </c>
      <c r="N66" s="138" t="s">
        <v>2251</v>
      </c>
      <c r="Z66" s="2423"/>
      <c r="AI66" s="2424"/>
    </row>
    <row r="67" spans="1:35" ht="14.25" customHeight="1">
      <c r="A67" s="203" t="s">
        <v>773</v>
      </c>
      <c r="B67" s="204" t="s">
        <v>2252</v>
      </c>
      <c r="C67" s="207" t="e">
        <f ca="1">C63-C66</f>
        <v>#REF!</v>
      </c>
      <c r="D67" s="200" t="s">
        <v>32</v>
      </c>
      <c r="E67" s="201"/>
      <c r="F67" s="2489"/>
      <c r="G67" s="2489"/>
      <c r="H67" s="2497"/>
      <c r="I67" s="138"/>
      <c r="J67" s="3140"/>
      <c r="K67" s="249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t="e">
        <f ca="1">IF(C67&lt;=0,0,ROUND(C67*D68,0))</f>
        <v>#REF!</v>
      </c>
      <c r="D68" s="211">
        <f>'数据-取费表'!B41</f>
        <v>5.6000000000000001E-2</v>
      </c>
      <c r="E68" s="212"/>
      <c r="F68" s="2489"/>
      <c r="G68" s="2489"/>
      <c r="H68" s="2497"/>
      <c r="I68" s="138"/>
      <c r="J68" s="3140"/>
      <c r="K68" s="2499" t="s">
        <v>2255</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40"/>
      <c r="K69" s="2499" t="s">
        <v>2256</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099" t="s">
        <v>2257</v>
      </c>
      <c r="B70" s="3100"/>
      <c r="C70" s="3100"/>
      <c r="D70" s="3100"/>
      <c r="E70" s="3100"/>
      <c r="F70" s="3100"/>
      <c r="G70" s="3100"/>
      <c r="H70" s="310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078" t="s">
        <v>2238</v>
      </c>
      <c r="B71" s="3079"/>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2258</v>
      </c>
      <c r="C72" s="207" t="e">
        <f ca="1">ROUND(D45/(1+'数据-取费表'!C42),0)</f>
        <v>#REF!</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2259</v>
      </c>
      <c r="C73" s="207" t="e">
        <f ca="1">C74+C78</f>
        <v>#REF!</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73" t="s">
        <v>2266</v>
      </c>
      <c r="F76" s="3050"/>
      <c r="G76" s="3050"/>
      <c r="H76" s="309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t="e">
        <f ca="1">ROUND(D45*D78/(1+'数据-取费表'!C42),0)</f>
        <v>#REF!</v>
      </c>
      <c r="D78" s="226">
        <f>'数据-取费表'!B43</f>
        <v>6.000000000000001E-3</v>
      </c>
      <c r="E78" s="3059" t="s">
        <v>2271</v>
      </c>
      <c r="F78" s="3060"/>
      <c r="G78" s="3060"/>
      <c r="H78" s="306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2272</v>
      </c>
      <c r="C79" s="207" t="e">
        <f ca="1">C72-C73</f>
        <v>#REF!</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2274</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099" t="s">
        <v>2275</v>
      </c>
      <c r="B83" s="3100"/>
      <c r="C83" s="3100"/>
      <c r="D83" s="3100"/>
      <c r="E83" s="3100"/>
      <c r="F83" s="3100"/>
      <c r="G83" s="3100"/>
      <c r="H83" s="310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078" t="s">
        <v>2238</v>
      </c>
      <c r="B84" s="3079"/>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2258</v>
      </c>
      <c r="C85" s="207" t="e">
        <f ca="1">ROUND(D45/(1+'数据-取费表'!C42),0)</f>
        <v>#REF!</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2259</v>
      </c>
      <c r="C86" s="207" t="e">
        <f ca="1">IF(H88="仅含出让金",C87+C90+C91+C92+C93+C94,C87+C91+C92+C93+C94)</f>
        <v>#REF!</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IF(H91="——",'成本法-剧院'!C33,I91)</f>
        <v>0</v>
      </c>
      <c r="D91" s="226"/>
      <c r="E91" s="3059" t="s">
        <v>2284</v>
      </c>
      <c r="F91" s="3060"/>
      <c r="G91" s="3060"/>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59" t="s">
        <v>2288</v>
      </c>
      <c r="F92" s="3060"/>
      <c r="G92" s="3060"/>
      <c r="H92" s="306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t="e">
        <f ca="1">ROUND(D45*D93/(1+'数据-取费表'!C42),0)</f>
        <v>#REF!</v>
      </c>
      <c r="D93" s="226">
        <f>'数据-取费表'!B43</f>
        <v>6.000000000000001E-3</v>
      </c>
      <c r="E93" s="3059" t="s">
        <v>2271</v>
      </c>
      <c r="F93" s="3060"/>
      <c r="G93" s="3060"/>
      <c r="H93" s="306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70" t="s">
        <v>2292</v>
      </c>
      <c r="F94" s="3071"/>
      <c r="G94" s="3071"/>
      <c r="H94" s="307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2272</v>
      </c>
      <c r="C95" s="207" t="e">
        <f ca="1">ROUND(C85-C86,0)</f>
        <v>#REF!</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2274</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44" t="s">
        <v>2294</v>
      </c>
      <c r="B100" s="3045"/>
      <c r="C100" s="3045"/>
      <c r="D100" s="3061"/>
      <c r="E100" s="3045" t="s">
        <v>2295</v>
      </c>
      <c r="F100" s="3045"/>
      <c r="G100" s="3045"/>
      <c r="H100" s="3061"/>
      <c r="I100" s="138"/>
    </row>
    <row r="101" spans="1:35" ht="18.75" customHeight="1">
      <c r="A101" s="3123" t="s">
        <v>2296</v>
      </c>
      <c r="B101" s="3124"/>
      <c r="C101" s="736" t="str">
        <f>C4</f>
        <v>成本法</v>
      </c>
      <c r="D101" s="737" t="str">
        <f>D4</f>
        <v>收益法（汇总）</v>
      </c>
      <c r="E101" s="3137" t="s">
        <v>2297</v>
      </c>
      <c r="F101" s="3091"/>
      <c r="G101" s="2520" t="s">
        <v>2298</v>
      </c>
      <c r="H101" s="1045" t="e">
        <f ca="1">H118</f>
        <v>#REF!</v>
      </c>
      <c r="I101" s="138"/>
    </row>
    <row r="102" spans="1:35" ht="18.75" customHeight="1">
      <c r="A102" s="3093" t="s">
        <v>2299</v>
      </c>
      <c r="B102" s="2520" t="s">
        <v>2298</v>
      </c>
      <c r="C102" s="736" t="e">
        <f ca="1">C19</f>
        <v>#REF!</v>
      </c>
      <c r="D102" s="737">
        <f ca="1">D19</f>
        <v>0</v>
      </c>
      <c r="E102" s="3137"/>
      <c r="F102" s="3091"/>
      <c r="G102" s="2520" t="s">
        <v>2300</v>
      </c>
      <c r="H102" s="371" t="e">
        <f ca="1">I118</f>
        <v>#REF!</v>
      </c>
      <c r="I102" s="138"/>
    </row>
    <row r="103" spans="1:35" ht="42.75" customHeight="1">
      <c r="A103" s="3093"/>
      <c r="B103" s="2520" t="s">
        <v>2300</v>
      </c>
      <c r="C103" s="738" t="e">
        <f ca="1">C20</f>
        <v>#REF!</v>
      </c>
      <c r="D103" s="739" t="e">
        <f ca="1">D20</f>
        <v>#DIV/0!</v>
      </c>
      <c r="E103" s="3132" t="s">
        <v>2301</v>
      </c>
      <c r="F103" s="3133"/>
      <c r="G103" s="2521" t="s">
        <v>2302</v>
      </c>
      <c r="H103" s="1045">
        <f>IF(D36="正常操作",H104+H105+H106,H105+H106)</f>
        <v>0</v>
      </c>
      <c r="I103" s="138"/>
    </row>
    <row r="104" spans="1:35" ht="18.75" customHeight="1">
      <c r="A104" s="3093" t="s">
        <v>2303</v>
      </c>
      <c r="B104" s="2522" t="s">
        <v>2298</v>
      </c>
      <c r="C104" s="740" t="e">
        <f ca="1">H118</f>
        <v>#REF!</v>
      </c>
      <c r="D104" s="741"/>
      <c r="E104" s="2266" t="s">
        <v>2304</v>
      </c>
      <c r="F104" s="2258"/>
      <c r="G104" s="2521" t="s">
        <v>2302</v>
      </c>
      <c r="H104" s="1046">
        <f>IF(D36="同一抵押权人同一抵押物续贷",C36&amp;"（未扣减，详见特别提示）",C36)</f>
        <v>0</v>
      </c>
      <c r="I104" s="138"/>
    </row>
    <row r="105" spans="1:35" ht="18.75" customHeight="1" thickBot="1">
      <c r="A105" s="3094"/>
      <c r="B105" s="2523" t="s">
        <v>2300</v>
      </c>
      <c r="C105" s="742" t="e">
        <f ca="1">I118</f>
        <v>#REF!</v>
      </c>
      <c r="D105" s="743"/>
      <c r="E105" s="2266" t="s">
        <v>2305</v>
      </c>
      <c r="F105" s="2258"/>
      <c r="G105" s="2521" t="s">
        <v>2302</v>
      </c>
      <c r="H105" s="1046">
        <f>C37</f>
        <v>0</v>
      </c>
      <c r="I105" s="138"/>
    </row>
    <row r="106" spans="1:35" ht="18.75" customHeight="1">
      <c r="A106" s="2418" t="s">
        <v>2306</v>
      </c>
      <c r="B106" s="2418"/>
      <c r="C106" s="2418"/>
      <c r="D106" s="2418"/>
      <c r="E106" s="2524" t="s">
        <v>2307</v>
      </c>
      <c r="F106" s="2258"/>
      <c r="G106" s="2521" t="s">
        <v>2302</v>
      </c>
      <c r="H106" s="1046">
        <f>C38</f>
        <v>0</v>
      </c>
      <c r="I106" s="138"/>
    </row>
    <row r="107" spans="1:35" ht="18.75" customHeight="1">
      <c r="A107" s="138"/>
      <c r="B107" s="138"/>
      <c r="C107" s="138"/>
      <c r="D107" s="138"/>
      <c r="E107" s="3090" t="str">
        <f>IF(项目基本情况!E8="已注销","——","3.房地产抵押价值")</f>
        <v>3.房地产抵押价值</v>
      </c>
      <c r="F107" s="3091"/>
      <c r="G107" s="2520" t="s">
        <v>2298</v>
      </c>
      <c r="H107" s="1045" t="e">
        <f ca="1">IF(E107="——","——",H101-H103)</f>
        <v>#REF!</v>
      </c>
      <c r="I107" s="138"/>
    </row>
    <row r="108" spans="1:35" ht="18.75" customHeight="1">
      <c r="A108" s="138"/>
      <c r="B108" s="138"/>
      <c r="C108" s="138"/>
      <c r="D108" s="138"/>
      <c r="E108" s="3090"/>
      <c r="F108" s="3091"/>
      <c r="G108" s="2520" t="s">
        <v>2300</v>
      </c>
      <c r="H108" s="371" t="e">
        <f ca="1">ROUND(H107*10000/'数据-汇总表'!E3,0)</f>
        <v>#REF!</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20" t="s">
        <v>2298</v>
      </c>
      <c r="H109" s="348" t="str">
        <f>IF(E109="——","——",H101-H105-H106)</f>
        <v>——</v>
      </c>
      <c r="I109" s="138"/>
    </row>
    <row r="110" spans="1:35" ht="18.75" customHeight="1">
      <c r="A110" s="138"/>
      <c r="B110" s="138"/>
      <c r="C110" s="138"/>
      <c r="D110" s="138"/>
      <c r="E110" s="3090"/>
      <c r="F110" s="3091"/>
      <c r="G110" s="2520" t="s">
        <v>2300</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0" t="s">
        <v>2298</v>
      </c>
      <c r="H111" s="1045" t="str">
        <f>IF(E111="——","——",N59)</f>
        <v>——</v>
      </c>
      <c r="I111" s="138"/>
    </row>
    <row r="112" spans="1:35" ht="18.75" customHeight="1" thickBot="1">
      <c r="A112" s="138"/>
      <c r="B112" s="138"/>
      <c r="C112" s="138"/>
      <c r="D112" s="138"/>
      <c r="E112" s="3127"/>
      <c r="F112" s="3128"/>
      <c r="G112" s="2525" t="s">
        <v>2300</v>
      </c>
      <c r="H112" s="790" t="str">
        <f>IF(E111="——","——",N61)</f>
        <v>——</v>
      </c>
      <c r="I112" s="138"/>
    </row>
    <row r="113" spans="1:11" ht="18.75" customHeight="1">
      <c r="A113" s="138"/>
      <c r="B113" s="138"/>
      <c r="C113" s="138"/>
      <c r="D113" s="138"/>
      <c r="E113" s="3095" t="s">
        <v>2306</v>
      </c>
      <c r="F113" s="3095"/>
      <c r="G113" s="3095"/>
      <c r="H113" s="3095"/>
      <c r="I113" s="138"/>
    </row>
    <row r="114" spans="1:11" ht="3.75" customHeight="1">
      <c r="A114" s="2418"/>
      <c r="B114" s="2418"/>
      <c r="C114" s="2418"/>
      <c r="D114" s="2418"/>
      <c r="E114" s="2496"/>
      <c r="F114" s="2496"/>
      <c r="G114" s="2496"/>
      <c r="H114" s="2496"/>
      <c r="I114" s="2418"/>
    </row>
    <row r="115" spans="1:11" ht="18.75" customHeight="1">
      <c r="A115" s="3108" t="s">
        <v>2308</v>
      </c>
      <c r="B115" s="3109"/>
      <c r="C115" s="3109"/>
      <c r="D115" s="3109"/>
      <c r="E115" s="3109"/>
      <c r="F115" s="3109"/>
      <c r="G115" s="3109"/>
      <c r="H115" s="3109"/>
      <c r="I115" s="3110"/>
    </row>
    <row r="116" spans="1:11" ht="27" customHeight="1">
      <c r="A116" s="3001" t="s">
        <v>2309</v>
      </c>
      <c r="B116" s="3096" t="s">
        <v>2310</v>
      </c>
      <c r="C116" s="3096" t="s">
        <v>2311</v>
      </c>
      <c r="D116" s="3112" t="s">
        <v>2312</v>
      </c>
      <c r="E116" s="3113"/>
      <c r="F116" s="3104" t="s">
        <v>2313</v>
      </c>
      <c r="G116" s="3104"/>
      <c r="H116" s="3001" t="s">
        <v>2314</v>
      </c>
      <c r="I116" s="3001"/>
    </row>
    <row r="117" spans="1:11" ht="18.75" customHeight="1">
      <c r="A117" s="3001"/>
      <c r="B117" s="3097"/>
      <c r="C117" s="3097"/>
      <c r="D117" s="1795" t="s">
        <v>2315</v>
      </c>
      <c r="E117" s="1795" t="s">
        <v>2316</v>
      </c>
      <c r="F117" s="1795" t="s">
        <v>2315</v>
      </c>
      <c r="G117" s="1795" t="s">
        <v>2317</v>
      </c>
      <c r="H117" s="1795" t="s">
        <v>2315</v>
      </c>
      <c r="I117" s="1795" t="s">
        <v>2317</v>
      </c>
    </row>
    <row r="118" spans="1:11" ht="24.75" customHeight="1">
      <c r="A118" s="2526" t="str">
        <f>项目基本情况!S2</f>
        <v>北京市东城区东直门南大街14号出让国有建设用地使用权及在建建筑物房地产</v>
      </c>
      <c r="B118" s="1795">
        <f>M18</f>
        <v>94649.49000000002</v>
      </c>
      <c r="C118" s="1795">
        <f>M19</f>
        <v>18463.54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001" t="s">
        <v>2318</v>
      </c>
      <c r="B119" s="3001"/>
      <c r="C119" s="3001"/>
      <c r="D119" s="3101" t="e">
        <f ca="1">NUMBERSTRING(INT(D118*10000),2)&amp;"元整"</f>
        <v>#REF!</v>
      </c>
      <c r="E119" s="3103"/>
      <c r="F119" s="3101" t="e">
        <f ca="1">NUMBERSTRING(INT(F118*10000),2)&amp;"元整"</f>
        <v>#REF!</v>
      </c>
      <c r="G119" s="3103"/>
      <c r="H119" s="3101" t="e">
        <f ca="1">NUMBERSTRING(INT(H118*10000),2)&amp;"元整"</f>
        <v>#REF!</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3" t="str">
        <f>IF(D120=0,"故，本次评估不存在"&amp;A120,"故，本次评估"&amp;A120&amp;"为人民币"&amp;D120&amp;"万元整。")</f>
        <v>故，本次评估不存在估价师知悉的法定优先受偿款</v>
      </c>
    </row>
    <row r="121" spans="1:11" ht="18.75" customHeight="1">
      <c r="A121" s="3105" t="s">
        <v>2318</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t="e">
        <f ca="1">H107</f>
        <v>#REF!</v>
      </c>
      <c r="E122" s="3130"/>
      <c r="F122" s="3130"/>
      <c r="G122" s="3130"/>
      <c r="H122" s="3130"/>
      <c r="I122" s="3131"/>
    </row>
    <row r="123" spans="1:11" ht="18.75" customHeight="1">
      <c r="A123" s="3001" t="s">
        <v>2318</v>
      </c>
      <c r="B123" s="3001"/>
      <c r="C123" s="3001"/>
      <c r="D123" s="3101" t="e">
        <f ca="1">NUMBERSTRING(INT(D122*10000),2)&amp;"元整"</f>
        <v>#REF!</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2318</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1" t="s">
        <v>2318</v>
      </c>
      <c r="B127" s="3001"/>
      <c r="C127" s="3001"/>
      <c r="D127" s="3101" t="e">
        <f>NUMBERSTRING(INT(D126*10000),2)&amp;"元整"</f>
        <v>#VALUE!</v>
      </c>
      <c r="E127" s="3102"/>
      <c r="F127" s="3102"/>
      <c r="G127" s="3102"/>
      <c r="H127" s="3102"/>
      <c r="I127" s="3103"/>
    </row>
    <row r="128" spans="1:11" ht="21.75" customHeight="1">
      <c r="A128" s="3111" t="s">
        <v>2319</v>
      </c>
      <c r="B128" s="3111"/>
      <c r="C128" s="3111"/>
      <c r="D128" s="3111"/>
      <c r="E128" s="3111"/>
      <c r="F128" s="3111"/>
      <c r="G128" s="3111"/>
      <c r="H128" s="3111"/>
      <c r="I128" s="3111"/>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7" t="str">
        <f>项目基本情况!B1</f>
        <v>北京市东城区东直门南大街14号出让国有建设用地使用权及在建建筑物预评估</v>
      </c>
      <c r="C37" s="2957"/>
      <c r="D37" s="2957"/>
      <c r="E37" s="2957"/>
      <c r="F37" s="2957"/>
      <c r="G37" s="2957"/>
      <c r="H37" s="2957"/>
      <c r="I37" s="2957"/>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t="s">
        <v>3214</v>
      </c>
      <c r="C1" s="242"/>
      <c r="D1" s="242"/>
      <c r="E1" s="242"/>
      <c r="F1" s="242"/>
      <c r="G1" s="1379">
        <f>MATCH(B1,'数据-取费表'!A6:A16,0)+5</f>
        <v>9</v>
      </c>
    </row>
    <row r="2" spans="1:9" s="244" customFormat="1" ht="18" customHeight="1">
      <c r="A2" s="245" t="s">
        <v>1389</v>
      </c>
      <c r="B2" s="246">
        <f ca="1">IF(D2="——",C52,C52-E2)</f>
        <v>158524</v>
      </c>
      <c r="C2" s="243" t="s">
        <v>2329</v>
      </c>
      <c r="D2" s="2549" t="s">
        <v>70</v>
      </c>
      <c r="E2" s="1440" t="e">
        <f ca="1">SUMIF(INDIRECT("'"&amp;G2&amp;"'"&amp;"!A:A"),"承租人权益价值",INDIRECT("'"&amp;G2&amp;"'"&amp;"!c:c"))</f>
        <v>#REF!</v>
      </c>
      <c r="F2" s="2550" t="s">
        <v>2329</v>
      </c>
      <c r="G2" s="2551"/>
    </row>
    <row r="3" spans="1:9" s="244" customFormat="1" ht="18" customHeight="1" thickBot="1">
      <c r="A3" s="247" t="s">
        <v>1390</v>
      </c>
      <c r="B3" s="248">
        <f ca="1">ROUND(B2*10000/(IF(B1="",'数据-汇总表'!E3,INDIRECT("'数据-取费表'!k"&amp;$G$1))),0)</f>
        <v>61740</v>
      </c>
      <c r="C3" s="243" t="s">
        <v>2331</v>
      </c>
      <c r="D3" s="243"/>
      <c r="E3" s="243"/>
      <c r="F3" s="243"/>
      <c r="G3" s="243"/>
    </row>
    <row r="4" spans="1:9" s="252" customFormat="1" ht="16.2">
      <c r="A4" s="249" t="s">
        <v>2332</v>
      </c>
      <c r="B4" s="250"/>
      <c r="C4" s="250"/>
      <c r="D4" s="250"/>
      <c r="E4" s="250"/>
      <c r="F4" s="250"/>
      <c r="G4" s="251"/>
    </row>
    <row r="5" spans="1:9" s="258" customFormat="1" ht="13.5" customHeight="1">
      <c r="A5" s="299" t="s">
        <v>782</v>
      </c>
      <c r="B5" s="254" t="s">
        <v>2334</v>
      </c>
      <c r="C5" s="255">
        <f ca="1">C6+C7+C8</f>
        <v>95194</v>
      </c>
      <c r="D5" s="255" t="s">
        <v>2335</v>
      </c>
      <c r="E5" s="256" t="s">
        <v>2336</v>
      </c>
      <c r="F5" s="256" t="s">
        <v>2337</v>
      </c>
      <c r="G5" s="257"/>
    </row>
    <row r="6" spans="1:9" s="258" customFormat="1" ht="13.5" customHeight="1">
      <c r="A6" s="949" t="s">
        <v>791</v>
      </c>
      <c r="B6" s="259" t="s">
        <v>2339</v>
      </c>
      <c r="C6" s="260">
        <f ca="1">ROUND(基准地价修正!C29*'数据-汇总表'!F22/10000,0)</f>
        <v>92377</v>
      </c>
      <c r="D6" s="261"/>
      <c r="E6" s="262"/>
      <c r="F6" s="262"/>
      <c r="G6" s="263"/>
    </row>
    <row r="7" spans="1:9" s="258" customFormat="1" ht="13.5" customHeight="1">
      <c r="A7" s="949" t="s">
        <v>792</v>
      </c>
      <c r="B7" s="259" t="s">
        <v>2341</v>
      </c>
      <c r="C7" s="264">
        <f ca="1">ROUND(C6*F7,0)</f>
        <v>2817</v>
      </c>
      <c r="D7" s="264"/>
      <c r="E7" s="262"/>
      <c r="F7" s="265">
        <f>IF(项目基本情况!B8="出让",0,'数据-取费表'!B48+'数据-取费表'!B49)</f>
        <v>3.0499999999999999E-2</v>
      </c>
      <c r="G7" s="263"/>
    </row>
    <row r="8" spans="1:9" s="267" customFormat="1">
      <c r="A8" s="949" t="s">
        <v>793</v>
      </c>
      <c r="B8" s="259" t="s">
        <v>2343</v>
      </c>
      <c r="C8" s="264" t="str">
        <f>IF(G8="已包含在土地购买价格中","0",IF(B1="",'数据-取费表'!B29,IF(G9="全部缴纳",C9+C10,H9)))</f>
        <v>0</v>
      </c>
      <c r="D8" s="266"/>
      <c r="E8" s="264"/>
      <c r="F8" s="265"/>
      <c r="G8" s="2552" t="s">
        <v>1145</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160</v>
      </c>
      <c r="F9" s="265"/>
      <c r="G9" s="2553" t="s">
        <v>3077</v>
      </c>
      <c r="H9" s="1390"/>
      <c r="I9" s="2554" t="s">
        <v>2345</v>
      </c>
    </row>
    <row r="10" spans="1:9" s="258" customFormat="1" ht="13.5" customHeight="1">
      <c r="A10" s="950" t="s">
        <v>801</v>
      </c>
      <c r="B10" s="268" t="s">
        <v>2346</v>
      </c>
      <c r="C10" s="269">
        <f ca="1">ROUND(D10*E10/10000,0)</f>
        <v>744</v>
      </c>
      <c r="D10" s="1032">
        <f ca="1">IF(B1="",'数据-汇总表'!E6,IF(INDIRECT("'数据-取费表'!c"&amp;$G$1)="住宅",INDIRECT("'数据-取费表'!s"&amp;$G$1),INDIRECT("'数据-取费表'!k"&amp;$G$1)+INDIRECT("'数据-取费表'!s"&amp;$G$1)))</f>
        <v>37185.07</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2343</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37185.07</v>
      </c>
      <c r="E19" s="255">
        <f>'数据-取费表'!B31</f>
        <v>200</v>
      </c>
      <c r="F19" s="275"/>
      <c r="G19" s="2552" t="s">
        <v>3078</v>
      </c>
    </row>
    <row r="20" spans="1:7" s="258" customFormat="1" ht="13.5" customHeight="1">
      <c r="A20" s="299" t="s">
        <v>2359</v>
      </c>
      <c r="B20" s="254" t="s">
        <v>2360</v>
      </c>
      <c r="C20" s="276">
        <f ca="1">ROUND((C5+C19)*F20,0)</f>
        <v>1904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14357</v>
      </c>
      <c r="D22" s="279">
        <f ca="1">C26</f>
        <v>1.4E-3</v>
      </c>
      <c r="E22" s="280" t="s">
        <v>2364</v>
      </c>
      <c r="F22" s="281">
        <f ca="1">'数据-取费表'!B40</f>
        <v>4.7500000000000001E-2</v>
      </c>
      <c r="G22" s="278" t="str">
        <f>IF('数据-取费表'!B22&lt;=1,"单利计息","复利计息")</f>
        <v>复利计息</v>
      </c>
    </row>
    <row r="23" spans="1:7" s="258" customFormat="1" ht="13.5" customHeight="1">
      <c r="A23" s="951" t="s">
        <v>791</v>
      </c>
      <c r="B23" s="259" t="s">
        <v>2369</v>
      </c>
      <c r="C23" s="1355">
        <f ca="1">ROUND(IF('数据-取费表'!B22&lt;=1,C5*F22*'数据-取费表'!B23,C5*(POWER((1+F22),'数据-取费表'!B23)-1)),0)</f>
        <v>14220</v>
      </c>
      <c r="D23" s="282"/>
      <c r="E23" s="282"/>
      <c r="F23" s="283"/>
      <c r="G23" s="284" t="s">
        <v>2370</v>
      </c>
    </row>
    <row r="24" spans="1:7" s="258" customFormat="1" ht="13.5" customHeight="1">
      <c r="A24" s="951" t="s">
        <v>792</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793</v>
      </c>
      <c r="B25" s="259" t="s">
        <v>2375</v>
      </c>
      <c r="C25" s="1355">
        <f ca="1">ROUND(IF('数据-取费表'!B22&lt;=1,C20*F22*'数据-取费表'!B23/2,C20*(POWER((1+F22),'数据-取费表'!B23/2)-1)),0)</f>
        <v>137</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6.4">
      <c r="A27" s="299" t="s">
        <v>2378</v>
      </c>
      <c r="B27" s="288" t="s">
        <v>2379</v>
      </c>
      <c r="C27" s="289">
        <f ca="1">C28</f>
        <v>14565</v>
      </c>
      <c r="D27" s="279">
        <f ca="1">C29</f>
        <v>3.0000000000000001E-3</v>
      </c>
      <c r="E27" s="280" t="s">
        <v>2364</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14565</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2364</v>
      </c>
      <c r="E30" s="285"/>
      <c r="F30" s="281">
        <f>'数据-取费表'!B41</f>
        <v>5.6000000000000001E-2</v>
      </c>
      <c r="G30" s="278" t="s">
        <v>2386</v>
      </c>
    </row>
    <row r="31" spans="1:7" ht="16.5" customHeight="1">
      <c r="A31" s="253">
        <v>1</v>
      </c>
      <c r="B31" s="254" t="s">
        <v>2387</v>
      </c>
      <c r="C31" s="255">
        <f ca="1">ROUND((C5+C19+C20+C22+C27)/(1-C21-D22-D27-C30),0)</f>
        <v>136637</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23134</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21426</v>
      </c>
      <c r="D34" s="261"/>
      <c r="E34" s="264"/>
      <c r="F34" s="301">
        <f ca="1">IF('数据-取费表'!B24=0,1,IF(B1="",'数据-取费表'!N16,INDIRECT("'数据-取费表'!n"&amp;$G$1)))</f>
        <v>1</v>
      </c>
      <c r="G34" s="263" t="s">
        <v>2392</v>
      </c>
    </row>
    <row r="35" spans="1:7" ht="13.5" customHeight="1">
      <c r="A35" s="951" t="s">
        <v>796</v>
      </c>
      <c r="B35" s="259" t="s">
        <v>2393</v>
      </c>
      <c r="C35" s="264">
        <f ca="1">ROUND(C34*F35,0)</f>
        <v>643</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744</v>
      </c>
      <c r="D37" s="261">
        <f ca="1">D19</f>
        <v>37185.07</v>
      </c>
      <c r="E37" s="293">
        <f>'数据-取费表'!B35</f>
        <v>200</v>
      </c>
      <c r="F37" s="303"/>
      <c r="G37" s="305" t="s">
        <v>2398</v>
      </c>
    </row>
    <row r="38" spans="1:7" ht="13.5" customHeight="1">
      <c r="A38" s="951" t="s">
        <v>799</v>
      </c>
      <c r="B38" s="259" t="s">
        <v>2399</v>
      </c>
      <c r="C38" s="264">
        <f ca="1">ROUND(C34*F38,0)</f>
        <v>321</v>
      </c>
      <c r="D38" s="264"/>
      <c r="E38" s="264"/>
      <c r="F38" s="303">
        <f>'数据-取费表'!B36</f>
        <v>1.4999999999999999E-2</v>
      </c>
      <c r="G38" s="263" t="s">
        <v>2394</v>
      </c>
    </row>
    <row r="39" spans="1:7" s="258" customFormat="1" ht="13.5" customHeight="1">
      <c r="A39" s="299" t="s">
        <v>2357</v>
      </c>
      <c r="B39" s="254" t="s">
        <v>2360</v>
      </c>
      <c r="C39" s="276">
        <f ca="1">ROUND(C33*F20,0)</f>
        <v>463</v>
      </c>
      <c r="D39" s="276"/>
      <c r="E39" s="276"/>
      <c r="F39" s="277"/>
      <c r="G39" s="278" t="s">
        <v>2402</v>
      </c>
    </row>
    <row r="40" spans="1:7" s="258" customFormat="1" ht="13.5" customHeight="1">
      <c r="A40" s="299" t="s">
        <v>2359</v>
      </c>
      <c r="B40" s="254" t="s">
        <v>2363</v>
      </c>
      <c r="C40" s="1728">
        <f>F21</f>
        <v>0.02</v>
      </c>
      <c r="D40" s="280" t="s">
        <v>2405</v>
      </c>
      <c r="E40" s="276"/>
      <c r="F40" s="277"/>
      <c r="G40" s="278" t="s">
        <v>2406</v>
      </c>
    </row>
    <row r="41" spans="1:7" s="258" customFormat="1" ht="13.5" customHeight="1">
      <c r="A41" s="299" t="s">
        <v>2362</v>
      </c>
      <c r="B41" s="254" t="s">
        <v>2367</v>
      </c>
      <c r="C41" s="276">
        <f ca="1">ROUND(SUM(C42:C43),0)</f>
        <v>1701</v>
      </c>
      <c r="D41" s="279">
        <f ca="1">C44</f>
        <v>1.4E-3</v>
      </c>
      <c r="E41" s="280" t="s">
        <v>2405</v>
      </c>
      <c r="F41" s="281"/>
      <c r="G41" s="278" t="str">
        <f>IF('数据-取费表'!B22&lt;=1,"单利计息","复利计息")</f>
        <v>复利计息</v>
      </c>
    </row>
    <row r="42" spans="1:7" ht="13.5" customHeight="1">
      <c r="A42" s="951" t="s">
        <v>791</v>
      </c>
      <c r="B42" s="259" t="s">
        <v>2369</v>
      </c>
      <c r="C42" s="282">
        <f ca="1">ROUND(IF('数据-取费表'!B22&lt;=1,C33*F22*'数据-取费表'!B21/2,C33*(POWER((1+F22),'数据-取费表'!B21/2)-1)),0)</f>
        <v>1668</v>
      </c>
      <c r="D42" s="282"/>
      <c r="E42" s="282"/>
      <c r="F42" s="283"/>
      <c r="G42" s="3143" t="s">
        <v>2410</v>
      </c>
    </row>
    <row r="43" spans="1:7" ht="13.5" customHeight="1">
      <c r="A43" s="951" t="s">
        <v>792</v>
      </c>
      <c r="B43" s="259" t="s">
        <v>2372</v>
      </c>
      <c r="C43" s="282">
        <f ca="1">ROUND(IF('数据-取费表'!B22&lt;=1,C39*F22*'数据-取费表'!B21/2,C39*(POWER((1+F22),'数据-取费表'!B21/2)-1)),0)</f>
        <v>33</v>
      </c>
      <c r="D43" s="282"/>
      <c r="E43" s="282"/>
      <c r="F43" s="283"/>
      <c r="G43" s="3144"/>
    </row>
    <row r="44" spans="1:7" ht="13.5" customHeight="1">
      <c r="A44" s="951" t="s">
        <v>793</v>
      </c>
      <c r="B44" s="259" t="s">
        <v>2375</v>
      </c>
      <c r="C44" s="282">
        <f ca="1">ROUND(IF('数据-取费表'!B22&lt;=1,C40*F22*'数据-取费表'!B21/2,C40*(POWER((1+F22),'数据-取费表'!B21/2)-1)),4)</f>
        <v>1.4E-3</v>
      </c>
      <c r="D44" s="282"/>
      <c r="E44" s="282"/>
      <c r="F44" s="283"/>
      <c r="G44" s="3145"/>
    </row>
    <row r="45" spans="1:7" s="258" customFormat="1" ht="13.5" customHeight="1">
      <c r="A45" s="299" t="s">
        <v>2366</v>
      </c>
      <c r="B45" s="288" t="s">
        <v>2379</v>
      </c>
      <c r="C45" s="289">
        <f ca="1">C46</f>
        <v>3540</v>
      </c>
      <c r="D45" s="279">
        <f ca="1">C47</f>
        <v>3.0000000000000001E-3</v>
      </c>
      <c r="E45" s="280" t="s">
        <v>2405</v>
      </c>
      <c r="F45" s="290"/>
      <c r="G45" s="291" t="s">
        <v>2414</v>
      </c>
    </row>
    <row r="46" spans="1:7" s="258" customFormat="1" ht="13.5" customHeight="1">
      <c r="A46" s="951" t="s">
        <v>791</v>
      </c>
      <c r="B46" s="292" t="s">
        <v>2415</v>
      </c>
      <c r="C46" s="293">
        <f ca="1">ROUND((C33+C39)*F27,0)</f>
        <v>3540</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31267</v>
      </c>
      <c r="D49" s="276"/>
      <c r="E49" s="276"/>
      <c r="F49" s="308"/>
      <c r="G49" s="278" t="s">
        <v>2420</v>
      </c>
    </row>
    <row r="50" spans="1:7" s="302" customFormat="1" ht="24">
      <c r="A50" s="299" t="s">
        <v>2421</v>
      </c>
      <c r="B50" s="254" t="s">
        <v>2422</v>
      </c>
      <c r="C50" s="276"/>
      <c r="D50" s="276"/>
      <c r="E50" s="276"/>
      <c r="F50" s="308">
        <f>IF('数据-取费表'!B24=0,'数据-取费表'!N16,1)</f>
        <v>0.7</v>
      </c>
      <c r="G50" s="291" t="s">
        <v>2423</v>
      </c>
    </row>
    <row r="51" spans="1:7" ht="16.5" customHeight="1">
      <c r="A51" s="299" t="s">
        <v>2424</v>
      </c>
      <c r="B51" s="254" t="s">
        <v>2425</v>
      </c>
      <c r="C51" s="276">
        <f ca="1">ROUND(C49*F50,0)</f>
        <v>21887</v>
      </c>
      <c r="D51" s="276"/>
      <c r="E51" s="276"/>
      <c r="F51" s="308"/>
      <c r="G51" s="278" t="s">
        <v>2426</v>
      </c>
    </row>
    <row r="52" spans="1:7" s="252" customFormat="1" ht="16.8" thickBot="1">
      <c r="A52" s="309" t="s">
        <v>2427</v>
      </c>
      <c r="B52" s="310"/>
      <c r="C52" s="311">
        <f ca="1">C31+C51</f>
        <v>158524</v>
      </c>
      <c r="D52" s="310"/>
      <c r="E52" s="310"/>
      <c r="F52" s="310"/>
      <c r="G52" s="312"/>
    </row>
    <row r="55" spans="1:7" ht="15">
      <c r="B55" s="314" t="s">
        <v>2428</v>
      </c>
      <c r="C55" s="315"/>
    </row>
    <row r="56" spans="1:7">
      <c r="B56" s="317" t="s">
        <v>1508</v>
      </c>
      <c r="C56" s="319">
        <f ca="1">1-C57</f>
        <v>0.86199999999999999</v>
      </c>
    </row>
    <row r="57" spans="1:7">
      <c r="B57" s="317" t="s">
        <v>1509</v>
      </c>
      <c r="C57" s="318">
        <f ca="1">ROUND(C51/C52,3)</f>
        <v>0.13800000000000001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t="s">
        <v>3211</v>
      </c>
      <c r="C1" s="242"/>
      <c r="D1" s="242"/>
      <c r="E1" s="242"/>
      <c r="F1" s="242"/>
      <c r="G1" s="1379">
        <f>MATCH(B1,'数据-取费表'!A6:A16,0)+5</f>
        <v>7</v>
      </c>
    </row>
    <row r="2" spans="1:9" s="244" customFormat="1" ht="18" customHeight="1">
      <c r="A2" s="245" t="s">
        <v>2328</v>
      </c>
      <c r="B2" s="246">
        <f ca="1">IF(D2="——",C52,C52-E2)</f>
        <v>44605</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63716</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25955</v>
      </c>
      <c r="D5" s="255" t="s">
        <v>2335</v>
      </c>
      <c r="E5" s="256" t="s">
        <v>2336</v>
      </c>
      <c r="F5" s="256" t="s">
        <v>2337</v>
      </c>
      <c r="G5" s="257"/>
    </row>
    <row r="6" spans="1:9" s="258" customFormat="1" ht="13.5" customHeight="1">
      <c r="A6" s="949" t="s">
        <v>2338</v>
      </c>
      <c r="B6" s="259" t="s">
        <v>2339</v>
      </c>
      <c r="C6" s="260">
        <f ca="1">ROUND(基准地价修正!C29*'数据-汇总表'!F20/10000,0)</f>
        <v>25187</v>
      </c>
      <c r="D6" s="261"/>
      <c r="E6" s="262"/>
      <c r="F6" s="262"/>
      <c r="G6" s="263"/>
    </row>
    <row r="7" spans="1:9" s="258" customFormat="1" ht="13.5" customHeight="1">
      <c r="A7" s="949" t="s">
        <v>2340</v>
      </c>
      <c r="B7" s="259" t="s">
        <v>2341</v>
      </c>
      <c r="C7" s="264">
        <f ca="1">ROUND(C6*F7,0)</f>
        <v>768</v>
      </c>
      <c r="D7" s="264"/>
      <c r="E7" s="262"/>
      <c r="F7" s="265">
        <f>IF(项目基本情况!B8="出让",0,'数据-取费表'!B48+'数据-取费表'!B49)</f>
        <v>3.0499999999999999E-2</v>
      </c>
      <c r="G7" s="263"/>
    </row>
    <row r="8" spans="1:9" s="267" customFormat="1">
      <c r="A8" s="949" t="s">
        <v>2342</v>
      </c>
      <c r="B8" s="259" t="s">
        <v>2343</v>
      </c>
      <c r="C8" s="264" t="str">
        <f>IF(G8="已包含在土地购买价格中","0",IF(B1="",'数据-取费表'!B29,IF(G9="全部缴纳",C9+C10,H9)))</f>
        <v>0</v>
      </c>
      <c r="D8" s="266"/>
      <c r="E8" s="264"/>
      <c r="F8" s="265"/>
      <c r="G8" s="2552" t="s">
        <v>1145</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160</v>
      </c>
      <c r="F9" s="265"/>
      <c r="G9" s="2553" t="s">
        <v>3077</v>
      </c>
      <c r="H9" s="1390"/>
      <c r="I9" s="2554" t="s">
        <v>2345</v>
      </c>
    </row>
    <row r="10" spans="1:9" s="258" customFormat="1" ht="13.5" customHeight="1">
      <c r="A10" s="950" t="s">
        <v>801</v>
      </c>
      <c r="B10" s="268" t="s">
        <v>2346</v>
      </c>
      <c r="C10" s="269">
        <f ca="1">ROUND(D10*E10/10000,0)</f>
        <v>203</v>
      </c>
      <c r="D10" s="1032">
        <f ca="1">IF(B1="",'数据-汇总表'!E6,IF(INDIRECT("'数据-取费表'!c"&amp;$G$1)="住宅",INDIRECT("'数据-取费表'!s"&amp;$G$1),INDIRECT("'数据-取费表'!k"&amp;$G$1)+INDIRECT("'数据-取费表'!s"&amp;$G$1)))</f>
        <v>10138.51000000002</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10138.51000000002</v>
      </c>
      <c r="E19" s="255">
        <f>'数据-取费表'!B31</f>
        <v>200</v>
      </c>
      <c r="F19" s="275"/>
      <c r="G19" s="2552" t="s">
        <v>3078</v>
      </c>
    </row>
    <row r="20" spans="1:7" s="258" customFormat="1" ht="13.5" customHeight="1">
      <c r="A20" s="299" t="s">
        <v>2359</v>
      </c>
      <c r="B20" s="254" t="s">
        <v>2360</v>
      </c>
      <c r="C20" s="276">
        <f ca="1">ROUND((C5+C19)*F20,0)</f>
        <v>519</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3914</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3877</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37</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6.4">
      <c r="A27" s="299" t="s">
        <v>2378</v>
      </c>
      <c r="B27" s="288" t="s">
        <v>2379</v>
      </c>
      <c r="C27" s="289">
        <f ca="1">C28</f>
        <v>3971</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3971</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37254</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7771</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7242</v>
      </c>
      <c r="D34" s="261"/>
      <c r="E34" s="264"/>
      <c r="F34" s="301">
        <f ca="1">IF('数据-取费表'!B24=0,1,IF(B1="",'数据-取费表'!N16,INDIRECT("'数据-取费表'!n"&amp;$G$1)))</f>
        <v>1</v>
      </c>
      <c r="G34" s="263" t="s">
        <v>2392</v>
      </c>
    </row>
    <row r="35" spans="1:7" ht="13.5" customHeight="1">
      <c r="A35" s="951" t="s">
        <v>796</v>
      </c>
      <c r="B35" s="259" t="s">
        <v>2393</v>
      </c>
      <c r="C35" s="264">
        <f ca="1">ROUND(C34*F35,0)</f>
        <v>217</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203</v>
      </c>
      <c r="D37" s="261">
        <f ca="1">D19</f>
        <v>10138.51000000002</v>
      </c>
      <c r="E37" s="293">
        <f>'数据-取费表'!B35</f>
        <v>200</v>
      </c>
      <c r="F37" s="303"/>
      <c r="G37" s="305" t="s">
        <v>2398</v>
      </c>
    </row>
    <row r="38" spans="1:7" ht="13.5" customHeight="1">
      <c r="A38" s="951" t="s">
        <v>799</v>
      </c>
      <c r="B38" s="259" t="s">
        <v>2399</v>
      </c>
      <c r="C38" s="264">
        <f ca="1">ROUND(C34*F38,0)</f>
        <v>109</v>
      </c>
      <c r="D38" s="264"/>
      <c r="E38" s="264"/>
      <c r="F38" s="303">
        <f>'数据-取费表'!B36</f>
        <v>1.4999999999999999E-2</v>
      </c>
      <c r="G38" s="263" t="s">
        <v>2394</v>
      </c>
    </row>
    <row r="39" spans="1:7" s="258" customFormat="1" ht="13.5" customHeight="1">
      <c r="A39" s="299" t="s">
        <v>2400</v>
      </c>
      <c r="B39" s="254" t="s">
        <v>2401</v>
      </c>
      <c r="C39" s="276">
        <f ca="1">ROUND(C33*F20,0)</f>
        <v>155</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571</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560</v>
      </c>
      <c r="D42" s="282"/>
      <c r="E42" s="282"/>
      <c r="F42" s="283"/>
      <c r="G42" s="3143" t="s">
        <v>2410</v>
      </c>
    </row>
    <row r="43" spans="1:7" ht="13.5" customHeight="1">
      <c r="A43" s="951" t="s">
        <v>792</v>
      </c>
      <c r="B43" s="259" t="s">
        <v>2411</v>
      </c>
      <c r="C43" s="282">
        <f ca="1">ROUND(IF('数据-取费表'!B22&lt;=1,C39*F22*'数据-取费表'!B21/2,C39*(POWER((1+F22),'数据-取费表'!B21/2)-1)),0)</f>
        <v>11</v>
      </c>
      <c r="D43" s="282"/>
      <c r="E43" s="282"/>
      <c r="F43" s="283"/>
      <c r="G43" s="3144"/>
    </row>
    <row r="44" spans="1:7" ht="13.5" customHeight="1">
      <c r="A44" s="951" t="s">
        <v>793</v>
      </c>
      <c r="B44" s="259" t="s">
        <v>2412</v>
      </c>
      <c r="C44" s="282">
        <f ca="1">ROUND(IF('数据-取费表'!B22&lt;=1,C40*F22*'数据-取费表'!B21/2,C40*(POWER((1+F22),'数据-取费表'!B21/2)-1)),4)</f>
        <v>1.4E-3</v>
      </c>
      <c r="D44" s="282"/>
      <c r="E44" s="282"/>
      <c r="F44" s="283"/>
      <c r="G44" s="3145"/>
    </row>
    <row r="45" spans="1:7" s="258" customFormat="1" ht="13.5" customHeight="1">
      <c r="A45" s="299" t="s">
        <v>2413</v>
      </c>
      <c r="B45" s="288" t="s">
        <v>2379</v>
      </c>
      <c r="C45" s="289">
        <f ca="1">C46</f>
        <v>1189</v>
      </c>
      <c r="D45" s="279">
        <f ca="1">C47</f>
        <v>3.0000000000000001E-3</v>
      </c>
      <c r="E45" s="280" t="s">
        <v>2405</v>
      </c>
      <c r="F45" s="290"/>
      <c r="G45" s="291" t="s">
        <v>2414</v>
      </c>
    </row>
    <row r="46" spans="1:7" s="258" customFormat="1" ht="13.5" customHeight="1">
      <c r="A46" s="951" t="s">
        <v>791</v>
      </c>
      <c r="B46" s="292" t="s">
        <v>2415</v>
      </c>
      <c r="C46" s="293">
        <f ca="1">ROUND((C33+C39)*F27,0)</f>
        <v>1189</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10502</v>
      </c>
      <c r="D49" s="276"/>
      <c r="E49" s="276"/>
      <c r="F49" s="308"/>
      <c r="G49" s="278" t="s">
        <v>2420</v>
      </c>
    </row>
    <row r="50" spans="1:7" s="302" customFormat="1" ht="24">
      <c r="A50" s="299" t="s">
        <v>2421</v>
      </c>
      <c r="B50" s="254" t="s">
        <v>2422</v>
      </c>
      <c r="C50" s="276"/>
      <c r="D50" s="276"/>
      <c r="E50" s="276"/>
      <c r="F50" s="308">
        <f>IF('数据-取费表'!B24=0,'数据-取费表'!N16,1)</f>
        <v>0.7</v>
      </c>
      <c r="G50" s="291" t="s">
        <v>2423</v>
      </c>
    </row>
    <row r="51" spans="1:7" ht="16.5" customHeight="1">
      <c r="A51" s="299" t="s">
        <v>2424</v>
      </c>
      <c r="B51" s="254" t="s">
        <v>2425</v>
      </c>
      <c r="C51" s="276">
        <f ca="1">ROUND(C49*F50,0)</f>
        <v>7351</v>
      </c>
      <c r="D51" s="276"/>
      <c r="E51" s="276"/>
      <c r="F51" s="308"/>
      <c r="G51" s="278" t="s">
        <v>2426</v>
      </c>
    </row>
    <row r="52" spans="1:7" s="252" customFormat="1" ht="16.8" thickBot="1">
      <c r="A52" s="309" t="s">
        <v>2427</v>
      </c>
      <c r="B52" s="310"/>
      <c r="C52" s="311">
        <f ca="1">C31+C51</f>
        <v>44605</v>
      </c>
      <c r="D52" s="310"/>
      <c r="E52" s="310"/>
      <c r="F52" s="310"/>
      <c r="G52" s="312"/>
    </row>
    <row r="55" spans="1:7" ht="15">
      <c r="B55" s="314" t="s">
        <v>2428</v>
      </c>
      <c r="C55" s="315"/>
    </row>
    <row r="56" spans="1:7">
      <c r="B56" s="317" t="s">
        <v>1508</v>
      </c>
      <c r="C56" s="319">
        <f ca="1">1-C57</f>
        <v>0.83499999999999996</v>
      </c>
    </row>
    <row r="57" spans="1:7">
      <c r="B57" s="317" t="s">
        <v>1509</v>
      </c>
      <c r="C57" s="318">
        <f ca="1">ROUND(C51/C52,3)</f>
        <v>0.16500000000000001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5" t="s">
        <v>2429</v>
      </c>
      <c r="D1" s="242"/>
      <c r="E1" s="242"/>
      <c r="F1" s="242"/>
      <c r="G1" s="1379">
        <f>MATCH(B1,'数据-取费表'!A6:A16,0)+5</f>
        <v>10</v>
      </c>
      <c r="H1" s="1282" t="str">
        <f>IF(ISERROR(FIND("住宅",B1)),"非住宅","住宅")</f>
        <v>非住宅</v>
      </c>
    </row>
    <row r="2" spans="1:8" s="244" customFormat="1" ht="18" customHeight="1">
      <c r="A2" s="245" t="s">
        <v>2328</v>
      </c>
      <c r="B2" s="246">
        <f ca="1">ROUND(IF(D2="——",C52/10000,C52/10000-E2),0)</f>
        <v>56271</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5945</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18929898</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18929898</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2346</v>
      </c>
      <c r="C10" s="269">
        <f ca="1">ROUND(D10*E10,0)</f>
        <v>18929898</v>
      </c>
      <c r="D10" s="1032">
        <f ca="1">IF(B1="",'数据-汇总表'!E6,IF(INDIRECT("'数据-取费表'!c"&amp;$G$1)="住宅",INDIRECT("'数据-取费表'!s"&amp;$G$1),INDIRECT("'数据-取费表'!k"&amp;$G$1)+INDIRECT("'数据-取费表'!s"&amp;$G$1)))</f>
        <v>94649.49000000002</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18929898</v>
      </c>
      <c r="D19" s="1036">
        <f ca="1">D9+D10</f>
        <v>94649.49000000002</v>
      </c>
      <c r="E19" s="255">
        <f>'数据-取费表'!B31</f>
        <v>200</v>
      </c>
      <c r="F19" s="275"/>
      <c r="G19" s="2552"/>
    </row>
    <row r="20" spans="1:7" s="258" customFormat="1" ht="13.5" customHeight="1">
      <c r="A20" s="299" t="s">
        <v>2440</v>
      </c>
      <c r="B20" s="254" t="s">
        <v>2441</v>
      </c>
      <c r="C20" s="276">
        <f ca="1">ROUND((C5+C19)*F20,0)</f>
        <v>757196</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5709928</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2827671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2827671</v>
      </c>
      <c r="D24" s="282"/>
      <c r="E24" s="282"/>
      <c r="F24" s="283"/>
      <c r="G24" s="284" t="s">
        <v>2452</v>
      </c>
    </row>
    <row r="25" spans="1:7" s="258" customFormat="1" ht="24">
      <c r="A25" s="951" t="s">
        <v>2342</v>
      </c>
      <c r="B25" s="259" t="s">
        <v>2453</v>
      </c>
      <c r="C25" s="1381">
        <f ca="1">ROUND(IF('数据-取费表'!B22&lt;=1,C20*F22*'数据-取费表'!B22/2,C20*(POWER((1+F22),'数据-取费表'!B22/2)-1)),0)</f>
        <v>54586</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7337228</v>
      </c>
      <c r="D27" s="279">
        <f ca="1">C29</f>
        <v>3.8E-3</v>
      </c>
      <c r="E27" s="280" t="s">
        <v>2380</v>
      </c>
      <c r="F27" s="290">
        <f ca="1">IF(B1="",'数据-取费表'!Q16,INDIRECT("'数据-取费表'!q"&amp;$G$1))</f>
        <v>0.19</v>
      </c>
      <c r="G27" s="291" t="s">
        <v>2381</v>
      </c>
    </row>
    <row r="28" spans="1:7" s="258" customFormat="1" ht="13.5" customHeight="1">
      <c r="A28" s="951" t="s">
        <v>791</v>
      </c>
      <c r="B28" s="292" t="s">
        <v>2382</v>
      </c>
      <c r="C28" s="293">
        <f ca="1">ROUND((C5+C19+C20)*F27,0)</f>
        <v>7337228</v>
      </c>
      <c r="D28" s="279"/>
      <c r="E28" s="280"/>
      <c r="F28" s="290"/>
      <c r="G28" s="291"/>
    </row>
    <row r="29" spans="1:7" s="258" customFormat="1" ht="13.5" customHeight="1">
      <c r="A29" s="951" t="s">
        <v>792</v>
      </c>
      <c r="B29" s="292" t="s">
        <v>2383</v>
      </c>
      <c r="C29" s="282">
        <f ca="1">ROUND(C21*F27,4)</f>
        <v>3.8E-3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56065272</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518098157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477672975</v>
      </c>
      <c r="D34" s="261"/>
      <c r="E34" s="264"/>
      <c r="F34" s="301"/>
      <c r="G34" s="263"/>
    </row>
    <row r="35" spans="1:7" ht="13.5" customHeight="1">
      <c r="A35" s="951" t="s">
        <v>796</v>
      </c>
      <c r="B35" s="259" t="s">
        <v>2393</v>
      </c>
      <c r="C35" s="264">
        <f ca="1">ROUND(C34*F35,0)</f>
        <v>14330189</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18929898</v>
      </c>
      <c r="D37" s="261">
        <f ca="1">D19</f>
        <v>94649.49000000002</v>
      </c>
      <c r="E37" s="293">
        <f>'数据-取费表'!B35</f>
        <v>200</v>
      </c>
      <c r="F37" s="303"/>
      <c r="G37" s="305"/>
    </row>
    <row r="38" spans="1:7" ht="13.5" customHeight="1">
      <c r="A38" s="951" t="s">
        <v>799</v>
      </c>
      <c r="B38" s="259" t="s">
        <v>2399</v>
      </c>
      <c r="C38" s="264">
        <f ca="1">ROUND(C34*F38,0)</f>
        <v>7165095</v>
      </c>
      <c r="D38" s="264"/>
      <c r="E38" s="264"/>
      <c r="F38" s="303">
        <f>'数据-取费表'!B36</f>
        <v>1.4999999999999999E-2</v>
      </c>
      <c r="G38" s="263" t="s">
        <v>2394</v>
      </c>
    </row>
    <row r="39" spans="1:7" s="258" customFormat="1" ht="13.5" customHeight="1">
      <c r="A39" s="299" t="s">
        <v>2400</v>
      </c>
      <c r="B39" s="254" t="s">
        <v>2401</v>
      </c>
      <c r="C39" s="276">
        <f ca="1">ROUND(C33*F20,0)</f>
        <v>10361963</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38096432</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37349443</v>
      </c>
      <c r="D42" s="282"/>
      <c r="E42" s="282"/>
      <c r="F42" s="283"/>
      <c r="G42" s="3143" t="s">
        <v>2457</v>
      </c>
    </row>
    <row r="43" spans="1:7" ht="13.5" customHeight="1">
      <c r="A43" s="951" t="s">
        <v>792</v>
      </c>
      <c r="B43" s="259" t="s">
        <v>2411</v>
      </c>
      <c r="C43" s="282">
        <f ca="1">ROUND(IF('数据-取费表'!B22&lt;=1,C39*F22*'数据-取费表'!B20/2,C39*(POWER((1+F22),'数据-取费表'!B20/2)-1)),0)</f>
        <v>746989</v>
      </c>
      <c r="D43" s="282"/>
      <c r="E43" s="282"/>
      <c r="F43" s="283"/>
      <c r="G43" s="3144"/>
    </row>
    <row r="44" spans="1:7" ht="13.5" customHeight="1">
      <c r="A44" s="951" t="s">
        <v>793</v>
      </c>
      <c r="B44" s="259" t="s">
        <v>2412</v>
      </c>
      <c r="C44" s="282">
        <f ca="1">ROUND(IF('数据-取费表'!B22&lt;=1,C40*F22*'数据-取费表'!B20/2,C40*(POWER((1+F22),'数据-取费表'!B20/2)-1)),4)</f>
        <v>1.4E-3</v>
      </c>
      <c r="D44" s="282"/>
      <c r="E44" s="282"/>
      <c r="F44" s="283"/>
      <c r="G44" s="3145"/>
    </row>
    <row r="45" spans="1:7" s="258" customFormat="1" ht="13.5" customHeight="1">
      <c r="A45" s="299" t="s">
        <v>2413</v>
      </c>
      <c r="B45" s="288" t="s">
        <v>2379</v>
      </c>
      <c r="C45" s="289">
        <f ca="1">C46</f>
        <v>100407423</v>
      </c>
      <c r="D45" s="279">
        <f ca="1">C47</f>
        <v>3.8E-3</v>
      </c>
      <c r="E45" s="280" t="s">
        <v>2405</v>
      </c>
      <c r="F45" s="290"/>
      <c r="G45" s="291" t="s">
        <v>2414</v>
      </c>
    </row>
    <row r="46" spans="1:7" s="258" customFormat="1" ht="13.5" customHeight="1">
      <c r="A46" s="951" t="s">
        <v>791</v>
      </c>
      <c r="B46" s="292" t="s">
        <v>2415</v>
      </c>
      <c r="C46" s="293">
        <f ca="1">ROUND((C33+C39)*F27,0)</f>
        <v>100407423</v>
      </c>
      <c r="D46" s="307"/>
      <c r="E46" s="280"/>
      <c r="F46" s="290"/>
      <c r="G46" s="291"/>
    </row>
    <row r="47" spans="1:7" s="258" customFormat="1" ht="13.5" customHeight="1">
      <c r="A47" s="951" t="s">
        <v>792</v>
      </c>
      <c r="B47" s="292" t="s">
        <v>2416</v>
      </c>
      <c r="C47" s="282">
        <f ca="1">ROUND(C40*F27,4)</f>
        <v>3.8E-3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723780765</v>
      </c>
      <c r="D49" s="276"/>
      <c r="E49" s="276"/>
      <c r="F49" s="308"/>
      <c r="G49" s="278" t="s">
        <v>2420</v>
      </c>
    </row>
    <row r="50" spans="1:7" s="302" customFormat="1">
      <c r="A50" s="299" t="s">
        <v>2421</v>
      </c>
      <c r="B50" s="254" t="s">
        <v>2422</v>
      </c>
      <c r="C50" s="276"/>
      <c r="D50" s="276"/>
      <c r="E50" s="276"/>
      <c r="F50" s="308">
        <f>IF('数据-取费表'!B24=0,'数据-取费表'!N16,1)</f>
        <v>0.7</v>
      </c>
      <c r="G50" s="291"/>
    </row>
    <row r="51" spans="1:7" ht="16.5" customHeight="1">
      <c r="A51" s="299" t="s">
        <v>2424</v>
      </c>
      <c r="B51" s="254" t="s">
        <v>2459</v>
      </c>
      <c r="C51" s="276">
        <f ca="1">ROUND(C49*F50,0)</f>
        <v>506646536</v>
      </c>
      <c r="D51" s="276"/>
      <c r="E51" s="276"/>
      <c r="F51" s="308"/>
      <c r="G51" s="278" t="s">
        <v>2426</v>
      </c>
    </row>
    <row r="52" spans="1:7" s="252" customFormat="1" ht="16.8" thickBot="1">
      <c r="A52" s="309" t="s">
        <v>2427</v>
      </c>
      <c r="B52" s="310"/>
      <c r="C52" s="311">
        <f ca="1">C31+C51</f>
        <v>562711808</v>
      </c>
      <c r="D52" s="310"/>
      <c r="E52" s="310"/>
      <c r="F52" s="310"/>
      <c r="G52" s="312"/>
    </row>
    <row r="55" spans="1:7" ht="15">
      <c r="B55" s="314" t="s">
        <v>2428</v>
      </c>
      <c r="C55" s="315"/>
    </row>
    <row r="56" spans="1:7">
      <c r="B56" s="317" t="s">
        <v>1508</v>
      </c>
      <c r="C56" s="319">
        <f ca="1">1-C57</f>
        <v>9.9999999999999978E-2</v>
      </c>
    </row>
    <row r="57" spans="1:7">
      <c r="B57" s="317" t="s">
        <v>1509</v>
      </c>
      <c r="C57" s="318">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1"/>
      <c r="C1" s="1582"/>
      <c r="D1" s="1580"/>
      <c r="E1" s="320"/>
      <c r="F1" s="320"/>
      <c r="G1" s="1581"/>
      <c r="H1" s="320"/>
      <c r="I1" s="320"/>
      <c r="J1" s="320"/>
      <c r="K1" s="320">
        <f>MATCH(C1,'数据-取费表'!A6:A16,0)+5</f>
        <v>10</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5.2">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0.03</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94649.49000000002</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94649.49000000002</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0</v>
      </c>
      <c r="D18" s="1033"/>
      <c r="E18" s="24"/>
      <c r="F18" s="976"/>
      <c r="G18" s="2558"/>
      <c r="H18" s="1577"/>
      <c r="I18" s="2559"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2496</v>
      </c>
      <c r="C20" s="24">
        <f ca="1">ROUND(D20*E20/10000,0)</f>
        <v>1893</v>
      </c>
      <c r="D20" s="1033">
        <f ca="1">IF(C1="",'数据-汇总表'!E6,IF(INDIRECT("'数据-取费表'!c"&amp;$K$1)="住宅",INDIRECT("'数据-取费表'!s"&amp;$K$1),INDIRECT("'数据-取费表'!k"&amp;$K$1)+INDIRECT("'数据-取费表'!s"&amp;$K$1)))</f>
        <v>94649.49000000002</v>
      </c>
      <c r="E20" s="24">
        <f>'数据-取费表'!B28</f>
        <v>200</v>
      </c>
      <c r="F20" s="976"/>
      <c r="G20" s="15"/>
      <c r="H20" s="981"/>
      <c r="I20" s="981"/>
      <c r="J20" s="981"/>
      <c r="K20" s="982"/>
    </row>
    <row r="21" spans="1:33" s="975" customFormat="1" ht="13.5" customHeight="1">
      <c r="A21" s="961" t="s">
        <v>802</v>
      </c>
      <c r="B21" s="985" t="s">
        <v>2497</v>
      </c>
      <c r="C21" s="986">
        <f ca="1">C16+C17+C18</f>
        <v>0</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0.19</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0</v>
      </c>
      <c r="D30" s="328"/>
      <c r="E30" s="329"/>
      <c r="F30" s="334"/>
      <c r="G30" s="140"/>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c r="D1" s="1820"/>
      <c r="E1" s="1821" t="s">
        <v>1382</v>
      </c>
      <c r="F1" s="1283">
        <f ca="1">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48" t="s">
        <v>1398</v>
      </c>
      <c r="C6" s="1296">
        <f ca="1">ROUND(F6*F8*F7*(1-F9)/10000,0)</f>
        <v>0</v>
      </c>
      <c r="D6" s="164" t="s">
        <v>3031</v>
      </c>
      <c r="E6" s="347" t="s">
        <v>1400</v>
      </c>
      <c r="F6" s="348">
        <f ca="1">INDIRECT("'数据-取费表'!u"&amp;$G$1)</f>
        <v>0</v>
      </c>
      <c r="G6" s="1851"/>
      <c r="H6" s="1291" t="s">
        <v>1032</v>
      </c>
      <c r="I6" s="3148" t="s">
        <v>1398</v>
      </c>
      <c r="J6" s="346">
        <f ca="1">ROUND(M6*M8*M7*(1-M9)/10000,0)</f>
        <v>0</v>
      </c>
      <c r="K6" s="164" t="s">
        <v>3030</v>
      </c>
      <c r="L6" s="347" t="s">
        <v>1400</v>
      </c>
      <c r="M6" s="348">
        <f ca="1">INDIRECT("'数据-取费表'!z"&amp;$G$1)</f>
        <v>0</v>
      </c>
    </row>
    <row r="7" spans="1:37" ht="18" customHeight="1">
      <c r="A7" s="1295"/>
      <c r="B7" s="3149"/>
      <c r="C7" s="1297"/>
      <c r="D7" s="352"/>
      <c r="E7" s="1298" t="s">
        <v>1401</v>
      </c>
      <c r="F7" s="348">
        <f ca="1">IF(INDIRECT("'数据-取费表'!ah"&amp;$G$1)="",INDIRECT("'数据-取费表'!k"&amp;$G$1),INDIRECT("'数据-取费表'!ah"&amp;$G$1))</f>
        <v>0</v>
      </c>
      <c r="G7" s="1851"/>
      <c r="H7" s="349"/>
      <c r="I7" s="3149"/>
      <c r="J7" s="351"/>
      <c r="K7" s="352"/>
      <c r="L7" s="347" t="s">
        <v>1401</v>
      </c>
      <c r="M7" s="348">
        <f ca="1">F7</f>
        <v>0</v>
      </c>
    </row>
    <row r="8" spans="1:37" ht="18" customHeight="1">
      <c r="A8" s="349"/>
      <c r="B8" s="3149"/>
      <c r="C8" s="351"/>
      <c r="D8" s="352"/>
      <c r="E8" s="347" t="s">
        <v>1402</v>
      </c>
      <c r="F8" s="348">
        <f ca="1">INDIRECT("'数据-取费表'!ai"&amp;$G$1)</f>
        <v>0</v>
      </c>
      <c r="G8" s="1851"/>
      <c r="H8" s="349"/>
      <c r="I8" s="3149"/>
      <c r="J8" s="351"/>
      <c r="K8" s="352"/>
      <c r="L8" s="347" t="s">
        <v>1402</v>
      </c>
      <c r="M8" s="348">
        <f ca="1">INDIRECT("'数据-取费表'!ai"&amp;$G$1)</f>
        <v>0</v>
      </c>
    </row>
    <row r="9" spans="1:37" ht="18" customHeight="1">
      <c r="A9" s="349"/>
      <c r="B9" s="3150"/>
      <c r="C9" s="351"/>
      <c r="D9" s="352"/>
      <c r="E9" s="347" t="s">
        <v>1403</v>
      </c>
      <c r="F9" s="357">
        <f ca="1">INDIRECT("'数据-取费表'!w"&amp;$G$1)</f>
        <v>0</v>
      </c>
      <c r="G9" s="1851"/>
      <c r="H9" s="349"/>
      <c r="I9" s="315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8"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8"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8" thickBot="1">
      <c r="A49" s="1194" t="s">
        <v>1133</v>
      </c>
      <c r="B49" s="1829" t="s">
        <v>1485</v>
      </c>
      <c r="C49" s="1364">
        <f ca="1">ROUND(F49*F51*F50*(1-F52)/10000,0)</f>
        <v>0</v>
      </c>
      <c r="D49" s="1276" t="s">
        <v>3032</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8"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8"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8"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6.6" thickBot="1">
      <c r="A53" s="1405" t="s">
        <v>1134</v>
      </c>
      <c r="B53" s="1831" t="s">
        <v>1404</v>
      </c>
      <c r="C53" s="361">
        <f ca="1">ROUND(IF(F53="押一",C49/12*F11,IF(F53="押二",C49/12*2*F11,IF(F53="押三",C49/12*3*F11,C54*F11))),0)</f>
        <v>0</v>
      </c>
      <c r="D53" s="1824" t="s">
        <v>3039</v>
      </c>
      <c r="E53" s="358" t="s">
        <v>1405</v>
      </c>
      <c r="F53" s="1366"/>
      <c r="I53" s="1905" t="s">
        <v>1542</v>
      </c>
      <c r="J53" s="2952">
        <f ca="1">IF(M47="住宅",IF(D1="——",MAX(J51,L48),MAX(J51,L48-'数据-取费表'!B24)),IF(D1="——",MIN(J51,L48),MIN(J51,L48-'数据-取费表'!B24)))</f>
        <v>0</v>
      </c>
      <c r="K53" s="3146" t="s">
        <v>1543</v>
      </c>
      <c r="L53" s="3147"/>
      <c r="O53" s="1884" t="s">
        <v>1043</v>
      </c>
      <c r="P53" s="1885" t="s">
        <v>1544</v>
      </c>
      <c r="Q53" s="1886" t="e">
        <f ca="1">Q47+Q48</f>
        <v>#DIV/0!</v>
      </c>
      <c r="R53" s="1886" t="s">
        <v>1044</v>
      </c>
    </row>
    <row r="54" spans="1:18" s="1842" customFormat="1" ht="24.6"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#DIV/0!</v>
      </c>
      <c r="K55" s="1911" t="s">
        <v>1547</v>
      </c>
      <c r="L55" s="1912" t="s">
        <v>1548</v>
      </c>
      <c r="O55" s="1877" t="s">
        <v>1517</v>
      </c>
      <c r="P55" s="1878" t="s">
        <v>1518</v>
      </c>
      <c r="Q55" s="1879" t="s">
        <v>1519</v>
      </c>
      <c r="R55" s="1879" t="s">
        <v>1520</v>
      </c>
    </row>
    <row r="56" spans="1:18" s="1842" customFormat="1" ht="37.200000000000003" thickTop="1" thickBot="1">
      <c r="A56" s="1176">
        <v>2</v>
      </c>
      <c r="B56" s="1177" t="s">
        <v>1409</v>
      </c>
      <c r="C56" s="276">
        <f ca="1">C13</f>
        <v>0</v>
      </c>
      <c r="D56" s="1913"/>
      <c r="E56" s="1914"/>
      <c r="F56" s="1906"/>
      <c r="I56" s="1915" t="s">
        <v>1549</v>
      </c>
      <c r="J56" s="1916"/>
      <c r="K56" s="1887" t="s">
        <v>1550</v>
      </c>
      <c r="L56" s="1890">
        <f ca="1">IF(L48&lt;J51,"——",L48-J53)</f>
        <v>0</v>
      </c>
      <c r="O56" s="1884" t="s">
        <v>1037</v>
      </c>
      <c r="P56" s="1885" t="s">
        <v>1523</v>
      </c>
      <c r="Q56" s="1886" t="e">
        <f ca="1">C40+J29</f>
        <v>#DIV/0!</v>
      </c>
      <c r="R56" s="1886" t="s">
        <v>1524</v>
      </c>
    </row>
    <row r="57" spans="1:18" s="1842" customFormat="1" ht="24.6" thickBot="1">
      <c r="A57" s="1917"/>
      <c r="B57" s="1169" t="s">
        <v>1473</v>
      </c>
      <c r="C57" s="282">
        <f ca="1">C29</f>
        <v>0</v>
      </c>
      <c r="D57" s="1918"/>
      <c r="E57" s="1919"/>
      <c r="F57" s="1920"/>
      <c r="I57" s="1921" t="s">
        <v>1551</v>
      </c>
      <c r="J57" s="1922">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6" thickBot="1">
      <c r="A58" s="360" t="s">
        <v>1027</v>
      </c>
      <c r="B58" s="1177" t="s">
        <v>1419</v>
      </c>
      <c r="C58" s="361">
        <f ca="1">ROUND(C59+C64+C65+C66,0)</f>
        <v>0</v>
      </c>
      <c r="D58" s="1179" t="s">
        <v>1420</v>
      </c>
      <c r="E58" s="1180"/>
      <c r="F58" s="1181"/>
      <c r="I58" s="1921" t="s">
        <v>1555</v>
      </c>
      <c r="J58" s="1923"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IF(项目基本情况!B11="自然人","——",ROUND(F62*F63/10000,2))</f>
        <v>0</v>
      </c>
      <c r="D62" s="1184" t="s">
        <v>1492</v>
      </c>
      <c r="E62" s="1169" t="s">
        <v>1493</v>
      </c>
      <c r="F62" s="371">
        <f t="shared" si="0"/>
        <v>24</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2"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24.6"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2"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8" thickBot="1">
      <c r="A69" s="1170"/>
      <c r="B69" s="1171"/>
      <c r="C69" s="351"/>
      <c r="D69" s="1189" t="s">
        <v>1468</v>
      </c>
      <c r="E69" s="1169" t="s">
        <v>1469</v>
      </c>
      <c r="F69" s="379">
        <f ca="1">F41</f>
        <v>0</v>
      </c>
      <c r="O69" s="1894" t="s">
        <v>1045</v>
      </c>
      <c r="P69" s="1933" t="s">
        <v>1579</v>
      </c>
      <c r="Q69" s="1886">
        <f ca="1">C39</f>
        <v>0</v>
      </c>
      <c r="R69" s="1886" t="s">
        <v>1524</v>
      </c>
    </row>
    <row r="70" spans="1:18" s="1842" customFormat="1" ht="13.8" thickBot="1">
      <c r="A70" s="1173"/>
      <c r="B70" s="1174"/>
      <c r="C70" s="355"/>
      <c r="D70" s="1185"/>
      <c r="E70" s="1169" t="s">
        <v>1472</v>
      </c>
      <c r="F70" s="1275"/>
      <c r="O70" s="1894" t="s">
        <v>1046</v>
      </c>
      <c r="P70" s="1933" t="s">
        <v>1580</v>
      </c>
      <c r="Q70" s="1886">
        <f ca="1">C13</f>
        <v>0</v>
      </c>
      <c r="R70" s="1886" t="s">
        <v>1524</v>
      </c>
    </row>
    <row r="71" spans="1:18" s="1842" customFormat="1" ht="13.8" thickBot="1">
      <c r="A71" s="1190" t="s">
        <v>1030</v>
      </c>
      <c r="B71" s="1191" t="s">
        <v>1482</v>
      </c>
      <c r="C71" s="382" t="e">
        <f ca="1">ROUND(C68*10000/F71,0)</f>
        <v>#DIV/0!</v>
      </c>
      <c r="D71" s="1192" t="s">
        <v>1483</v>
      </c>
      <c r="E71" s="1193" t="s">
        <v>1484</v>
      </c>
      <c r="F71" s="385">
        <f ca="1">F43</f>
        <v>0</v>
      </c>
      <c r="O71" s="1894" t="s">
        <v>1047</v>
      </c>
      <c r="P71" s="1933" t="s">
        <v>1581</v>
      </c>
      <c r="Q71" s="1897">
        <f ca="1">C76</f>
        <v>0</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8"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c r="D1" s="1820"/>
      <c r="E1" s="1821" t="s">
        <v>1382</v>
      </c>
      <c r="F1" s="1283">
        <f ca="1">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8" t="s">
        <v>1398</v>
      </c>
      <c r="C6" s="1296">
        <f ca="1">ROUND(F6*F8*F7*(1-F9),0)</f>
        <v>0</v>
      </c>
      <c r="D6" s="164" t="s">
        <v>3028</v>
      </c>
      <c r="E6" s="347" t="s">
        <v>1400</v>
      </c>
      <c r="F6" s="348">
        <f ca="1">INDIRECT("'数据-取费表'!u"&amp;$G$1)</f>
        <v>0</v>
      </c>
      <c r="G6" s="1851"/>
      <c r="H6" s="1291" t="s">
        <v>1032</v>
      </c>
      <c r="I6" s="3148" t="s">
        <v>1398</v>
      </c>
      <c r="J6" s="346">
        <f ca="1">ROUND(M6*M8*M7*(1-M9),0)</f>
        <v>0</v>
      </c>
      <c r="K6" s="1834" t="s">
        <v>3029</v>
      </c>
      <c r="L6" s="347" t="s">
        <v>1400</v>
      </c>
      <c r="M6" s="348">
        <f ca="1">INDIRECT("'数据-取费表'!z"&amp;$G$1)</f>
        <v>0</v>
      </c>
    </row>
    <row r="7" spans="1:37" ht="18" customHeight="1">
      <c r="A7" s="1295"/>
      <c r="B7" s="3149"/>
      <c r="C7" s="1297"/>
      <c r="D7" s="352"/>
      <c r="E7" s="1298" t="s">
        <v>1401</v>
      </c>
      <c r="F7" s="348">
        <f ca="1">IF(INDIRECT("'数据-取费表'!ah"&amp;$G$1)="",INDIRECT("'数据-取费表'!k"&amp;$G$1),INDIRECT("'数据-取费表'!ah"&amp;$G$1))</f>
        <v>0</v>
      </c>
      <c r="G7" s="1851"/>
      <c r="H7" s="349"/>
      <c r="I7" s="3149"/>
      <c r="J7" s="351"/>
      <c r="K7" s="352"/>
      <c r="L7" s="347" t="s">
        <v>1401</v>
      </c>
      <c r="M7" s="348">
        <f ca="1">F7</f>
        <v>0</v>
      </c>
    </row>
    <row r="8" spans="1:37" ht="18" customHeight="1">
      <c r="A8" s="349"/>
      <c r="B8" s="3149"/>
      <c r="C8" s="351"/>
      <c r="D8" s="352"/>
      <c r="E8" s="347" t="s">
        <v>1402</v>
      </c>
      <c r="F8" s="348">
        <f ca="1">INDIRECT("'数据-取费表'!ai"&amp;$G$1)</f>
        <v>0</v>
      </c>
      <c r="G8" s="1851"/>
      <c r="H8" s="349"/>
      <c r="I8" s="3149"/>
      <c r="J8" s="351"/>
      <c r="K8" s="352"/>
      <c r="L8" s="347" t="s">
        <v>1402</v>
      </c>
      <c r="M8" s="348">
        <f ca="1">INDIRECT("'数据-取费表'!ai"&amp;$G$1)</f>
        <v>0</v>
      </c>
    </row>
    <row r="9" spans="1:37" ht="18" customHeight="1">
      <c r="A9" s="349"/>
      <c r="B9" s="3150"/>
      <c r="C9" s="351"/>
      <c r="D9" s="352"/>
      <c r="E9" s="347" t="s">
        <v>1403</v>
      </c>
      <c r="F9" s="357">
        <f ca="1">INDIRECT("'数据-取费表'!w"&amp;$G$1)</f>
        <v>0</v>
      </c>
      <c r="G9" s="1851"/>
      <c r="H9" s="349"/>
      <c r="I9" s="315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8"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8"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8"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8"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8"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2952">
        <f ca="1">IF(M47="住宅",IF(D1="——",MAX(J51,L48),MAX(J51,L48-'数据-取费表'!B24)),IF(D1="——",MIN(J51,L48),MIN(J51,L48-'数据-取费表'!B24)))</f>
        <v>0</v>
      </c>
      <c r="K53" s="3146" t="s">
        <v>1543</v>
      </c>
      <c r="L53" s="3147"/>
      <c r="O53" s="1884" t="s">
        <v>1043</v>
      </c>
      <c r="P53" s="1885" t="s">
        <v>1544</v>
      </c>
      <c r="Q53" s="1886" t="e">
        <f ca="1">Q47+Q48</f>
        <v>#DIV/0!</v>
      </c>
      <c r="R53" s="1886" t="s">
        <v>1044</v>
      </c>
    </row>
    <row r="54" spans="1:18" s="1842" customFormat="1" ht="13.8"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6"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6"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IF(项目基本情况!B11="自然人","——",ROUND(F62*F63,0))</f>
        <v>0</v>
      </c>
      <c r="D62" s="1184" t="s">
        <v>1492</v>
      </c>
      <c r="E62" s="1169" t="s">
        <v>1493</v>
      </c>
      <c r="F62" s="371">
        <f t="shared" si="0"/>
        <v>24</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2"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24.6"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2"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8" thickBot="1">
      <c r="A69" s="1170"/>
      <c r="B69" s="1171"/>
      <c r="C69" s="351"/>
      <c r="D69" s="1189" t="s">
        <v>1468</v>
      </c>
      <c r="E69" s="1169" t="s">
        <v>1469</v>
      </c>
      <c r="F69" s="379">
        <f ca="1">F41</f>
        <v>0</v>
      </c>
      <c r="O69" s="1894" t="s">
        <v>1045</v>
      </c>
      <c r="P69" s="1933" t="s">
        <v>1579</v>
      </c>
      <c r="Q69" s="1886">
        <f ca="1">C39</f>
        <v>0</v>
      </c>
      <c r="R69" s="1886" t="s">
        <v>1524</v>
      </c>
    </row>
    <row r="70" spans="1:18" s="1842" customFormat="1" ht="13.8" thickBot="1">
      <c r="A70" s="1173"/>
      <c r="B70" s="1174"/>
      <c r="C70" s="355"/>
      <c r="D70" s="1185"/>
      <c r="E70" s="1169" t="s">
        <v>1472</v>
      </c>
      <c r="F70" s="1275">
        <f ca="1">F42</f>
        <v>0</v>
      </c>
      <c r="O70" s="1894" t="s">
        <v>1046</v>
      </c>
      <c r="P70" s="1933" t="s">
        <v>1580</v>
      </c>
      <c r="Q70" s="1886">
        <f ca="1">C13</f>
        <v>0</v>
      </c>
      <c r="R70" s="1886" t="s">
        <v>1524</v>
      </c>
    </row>
    <row r="71" spans="1:18" s="1842" customFormat="1" ht="13.8"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8"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3" t="s">
        <v>2527</v>
      </c>
      <c r="B1" s="2564"/>
      <c r="C1" s="2564"/>
      <c r="D1" s="2564"/>
      <c r="E1" s="2565"/>
    </row>
    <row r="2" spans="1:6" ht="15.6">
      <c r="A2" s="2566" t="s">
        <v>2328</v>
      </c>
      <c r="B2" s="2567">
        <f ca="1">SUMIF(B6:B13,"&lt;&gt;#ref!",B6:B13)</f>
        <v>0</v>
      </c>
      <c r="C2" s="2568" t="s">
        <v>2520</v>
      </c>
      <c r="D2" s="2569" t="s">
        <v>2521</v>
      </c>
      <c r="E2" s="2570">
        <f>SUM(E6:E13)</f>
        <v>0</v>
      </c>
    </row>
    <row r="3" spans="1:6" ht="15.6">
      <c r="A3" s="2566" t="s">
        <v>1390</v>
      </c>
      <c r="B3" s="2567" t="e">
        <f ca="1">ROUND(B2*10000/E2,0)</f>
        <v>#DIV/0!</v>
      </c>
      <c r="C3" s="2568" t="s">
        <v>2528</v>
      </c>
      <c r="D3" s="2571"/>
      <c r="E3" s="2572"/>
    </row>
    <row r="4" spans="1:6" ht="15.6">
      <c r="A4" s="2573"/>
      <c r="B4" s="2571"/>
      <c r="C4" s="2571"/>
      <c r="D4" s="2571"/>
      <c r="E4" s="2572"/>
    </row>
    <row r="5" spans="1:6" ht="14.4">
      <c r="A5" s="2574" t="s">
        <v>2522</v>
      </c>
      <c r="B5" s="3151" t="s">
        <v>2523</v>
      </c>
      <c r="C5" s="3151"/>
      <c r="D5" s="2575"/>
      <c r="E5" s="2576" t="s">
        <v>2524</v>
      </c>
      <c r="F5" s="2577" t="s">
        <v>2525</v>
      </c>
    </row>
    <row r="6" spans="1:6" ht="14.4">
      <c r="A6" s="2578">
        <f>'数据-取费表'!AN6</f>
        <v>0</v>
      </c>
      <c r="B6" s="2577" t="e">
        <f ca="1">IF(F6="是",'数据-取费表'!AO6,0)</f>
        <v>#REF!</v>
      </c>
      <c r="C6" s="2568" t="s">
        <v>2520</v>
      </c>
      <c r="D6" s="2571"/>
      <c r="E6" s="2579">
        <f>IF(OR(A6=0,F6="否"),0,'数据-取费表'!K6+'数据-取费表'!S6)</f>
        <v>0</v>
      </c>
      <c r="F6" s="2580" t="s">
        <v>2526</v>
      </c>
    </row>
    <row r="7" spans="1:6" ht="14.4">
      <c r="A7" s="2578">
        <f>'数据-取费表'!AN7</f>
        <v>0</v>
      </c>
      <c r="B7" s="2577" t="e">
        <f ca="1">IF(F7="是",'数据-取费表'!AO7,0)</f>
        <v>#REF!</v>
      </c>
      <c r="C7" s="2568" t="s">
        <v>2520</v>
      </c>
      <c r="D7" s="2571"/>
      <c r="E7" s="2579">
        <f>IF(OR(A7=0,F7="否"),0,'数据-取费表'!K7+'数据-取费表'!S7)</f>
        <v>0</v>
      </c>
      <c r="F7" s="2580" t="s">
        <v>2526</v>
      </c>
    </row>
    <row r="8" spans="1:6" ht="14.4">
      <c r="A8" s="2578">
        <f>'数据-取费表'!AN8</f>
        <v>0</v>
      </c>
      <c r="B8" s="2577" t="e">
        <f ca="1">IF(F8="是",'数据-取费表'!AO8,0)</f>
        <v>#REF!</v>
      </c>
      <c r="C8" s="2568" t="s">
        <v>2520</v>
      </c>
      <c r="D8" s="2571"/>
      <c r="E8" s="2579">
        <f>IF(OR(A8=0,F8="否"),0,'数据-取费表'!K8+'数据-取费表'!S8)</f>
        <v>0</v>
      </c>
      <c r="F8" s="2580" t="s">
        <v>2526</v>
      </c>
    </row>
    <row r="9" spans="1:6" ht="14.4">
      <c r="A9" s="2578">
        <f>'数据-取费表'!AN9</f>
        <v>0</v>
      </c>
      <c r="B9" s="2577" t="e">
        <f ca="1">IF(F9="是",'数据-取费表'!AO9,0)</f>
        <v>#REF!</v>
      </c>
      <c r="C9" s="2568" t="s">
        <v>2520</v>
      </c>
      <c r="D9" s="2571"/>
      <c r="E9" s="2579">
        <f>IF(OR(A9=0,F9="否"),0,'数据-取费表'!K9+'数据-取费表'!S9)</f>
        <v>0</v>
      </c>
      <c r="F9" s="2580" t="s">
        <v>2526</v>
      </c>
    </row>
    <row r="10" spans="1:6" ht="14.4">
      <c r="A10" s="2578">
        <f>'数据-取费表'!AN10</f>
        <v>0</v>
      </c>
      <c r="B10" s="2577" t="e">
        <f ca="1">IF(F10="是",'数据-取费表'!AO10,0)</f>
        <v>#REF!</v>
      </c>
      <c r="C10" s="2568" t="s">
        <v>2520</v>
      </c>
      <c r="D10" s="2571"/>
      <c r="E10" s="2579">
        <f>IF(OR(A10=0,F10="否"),0,'数据-取费表'!K10+'数据-取费表'!S10)</f>
        <v>0</v>
      </c>
      <c r="F10" s="2580" t="s">
        <v>2526</v>
      </c>
    </row>
    <row r="11" spans="1:6" ht="14.4">
      <c r="A11" s="2578">
        <f>'数据-取费表'!AN11</f>
        <v>0</v>
      </c>
      <c r="B11" s="2577" t="e">
        <f ca="1">IF(F11="是",'数据-取费表'!AO11,0)</f>
        <v>#REF!</v>
      </c>
      <c r="C11" s="2568" t="s">
        <v>2520</v>
      </c>
      <c r="D11" s="2571"/>
      <c r="E11" s="2579">
        <f>IF(OR(A11=0,F11="否"),0,'数据-取费表'!K11+'数据-取费表'!S11)</f>
        <v>0</v>
      </c>
      <c r="F11" s="2580" t="s">
        <v>2526</v>
      </c>
    </row>
    <row r="12" spans="1:6" ht="14.4">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168" t="s">
        <v>1073</v>
      </c>
      <c r="B1" s="3169"/>
      <c r="C1" s="3170"/>
      <c r="D1" s="3171">
        <f>SUM(I10,I15,I20,I21,I23)</f>
        <v>0</v>
      </c>
      <c r="E1" s="3171"/>
      <c r="F1" s="3171"/>
      <c r="G1" s="3171"/>
      <c r="H1" s="3171"/>
      <c r="I1" s="3172"/>
    </row>
    <row r="2" spans="1:9">
      <c r="A2" s="3158" t="s">
        <v>1074</v>
      </c>
      <c r="B2" s="3159" t="s">
        <v>1075</v>
      </c>
      <c r="C2" s="3159"/>
      <c r="D2" s="1301" t="s">
        <v>1076</v>
      </c>
      <c r="E2" s="1301" t="s">
        <v>1077</v>
      </c>
      <c r="F2" s="1301" t="s">
        <v>1078</v>
      </c>
      <c r="G2" s="1301" t="s">
        <v>1079</v>
      </c>
      <c r="H2" s="1301" t="s">
        <v>1080</v>
      </c>
      <c r="I2" s="1302" t="s">
        <v>1081</v>
      </c>
    </row>
    <row r="3" spans="1:9">
      <c r="A3" s="3158"/>
      <c r="B3" s="3159" t="s">
        <v>1082</v>
      </c>
      <c r="C3" s="3159"/>
      <c r="D3" s="1303"/>
      <c r="E3" s="1301"/>
      <c r="F3" s="1304"/>
      <c r="G3" s="1304"/>
      <c r="H3" s="1305"/>
      <c r="I3" s="1306">
        <f>ROUND(D3*E3*F3*G3*H3/10000,0)</f>
        <v>0</v>
      </c>
    </row>
    <row r="4" spans="1:9">
      <c r="A4" s="3158"/>
      <c r="B4" s="3159" t="s">
        <v>1083</v>
      </c>
      <c r="C4" s="3159"/>
      <c r="D4" s="1303"/>
      <c r="E4" s="1301"/>
      <c r="F4" s="1304"/>
      <c r="G4" s="1304"/>
      <c r="H4" s="1305"/>
      <c r="I4" s="1306">
        <f t="shared" ref="I4:I9" si="0">ROUND(D4*E4*F4*G4*H4/10000,0)</f>
        <v>0</v>
      </c>
    </row>
    <row r="5" spans="1:9">
      <c r="A5" s="3158"/>
      <c r="B5" s="3159" t="s">
        <v>1084</v>
      </c>
      <c r="C5" s="3159"/>
      <c r="D5" s="1303"/>
      <c r="E5" s="1301"/>
      <c r="F5" s="1304"/>
      <c r="G5" s="1304"/>
      <c r="H5" s="1305"/>
      <c r="I5" s="1306">
        <f t="shared" si="0"/>
        <v>0</v>
      </c>
    </row>
    <row r="6" spans="1:9">
      <c r="A6" s="3158"/>
      <c r="B6" s="3159" t="s">
        <v>1085</v>
      </c>
      <c r="C6" s="3159"/>
      <c r="D6" s="1303"/>
      <c r="E6" s="1301"/>
      <c r="F6" s="1304"/>
      <c r="G6" s="1304"/>
      <c r="H6" s="1305"/>
      <c r="I6" s="1306">
        <f t="shared" si="0"/>
        <v>0</v>
      </c>
    </row>
    <row r="7" spans="1:9">
      <c r="A7" s="3158"/>
      <c r="B7" s="3159" t="s">
        <v>1086</v>
      </c>
      <c r="C7" s="3159"/>
      <c r="D7" s="1303"/>
      <c r="E7" s="1301"/>
      <c r="F7" s="1304"/>
      <c r="G7" s="1304"/>
      <c r="H7" s="1305"/>
      <c r="I7" s="1306">
        <f t="shared" si="0"/>
        <v>0</v>
      </c>
    </row>
    <row r="8" spans="1:9">
      <c r="A8" s="3158"/>
      <c r="B8" s="3159" t="s">
        <v>1087</v>
      </c>
      <c r="C8" s="3159"/>
      <c r="D8" s="1303"/>
      <c r="E8" s="1301"/>
      <c r="F8" s="1304"/>
      <c r="G8" s="1304"/>
      <c r="H8" s="1305"/>
      <c r="I8" s="1306">
        <f t="shared" si="0"/>
        <v>0</v>
      </c>
    </row>
    <row r="9" spans="1:9">
      <c r="A9" s="3158"/>
      <c r="B9" s="3159" t="s">
        <v>1088</v>
      </c>
      <c r="C9" s="3159"/>
      <c r="D9" s="1303"/>
      <c r="E9" s="1301"/>
      <c r="F9" s="1304"/>
      <c r="G9" s="1304"/>
      <c r="H9" s="1305"/>
      <c r="I9" s="1306">
        <f t="shared" si="0"/>
        <v>0</v>
      </c>
    </row>
    <row r="10" spans="1:9">
      <c r="A10" s="3158"/>
      <c r="B10" s="3160" t="s">
        <v>1089</v>
      </c>
      <c r="C10" s="3160"/>
      <c r="D10" s="1307"/>
      <c r="E10" s="1307" t="e">
        <f>ROUND(D1*10000/D10/H9,0)</f>
        <v>#DIV/0!</v>
      </c>
      <c r="F10" s="1308"/>
      <c r="G10" s="1308"/>
      <c r="H10" s="1309"/>
      <c r="I10" s="1310">
        <f>SUM(I3:I9)</f>
        <v>0</v>
      </c>
    </row>
    <row r="11" spans="1:9" ht="15.6">
      <c r="A11" s="3158" t="s">
        <v>1090</v>
      </c>
      <c r="B11" s="3159" t="s">
        <v>1091</v>
      </c>
      <c r="C11" s="3159"/>
      <c r="D11" s="1303" t="s">
        <v>1092</v>
      </c>
      <c r="E11" s="1303" t="s">
        <v>1093</v>
      </c>
      <c r="F11" s="1304" t="s">
        <v>1094</v>
      </c>
      <c r="G11" s="1304" t="s">
        <v>1080</v>
      </c>
      <c r="H11" s="1311" t="s">
        <v>1095</v>
      </c>
      <c r="I11" s="1302" t="s">
        <v>1081</v>
      </c>
    </row>
    <row r="12" spans="1:9">
      <c r="A12" s="3158"/>
      <c r="B12" s="3159" t="s">
        <v>1096</v>
      </c>
      <c r="C12" s="3159"/>
      <c r="D12" s="1303"/>
      <c r="E12" s="1303"/>
      <c r="F12" s="1304"/>
      <c r="G12" s="1305"/>
      <c r="H12" s="1312"/>
      <c r="I12" s="1302">
        <f>ROUND(D12*E12*F12*G12/10000,0)</f>
        <v>0</v>
      </c>
    </row>
    <row r="13" spans="1:9">
      <c r="A13" s="3158"/>
      <c r="B13" s="3159" t="s">
        <v>1097</v>
      </c>
      <c r="C13" s="3159"/>
      <c r="D13" s="1303"/>
      <c r="E13" s="1303"/>
      <c r="F13" s="1304"/>
      <c r="G13" s="1305"/>
      <c r="H13" s="1312"/>
      <c r="I13" s="1302">
        <f>ROUND(D13*E13*F13*G13/10000,0)</f>
        <v>0</v>
      </c>
    </row>
    <row r="14" spans="1:9">
      <c r="A14" s="3158"/>
      <c r="B14" s="3159" t="s">
        <v>1098</v>
      </c>
      <c r="C14" s="3159"/>
      <c r="D14" s="1303"/>
      <c r="E14" s="1303"/>
      <c r="F14" s="1304"/>
      <c r="G14" s="1305"/>
      <c r="H14" s="1312"/>
      <c r="I14" s="1302">
        <f>ROUND(D14*E14*F14*G14/10000,0)</f>
        <v>0</v>
      </c>
    </row>
    <row r="15" spans="1:9">
      <c r="A15" s="3158"/>
      <c r="B15" s="3160" t="s">
        <v>1089</v>
      </c>
      <c r="C15" s="3160"/>
      <c r="D15" s="1307"/>
      <c r="E15" s="1307">
        <f>SUM(E12:E14)</f>
        <v>0</v>
      </c>
      <c r="F15" s="1308"/>
      <c r="G15" s="1305"/>
      <c r="H15" s="1312"/>
      <c r="I15" s="1313">
        <f>SUM(I12:I14)</f>
        <v>0</v>
      </c>
    </row>
    <row r="16" spans="1:9" ht="24">
      <c r="A16" s="3158" t="s">
        <v>1099</v>
      </c>
      <c r="B16" s="3159" t="s">
        <v>1100</v>
      </c>
      <c r="C16" s="3159"/>
      <c r="D16" s="1303" t="s">
        <v>1076</v>
      </c>
      <c r="E16" s="1314" t="s">
        <v>1101</v>
      </c>
      <c r="F16" s="1304" t="s">
        <v>1102</v>
      </c>
      <c r="G16" s="1305" t="s">
        <v>1080</v>
      </c>
      <c r="H16" s="1311" t="s">
        <v>1095</v>
      </c>
      <c r="I16" s="1302" t="s">
        <v>1081</v>
      </c>
    </row>
    <row r="17" spans="1:9" ht="15.6">
      <c r="A17" s="3158"/>
      <c r="B17" s="3159" t="s">
        <v>1103</v>
      </c>
      <c r="C17" s="3159"/>
      <c r="D17" s="1303"/>
      <c r="E17" s="1303"/>
      <c r="F17" s="1304"/>
      <c r="G17" s="1305"/>
      <c r="H17" s="1315"/>
      <c r="I17" s="1316">
        <f>ROUND(D17*E17*F17*G17/10000,0)</f>
        <v>0</v>
      </c>
    </row>
    <row r="18" spans="1:9" ht="15.6">
      <c r="A18" s="3158"/>
      <c r="B18" s="3159" t="s">
        <v>1104</v>
      </c>
      <c r="C18" s="3159"/>
      <c r="D18" s="1303"/>
      <c r="E18" s="1303"/>
      <c r="F18" s="1304"/>
      <c r="G18" s="1305"/>
      <c r="H18" s="1315"/>
      <c r="I18" s="1316">
        <f>ROUND(D18*E18*F18*G18/10000,0)</f>
        <v>0</v>
      </c>
    </row>
    <row r="19" spans="1:9" ht="15.6">
      <c r="A19" s="3158"/>
      <c r="B19" s="3159" t="s">
        <v>1105</v>
      </c>
      <c r="C19" s="3159"/>
      <c r="D19" s="1303"/>
      <c r="E19" s="1303"/>
      <c r="F19" s="1304"/>
      <c r="G19" s="1305"/>
      <c r="H19" s="1315"/>
      <c r="I19" s="1316">
        <f>ROUND(D19*E19*F19*G19/10000,0)</f>
        <v>0</v>
      </c>
    </row>
    <row r="20" spans="1:9">
      <c r="A20" s="3158"/>
      <c r="B20" s="3160" t="s">
        <v>1089</v>
      </c>
      <c r="C20" s="3160"/>
      <c r="D20" s="1307">
        <f>SUM(D17:D19)</f>
        <v>0</v>
      </c>
      <c r="E20" s="1307"/>
      <c r="F20" s="1308"/>
      <c r="G20" s="1305"/>
      <c r="H20" s="1312"/>
      <c r="I20" s="1313">
        <f>SUM(I17:I19)</f>
        <v>0</v>
      </c>
    </row>
    <row r="21" spans="1:9">
      <c r="A21" s="3158" t="s">
        <v>1106</v>
      </c>
      <c r="B21" s="3161"/>
      <c r="C21" s="3161"/>
      <c r="D21" s="3161"/>
      <c r="E21" s="3161"/>
      <c r="F21" s="3161"/>
      <c r="G21" s="3161"/>
      <c r="H21" s="1765">
        <v>0.1</v>
      </c>
      <c r="I21" s="1310">
        <f>ROUND(I10*H21,0)</f>
        <v>0</v>
      </c>
    </row>
    <row r="22" spans="1:9" ht="15.6">
      <c r="A22" s="3162" t="s">
        <v>1107</v>
      </c>
      <c r="B22" s="3163"/>
      <c r="C22" s="3164"/>
      <c r="D22" s="1317" t="s">
        <v>1108</v>
      </c>
      <c r="E22" s="1317" t="s">
        <v>1109</v>
      </c>
      <c r="F22" s="1318" t="s">
        <v>1110</v>
      </c>
      <c r="G22" s="1318" t="s">
        <v>1111</v>
      </c>
      <c r="H22" s="1311" t="s">
        <v>1112</v>
      </c>
      <c r="I22" s="1302" t="s">
        <v>1113</v>
      </c>
    </row>
    <row r="23" spans="1:9" ht="15" thickBot="1">
      <c r="A23" s="3165"/>
      <c r="B23" s="3166"/>
      <c r="C23" s="3167"/>
      <c r="D23" s="1319"/>
      <c r="E23" s="1319"/>
      <c r="F23" s="1319"/>
      <c r="G23" s="1320"/>
      <c r="H23" s="1321"/>
      <c r="I23" s="1322">
        <f>ROUND(E23*D23*F23*(1-G23)/10000,0)</f>
        <v>0</v>
      </c>
    </row>
    <row r="26" spans="1:9">
      <c r="A26" s="1323" t="s">
        <v>1114</v>
      </c>
      <c r="B26" s="1323"/>
      <c r="C26" s="1323"/>
      <c r="D26" s="1323"/>
      <c r="E26" s="3155">
        <f>C27-C30-C31-C32</f>
        <v>0</v>
      </c>
      <c r="F26" s="3155"/>
      <c r="G26" s="3155"/>
      <c r="H26" s="1737" t="s">
        <v>1336</v>
      </c>
    </row>
    <row r="27" spans="1:9">
      <c r="A27" s="1324">
        <v>1</v>
      </c>
      <c r="B27" s="1325" t="s">
        <v>1115</v>
      </c>
      <c r="C27" s="1325">
        <f>C28+C29</f>
        <v>0</v>
      </c>
      <c r="D27" s="1325"/>
      <c r="E27" s="3156"/>
      <c r="F27" s="3156"/>
      <c r="G27" s="3156"/>
    </row>
    <row r="28" spans="1:9">
      <c r="A28" s="1326" t="s">
        <v>1116</v>
      </c>
      <c r="B28" s="1325" t="s">
        <v>1117</v>
      </c>
      <c r="C28" s="1325"/>
      <c r="D28" s="1325"/>
      <c r="E28" s="3156"/>
      <c r="F28" s="3156"/>
      <c r="G28" s="315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7"/>
      <c r="F32" s="3157"/>
      <c r="G32" s="3157"/>
    </row>
    <row r="33" spans="1:7" hidden="1">
      <c r="A33" s="3152" t="s">
        <v>1126</v>
      </c>
      <c r="B33" s="3153"/>
      <c r="C33" s="3153"/>
      <c r="D33" s="3154"/>
      <c r="E33" s="3155"/>
      <c r="F33" s="3155"/>
      <c r="G33" s="3155"/>
    </row>
    <row r="34" spans="1:7" hidden="1">
      <c r="A34" s="1328">
        <v>1</v>
      </c>
      <c r="B34" s="1325" t="s">
        <v>1127</v>
      </c>
      <c r="C34" s="1325"/>
      <c r="D34" s="1325"/>
      <c r="E34" s="3156"/>
      <c r="F34" s="3156"/>
      <c r="G34" s="3156"/>
    </row>
    <row r="35" spans="1:7" hidden="1">
      <c r="A35" s="1328">
        <v>2</v>
      </c>
      <c r="B35" s="1325" t="s">
        <v>1128</v>
      </c>
      <c r="C35" s="1325"/>
      <c r="D35" s="1325"/>
      <c r="E35" s="3156"/>
      <c r="F35" s="3156"/>
      <c r="G35" s="3156"/>
    </row>
    <row r="36" spans="1:7" hidden="1">
      <c r="A36" s="1328">
        <v>3</v>
      </c>
      <c r="B36" s="1325" t="s">
        <v>1129</v>
      </c>
      <c r="C36" s="1325"/>
      <c r="D36" s="1325"/>
      <c r="E36" s="3156"/>
      <c r="F36" s="3156"/>
      <c r="G36" s="3156"/>
    </row>
    <row r="37" spans="1:7" hidden="1">
      <c r="A37" s="1328">
        <v>4</v>
      </c>
      <c r="B37" s="1325" t="s">
        <v>1130</v>
      </c>
      <c r="C37" s="1325"/>
      <c r="D37" s="1325"/>
      <c r="E37" s="3156"/>
      <c r="F37" s="3156"/>
      <c r="G37" s="3156"/>
    </row>
    <row r="38" spans="1:7" hidden="1">
      <c r="A38" s="3152" t="s">
        <v>1131</v>
      </c>
      <c r="B38" s="3153"/>
      <c r="C38" s="3153"/>
      <c r="D38" s="3154"/>
      <c r="E38" s="3155"/>
      <c r="F38" s="3155"/>
      <c r="G38" s="31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2529</v>
      </c>
      <c r="B1" s="2584" t="s">
        <v>2530</v>
      </c>
      <c r="C1" s="1634" t="s">
        <v>2531</v>
      </c>
      <c r="D1" s="1621"/>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2535</v>
      </c>
      <c r="D3" s="399">
        <f>IF(D1="",'数据-汇总表'!E3,SUMIF('数据-汇总表'!$C19:$C33,D1,'数据-汇总表'!$E19:$E33))</f>
        <v>94649.49000000002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4.4">
      <c r="A4" s="401" t="s">
        <v>2536</v>
      </c>
      <c r="B4" s="402"/>
      <c r="C4" s="3191" t="s">
        <v>2537</v>
      </c>
      <c r="D4" s="3192"/>
      <c r="E4" s="3193" t="s">
        <v>2538</v>
      </c>
      <c r="F4" s="3194"/>
      <c r="G4" s="3191" t="s">
        <v>2539</v>
      </c>
      <c r="H4" s="3192"/>
      <c r="I4" s="3191" t="s">
        <v>2540</v>
      </c>
      <c r="J4" s="3192"/>
      <c r="K4" s="2598" t="s">
        <v>2541</v>
      </c>
      <c r="L4" s="1130"/>
      <c r="M4" s="1131"/>
      <c r="N4" s="1131"/>
      <c r="O4" s="1131"/>
      <c r="P4" s="3195" t="s">
        <v>2542</v>
      </c>
      <c r="Q4" s="3196"/>
      <c r="R4" s="3201" t="s">
        <v>2538</v>
      </c>
      <c r="S4" s="3202"/>
      <c r="T4" s="3201" t="s">
        <v>2539</v>
      </c>
      <c r="U4" s="3202"/>
      <c r="V4" s="3207" t="s">
        <v>2540</v>
      </c>
      <c r="W4" s="3207"/>
      <c r="X4" s="1813"/>
      <c r="Y4" s="3201" t="s">
        <v>2542</v>
      </c>
      <c r="Z4" s="3202"/>
      <c r="AA4" s="3188" t="s">
        <v>2538</v>
      </c>
      <c r="AB4" s="3188" t="s">
        <v>2539</v>
      </c>
      <c r="AC4" s="3188" t="s">
        <v>2540</v>
      </c>
    </row>
    <row r="5" spans="1:29">
      <c r="A5" s="404"/>
      <c r="B5" s="405"/>
      <c r="C5" s="3210" t="s">
        <v>2543</v>
      </c>
      <c r="D5" s="3211"/>
      <c r="E5" s="3217" t="s">
        <v>2544</v>
      </c>
      <c r="F5" s="3218"/>
      <c r="G5" s="3210" t="s">
        <v>2545</v>
      </c>
      <c r="H5" s="3211"/>
      <c r="I5" s="3210" t="s">
        <v>2546</v>
      </c>
      <c r="J5" s="3211"/>
      <c r="K5" s="2599"/>
      <c r="L5" s="1130"/>
      <c r="M5" s="1131"/>
      <c r="N5" s="1131"/>
      <c r="O5" s="1131"/>
      <c r="P5" s="3197"/>
      <c r="Q5" s="3198"/>
      <c r="R5" s="3203"/>
      <c r="S5" s="3204"/>
      <c r="T5" s="3203"/>
      <c r="U5" s="3204"/>
      <c r="V5" s="3207"/>
      <c r="W5" s="3207"/>
      <c r="X5" s="1813"/>
      <c r="Y5" s="3203"/>
      <c r="Z5" s="3204"/>
      <c r="AA5" s="3189"/>
      <c r="AB5" s="3189"/>
      <c r="AC5" s="3189"/>
    </row>
    <row r="6" spans="1:29" ht="15" thickBot="1">
      <c r="A6" s="406"/>
      <c r="B6" s="407"/>
      <c r="C6" s="3208" t="s">
        <v>2547</v>
      </c>
      <c r="D6" s="3209"/>
      <c r="E6" s="3215" t="s">
        <v>2547</v>
      </c>
      <c r="F6" s="3216"/>
      <c r="G6" s="3208" t="s">
        <v>2547</v>
      </c>
      <c r="H6" s="3209"/>
      <c r="I6" s="3208" t="s">
        <v>2547</v>
      </c>
      <c r="J6" s="3209"/>
      <c r="K6" s="2599" t="s">
        <v>2548</v>
      </c>
      <c r="L6" s="1130"/>
      <c r="M6" s="1131"/>
      <c r="N6" s="1131"/>
      <c r="O6" s="1131"/>
      <c r="P6" s="3199"/>
      <c r="Q6" s="3200"/>
      <c r="R6" s="3203"/>
      <c r="S6" s="3204"/>
      <c r="T6" s="3205"/>
      <c r="U6" s="3206"/>
      <c r="V6" s="3207"/>
      <c r="W6" s="3207"/>
      <c r="X6" s="1813"/>
      <c r="Y6" s="3205"/>
      <c r="Z6" s="3206"/>
      <c r="AA6" s="3190"/>
      <c r="AB6" s="3190"/>
      <c r="AC6" s="3190"/>
    </row>
    <row r="7" spans="1:29" s="117" customFormat="1" ht="15" thickBot="1">
      <c r="A7" s="408" t="s">
        <v>2549</v>
      </c>
      <c r="B7" s="409"/>
      <c r="C7" s="410">
        <f>'数据-取费表'!B2</f>
        <v>43675</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12" t="s">
        <v>2550</v>
      </c>
      <c r="Q7" s="3214"/>
      <c r="R7" s="770" t="s">
        <v>23</v>
      </c>
      <c r="S7" s="771">
        <f t="shared" ref="S7:S15" si="0">F7</f>
        <v>0</v>
      </c>
      <c r="T7" s="770" t="s">
        <v>23</v>
      </c>
      <c r="U7" s="771">
        <f t="shared" ref="U7:U15" si="1">H7</f>
        <v>0</v>
      </c>
      <c r="V7" s="770" t="s">
        <v>23</v>
      </c>
      <c r="W7" s="771">
        <f t="shared" ref="W7:W15" si="2">J7</f>
        <v>0</v>
      </c>
      <c r="X7" s="772"/>
      <c r="Y7" s="3212" t="s">
        <v>2550</v>
      </c>
      <c r="Z7" s="3213"/>
      <c r="AA7" s="773" t="e">
        <f>D7/F7</f>
        <v>#DIV/0!</v>
      </c>
      <c r="AB7" s="773" t="e">
        <f>D7/H7</f>
        <v>#DIV/0!</v>
      </c>
      <c r="AC7" s="773" t="e">
        <f>D7/J7</f>
        <v>#DIV/0!</v>
      </c>
    </row>
    <row r="8" spans="1:29" s="117" customFormat="1" ht="1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12" t="s">
        <v>2553</v>
      </c>
      <c r="Q8" s="3213"/>
      <c r="R8" s="770" t="s">
        <v>23</v>
      </c>
      <c r="S8" s="771">
        <f t="shared" si="0"/>
        <v>0</v>
      </c>
      <c r="T8" s="770" t="s">
        <v>23</v>
      </c>
      <c r="U8" s="771">
        <f t="shared" si="1"/>
        <v>0</v>
      </c>
      <c r="V8" s="770" t="s">
        <v>23</v>
      </c>
      <c r="W8" s="771">
        <f t="shared" si="2"/>
        <v>0</v>
      </c>
      <c r="X8" s="772"/>
      <c r="Y8" s="3212" t="s">
        <v>2553</v>
      </c>
      <c r="Z8" s="3213"/>
      <c r="AA8" s="773" t="e">
        <f t="shared" ref="AA8:AA19" si="3">D8/F8</f>
        <v>#DIV/0!</v>
      </c>
      <c r="AB8" s="773" t="e">
        <f t="shared" ref="AB8:AB19" si="4">D8/H8</f>
        <v>#DIV/0!</v>
      </c>
      <c r="AC8" s="773" t="e">
        <f t="shared" ref="AC8:AC19" si="5">D8/J8</f>
        <v>#DIV/0!</v>
      </c>
    </row>
    <row r="9" spans="1:29" s="117" customFormat="1" ht="14.4">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7" t="s">
        <v>2556</v>
      </c>
      <c r="Q9" s="1795" t="str">
        <f t="shared" ref="Q9:Q15" si="6">B9</f>
        <v>用途</v>
      </c>
      <c r="R9" s="770" t="s">
        <v>17</v>
      </c>
      <c r="S9" s="771">
        <f t="shared" si="0"/>
        <v>100</v>
      </c>
      <c r="T9" s="770" t="s">
        <v>17</v>
      </c>
      <c r="U9" s="771">
        <f t="shared" si="1"/>
        <v>100</v>
      </c>
      <c r="V9" s="770" t="s">
        <v>17</v>
      </c>
      <c r="W9" s="771">
        <f t="shared" si="2"/>
        <v>100</v>
      </c>
      <c r="X9" s="772"/>
      <c r="Y9" s="3001"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7"/>
      <c r="Q11" s="1795" t="str">
        <f t="shared" si="6"/>
        <v>容积率</v>
      </c>
      <c r="R11" s="770" t="s">
        <v>21</v>
      </c>
      <c r="S11" s="771" t="e">
        <f t="shared" si="0"/>
        <v>#N/A</v>
      </c>
      <c r="T11" s="770" t="s">
        <v>21</v>
      </c>
      <c r="U11" s="771" t="e">
        <f t="shared" si="1"/>
        <v>#N/A</v>
      </c>
      <c r="V11" s="770" t="s">
        <v>21</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7"/>
      <c r="Q12" s="1795">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7"/>
      <c r="Q13" s="1795">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7"/>
      <c r="Q14" s="1795">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6.6">
      <c r="A15" s="440" t="s">
        <v>2560</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5" t="s">
        <v>2561</v>
      </c>
      <c r="Q15" s="1810" t="str">
        <f t="shared" si="6"/>
        <v>居住社区成熟度</v>
      </c>
      <c r="R15" s="774" t="s">
        <v>21</v>
      </c>
      <c r="S15" s="775">
        <f t="shared" si="0"/>
        <v>100</v>
      </c>
      <c r="T15" s="774" t="s">
        <v>21</v>
      </c>
      <c r="U15" s="775">
        <f t="shared" si="1"/>
        <v>100</v>
      </c>
      <c r="V15" s="774" t="s">
        <v>21</v>
      </c>
      <c r="W15" s="775">
        <f t="shared" si="2"/>
        <v>100</v>
      </c>
      <c r="X15" s="1813"/>
      <c r="Y15" s="3178" t="s">
        <v>2561</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186"/>
      <c r="Q16" s="1810"/>
      <c r="R16" s="774"/>
      <c r="S16" s="775"/>
      <c r="T16" s="774"/>
      <c r="U16" s="775"/>
      <c r="V16" s="774"/>
      <c r="W16" s="775"/>
      <c r="X16" s="1813"/>
      <c r="Y16" s="3179"/>
      <c r="Z16" s="1814"/>
      <c r="AA16" s="1811">
        <v>1</v>
      </c>
      <c r="AB16" s="1811">
        <v>1</v>
      </c>
      <c r="AC16" s="1811">
        <v>1</v>
      </c>
    </row>
    <row r="17" spans="1:29" ht="82.8">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6"/>
      <c r="Q17" s="1810" t="str">
        <f>B17</f>
        <v>交通便捷度</v>
      </c>
      <c r="R17" s="774" t="s">
        <v>21</v>
      </c>
      <c r="S17" s="775">
        <f>F17</f>
        <v>100</v>
      </c>
      <c r="T17" s="774" t="s">
        <v>21</v>
      </c>
      <c r="U17" s="775">
        <f>H17</f>
        <v>100</v>
      </c>
      <c r="V17" s="774" t="s">
        <v>21</v>
      </c>
      <c r="W17" s="775">
        <f>J17</f>
        <v>100</v>
      </c>
      <c r="X17" s="1813"/>
      <c r="Y17" s="3179"/>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186"/>
      <c r="Q18" s="1810"/>
      <c r="R18" s="774"/>
      <c r="S18" s="775"/>
      <c r="T18" s="774"/>
      <c r="U18" s="775"/>
      <c r="V18" s="774"/>
      <c r="W18" s="775"/>
      <c r="X18" s="1813"/>
      <c r="Y18" s="3179"/>
      <c r="Z18" s="1814"/>
      <c r="AA18" s="1811">
        <v>1</v>
      </c>
      <c r="AB18" s="1811">
        <v>1</v>
      </c>
      <c r="AC18" s="1811">
        <v>1</v>
      </c>
    </row>
    <row r="19" spans="1:29" ht="41.4">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6"/>
      <c r="Q19" s="1810" t="str">
        <f>B19</f>
        <v>公共配套设施</v>
      </c>
      <c r="R19" s="774" t="s">
        <v>21</v>
      </c>
      <c r="S19" s="775">
        <f>F19</f>
        <v>100</v>
      </c>
      <c r="T19" s="774" t="s">
        <v>21</v>
      </c>
      <c r="U19" s="775">
        <f>H19</f>
        <v>100</v>
      </c>
      <c r="V19" s="774" t="s">
        <v>21</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186"/>
      <c r="Q20" s="1810"/>
      <c r="R20" s="774"/>
      <c r="S20" s="775"/>
      <c r="T20" s="774"/>
      <c r="U20" s="775"/>
      <c r="V20" s="774"/>
      <c r="W20" s="775"/>
      <c r="X20" s="1813"/>
      <c r="Y20" s="3179"/>
      <c r="Z20" s="1814"/>
      <c r="AA20" s="1811">
        <v>1</v>
      </c>
      <c r="AB20" s="1811">
        <v>1</v>
      </c>
      <c r="AC20" s="1811">
        <v>1</v>
      </c>
    </row>
    <row r="21" spans="1:29" ht="27.6">
      <c r="A21" s="428"/>
      <c r="B21" s="1384"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186"/>
      <c r="Q22" s="1810"/>
      <c r="R22" s="774"/>
      <c r="S22" s="775"/>
      <c r="T22" s="774"/>
      <c r="U22" s="775"/>
      <c r="V22" s="774"/>
      <c r="W22" s="775"/>
      <c r="X22" s="1813"/>
      <c r="Y22" s="3179"/>
      <c r="Z22" s="1814"/>
      <c r="AA22" s="1811">
        <v>1</v>
      </c>
      <c r="AB22" s="1811">
        <v>1</v>
      </c>
      <c r="AC22" s="1811">
        <v>1</v>
      </c>
    </row>
    <row r="23" spans="1:29" ht="55.2">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6"/>
      <c r="Q23" s="1810" t="str">
        <f>B23</f>
        <v>自然及人文环境</v>
      </c>
      <c r="R23" s="774" t="s">
        <v>21</v>
      </c>
      <c r="S23" s="775">
        <f>F23</f>
        <v>100</v>
      </c>
      <c r="T23" s="774" t="s">
        <v>21</v>
      </c>
      <c r="U23" s="775">
        <f>H23</f>
        <v>100</v>
      </c>
      <c r="V23" s="774" t="s">
        <v>21</v>
      </c>
      <c r="W23" s="775">
        <f>J23</f>
        <v>100</v>
      </c>
      <c r="X23" s="1813"/>
      <c r="Y23" s="3179"/>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8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9"/>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86"/>
      <c r="Q26" s="1810" t="str">
        <f t="shared" si="11"/>
        <v>朝向</v>
      </c>
      <c r="R26" s="774" t="s">
        <v>21</v>
      </c>
      <c r="S26" s="775">
        <f t="shared" si="12"/>
        <v>100</v>
      </c>
      <c r="T26" s="774" t="s">
        <v>21</v>
      </c>
      <c r="U26" s="775">
        <f t="shared" si="13"/>
        <v>100</v>
      </c>
      <c r="V26" s="774" t="s">
        <v>21</v>
      </c>
      <c r="W26" s="775">
        <f t="shared" si="14"/>
        <v>100</v>
      </c>
      <c r="X26" s="1813"/>
      <c r="Y26" s="317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86"/>
      <c r="Q27" s="1795">
        <f t="shared" si="11"/>
        <v>111</v>
      </c>
      <c r="R27" s="770" t="s">
        <v>21</v>
      </c>
      <c r="S27" s="771">
        <f t="shared" si="12"/>
        <v>100</v>
      </c>
      <c r="T27" s="770" t="s">
        <v>21</v>
      </c>
      <c r="U27" s="771">
        <f t="shared" si="13"/>
        <v>100</v>
      </c>
      <c r="V27" s="770" t="s">
        <v>21</v>
      </c>
      <c r="W27" s="771">
        <f t="shared" si="14"/>
        <v>100</v>
      </c>
      <c r="X27" s="772"/>
      <c r="Y27" s="317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86"/>
      <c r="Q28" s="1810">
        <f t="shared" si="11"/>
        <v>111</v>
      </c>
      <c r="R28" s="774" t="s">
        <v>21</v>
      </c>
      <c r="S28" s="775">
        <f t="shared" si="12"/>
        <v>100</v>
      </c>
      <c r="T28" s="774" t="s">
        <v>21</v>
      </c>
      <c r="U28" s="775">
        <f t="shared" si="13"/>
        <v>100</v>
      </c>
      <c r="V28" s="774" t="s">
        <v>21</v>
      </c>
      <c r="W28" s="775">
        <f t="shared" si="14"/>
        <v>100</v>
      </c>
      <c r="X28" s="1813"/>
      <c r="Y28" s="317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86"/>
      <c r="Q29" s="1810">
        <f t="shared" si="11"/>
        <v>111</v>
      </c>
      <c r="R29" s="774" t="s">
        <v>21</v>
      </c>
      <c r="S29" s="775">
        <f t="shared" si="12"/>
        <v>100</v>
      </c>
      <c r="T29" s="774" t="s">
        <v>21</v>
      </c>
      <c r="U29" s="775">
        <f t="shared" si="13"/>
        <v>100</v>
      </c>
      <c r="V29" s="774" t="s">
        <v>21</v>
      </c>
      <c r="W29" s="775">
        <f t="shared" si="14"/>
        <v>100</v>
      </c>
      <c r="X29" s="1813"/>
      <c r="Y29" s="317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86"/>
      <c r="Q30" s="1810">
        <f t="shared" si="11"/>
        <v>111</v>
      </c>
      <c r="R30" s="774" t="s">
        <v>21</v>
      </c>
      <c r="S30" s="775">
        <f t="shared" si="12"/>
        <v>100</v>
      </c>
      <c r="T30" s="774" t="s">
        <v>21</v>
      </c>
      <c r="U30" s="775">
        <f t="shared" si="13"/>
        <v>100</v>
      </c>
      <c r="V30" s="774" t="s">
        <v>21</v>
      </c>
      <c r="W30" s="775">
        <f t="shared" si="14"/>
        <v>100</v>
      </c>
      <c r="X30" s="1813"/>
      <c r="Y30" s="3179"/>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86"/>
      <c r="Q31" s="1810">
        <f t="shared" si="11"/>
        <v>111</v>
      </c>
      <c r="R31" s="774" t="s">
        <v>21</v>
      </c>
      <c r="S31" s="775">
        <f t="shared" si="12"/>
        <v>100</v>
      </c>
      <c r="T31" s="774" t="s">
        <v>21</v>
      </c>
      <c r="U31" s="775">
        <f t="shared" si="13"/>
        <v>100</v>
      </c>
      <c r="V31" s="774" t="s">
        <v>21</v>
      </c>
      <c r="W31" s="775">
        <f t="shared" si="14"/>
        <v>100</v>
      </c>
      <c r="X31" s="1813"/>
      <c r="Y31" s="3179"/>
      <c r="Z31" s="1814">
        <f t="shared" si="18"/>
        <v>111</v>
      </c>
      <c r="AA31" s="1811">
        <f t="shared" si="15"/>
        <v>1</v>
      </c>
      <c r="AB31" s="1811">
        <f t="shared" si="16"/>
        <v>1</v>
      </c>
      <c r="AC31" s="1811">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80" t="s">
        <v>2566</v>
      </c>
      <c r="Q32" s="1810" t="str">
        <f t="shared" si="11"/>
        <v>建筑类型</v>
      </c>
      <c r="R32" s="774" t="s">
        <v>21</v>
      </c>
      <c r="S32" s="775">
        <f t="shared" si="12"/>
        <v>100</v>
      </c>
      <c r="T32" s="774" t="s">
        <v>21</v>
      </c>
      <c r="U32" s="775">
        <f t="shared" si="13"/>
        <v>100</v>
      </c>
      <c r="V32" s="774" t="s">
        <v>21</v>
      </c>
      <c r="W32" s="775">
        <f t="shared" si="14"/>
        <v>100</v>
      </c>
      <c r="X32" s="1813"/>
      <c r="Y32" s="3183"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181"/>
      <c r="Q33" s="776" t="str">
        <f t="shared" si="11"/>
        <v>项目建筑规模</v>
      </c>
      <c r="R33" s="777" t="s">
        <v>21</v>
      </c>
      <c r="S33" s="778" t="e">
        <f t="shared" si="12"/>
        <v>#N/A</v>
      </c>
      <c r="T33" s="777" t="s">
        <v>21</v>
      </c>
      <c r="U33" s="778" t="e">
        <f t="shared" si="13"/>
        <v>#N/A</v>
      </c>
      <c r="V33" s="777" t="s">
        <v>21</v>
      </c>
      <c r="W33" s="778" t="e">
        <f t="shared" si="14"/>
        <v>#N/A</v>
      </c>
      <c r="X33" s="779"/>
      <c r="Y33" s="3183"/>
      <c r="Z33" s="780" t="str">
        <f t="shared" si="18"/>
        <v>项目建筑规模</v>
      </c>
      <c r="AA33" s="1811" t="e">
        <f t="shared" si="15"/>
        <v>#N/A</v>
      </c>
      <c r="AB33" s="1811" t="e">
        <f t="shared" si="16"/>
        <v>#N/A</v>
      </c>
      <c r="AC33" s="1811"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81"/>
      <c r="Q34" s="1810" t="str">
        <f t="shared" si="11"/>
        <v>建筑结构</v>
      </c>
      <c r="R34" s="774" t="s">
        <v>21</v>
      </c>
      <c r="S34" s="775">
        <f t="shared" si="12"/>
        <v>100</v>
      </c>
      <c r="T34" s="774" t="s">
        <v>21</v>
      </c>
      <c r="U34" s="775">
        <f t="shared" si="13"/>
        <v>100</v>
      </c>
      <c r="V34" s="774" t="s">
        <v>21</v>
      </c>
      <c r="W34" s="775">
        <f t="shared" si="14"/>
        <v>100</v>
      </c>
      <c r="X34" s="1813"/>
      <c r="Y34" s="3183"/>
      <c r="Z34" s="1814" t="str">
        <f t="shared" si="18"/>
        <v>建筑结构</v>
      </c>
      <c r="AA34" s="1811">
        <f t="shared" si="15"/>
        <v>1</v>
      </c>
      <c r="AB34" s="1811">
        <f t="shared" si="16"/>
        <v>1</v>
      </c>
      <c r="AC34" s="1811">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81"/>
      <c r="Q35" s="1810" t="str">
        <f t="shared" si="11"/>
        <v>建筑品质</v>
      </c>
      <c r="R35" s="774" t="s">
        <v>21</v>
      </c>
      <c r="S35" s="775">
        <f t="shared" si="12"/>
        <v>100</v>
      </c>
      <c r="T35" s="774" t="s">
        <v>21</v>
      </c>
      <c r="U35" s="775">
        <f t="shared" si="13"/>
        <v>100</v>
      </c>
      <c r="V35" s="774" t="s">
        <v>21</v>
      </c>
      <c r="W35" s="775">
        <f t="shared" si="14"/>
        <v>100</v>
      </c>
      <c r="X35" s="1813"/>
      <c r="Y35" s="3183"/>
      <c r="Z35" s="1814" t="str">
        <f t="shared" si="18"/>
        <v>建筑品质</v>
      </c>
      <c r="AA35" s="1811">
        <f t="shared" si="15"/>
        <v>1</v>
      </c>
      <c r="AB35" s="1811">
        <f t="shared" si="16"/>
        <v>1</v>
      </c>
      <c r="AC35" s="1811">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81"/>
      <c r="Q36" s="1810" t="str">
        <f t="shared" si="11"/>
        <v>公共部分装修</v>
      </c>
      <c r="R36" s="774" t="s">
        <v>21</v>
      </c>
      <c r="S36" s="775">
        <f t="shared" si="12"/>
        <v>100</v>
      </c>
      <c r="T36" s="774" t="s">
        <v>21</v>
      </c>
      <c r="U36" s="775">
        <f t="shared" si="13"/>
        <v>100</v>
      </c>
      <c r="V36" s="774" t="s">
        <v>21</v>
      </c>
      <c r="W36" s="775">
        <f t="shared" si="14"/>
        <v>100</v>
      </c>
      <c r="X36" s="1813"/>
      <c r="Y36" s="3183"/>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1"/>
      <c r="Q37" s="1795" t="str">
        <f t="shared" si="11"/>
        <v>成新度</v>
      </c>
      <c r="R37" s="770" t="s">
        <v>21</v>
      </c>
      <c r="S37" s="771" t="e">
        <f t="shared" si="12"/>
        <v>#N/A</v>
      </c>
      <c r="T37" s="770" t="s">
        <v>21</v>
      </c>
      <c r="U37" s="771" t="e">
        <f t="shared" si="13"/>
        <v>#N/A</v>
      </c>
      <c r="V37" s="770" t="s">
        <v>21</v>
      </c>
      <c r="W37" s="771" t="e">
        <f t="shared" si="14"/>
        <v>#N/A</v>
      </c>
      <c r="X37" s="772"/>
      <c r="Y37" s="3183"/>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81" t="s">
        <v>2566</v>
      </c>
      <c r="Q38" s="1810" t="str">
        <f t="shared" si="11"/>
        <v>物业管理</v>
      </c>
      <c r="R38" s="774" t="s">
        <v>21</v>
      </c>
      <c r="S38" s="775">
        <f t="shared" si="12"/>
        <v>100</v>
      </c>
      <c r="T38" s="774" t="s">
        <v>21</v>
      </c>
      <c r="U38" s="775">
        <f t="shared" si="13"/>
        <v>100</v>
      </c>
      <c r="V38" s="774" t="s">
        <v>21</v>
      </c>
      <c r="W38" s="775">
        <f t="shared" si="14"/>
        <v>100</v>
      </c>
      <c r="X38" s="1813"/>
      <c r="Y38" s="3183" t="s">
        <v>2566</v>
      </c>
      <c r="Z38" s="1814" t="str">
        <f t="shared" si="18"/>
        <v>物业管理</v>
      </c>
      <c r="AA38" s="1811">
        <f t="shared" si="15"/>
        <v>1</v>
      </c>
      <c r="AB38" s="1811">
        <f t="shared" si="16"/>
        <v>1</v>
      </c>
      <c r="AC38" s="1811">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81"/>
      <c r="Q39" s="1810" t="str">
        <f t="shared" si="11"/>
        <v>市政基础设施</v>
      </c>
      <c r="R39" s="774" t="s">
        <v>21</v>
      </c>
      <c r="S39" s="775">
        <f t="shared" si="12"/>
        <v>100</v>
      </c>
      <c r="T39" s="774" t="s">
        <v>21</v>
      </c>
      <c r="U39" s="775">
        <f t="shared" si="13"/>
        <v>100</v>
      </c>
      <c r="V39" s="774" t="s">
        <v>21</v>
      </c>
      <c r="W39" s="775">
        <f t="shared" si="14"/>
        <v>100</v>
      </c>
      <c r="X39" s="1813"/>
      <c r="Y39" s="3183"/>
      <c r="Z39" s="1814" t="str">
        <f t="shared" si="18"/>
        <v>市政基础设施</v>
      </c>
      <c r="AA39" s="1811">
        <f t="shared" si="15"/>
        <v>1</v>
      </c>
      <c r="AB39" s="1811">
        <f t="shared" si="16"/>
        <v>1</v>
      </c>
      <c r="AC39" s="1811">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81"/>
      <c r="Q40" s="1810" t="str">
        <f t="shared" si="11"/>
        <v>房型</v>
      </c>
      <c r="R40" s="774" t="s">
        <v>21</v>
      </c>
      <c r="S40" s="775">
        <f t="shared" si="12"/>
        <v>100</v>
      </c>
      <c r="T40" s="774" t="s">
        <v>21</v>
      </c>
      <c r="U40" s="775">
        <f t="shared" si="13"/>
        <v>100</v>
      </c>
      <c r="V40" s="774" t="s">
        <v>21</v>
      </c>
      <c r="W40" s="775">
        <f t="shared" si="14"/>
        <v>100</v>
      </c>
      <c r="X40" s="1813"/>
      <c r="Y40" s="3183"/>
      <c r="Z40" s="1814" t="str">
        <f t="shared" si="18"/>
        <v>房型</v>
      </c>
      <c r="AA40" s="1811">
        <f t="shared" si="15"/>
        <v>1</v>
      </c>
      <c r="AB40" s="1811">
        <f t="shared" si="16"/>
        <v>1</v>
      </c>
      <c r="AC40" s="1811">
        <f t="shared" si="17"/>
        <v>1</v>
      </c>
    </row>
    <row r="41" spans="1:29" s="471" customFormat="1" ht="28.8">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81"/>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11">
        <f t="shared" si="15"/>
        <v>1</v>
      </c>
      <c r="AB41" s="1811">
        <f t="shared" si="16"/>
        <v>1</v>
      </c>
      <c r="AC41" s="1811">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81"/>
      <c r="Q42" s="1810" t="str">
        <f t="shared" si="11"/>
        <v>内部装修</v>
      </c>
      <c r="R42" s="774" t="s">
        <v>21</v>
      </c>
      <c r="S42" s="775">
        <f t="shared" si="12"/>
        <v>100</v>
      </c>
      <c r="T42" s="774" t="s">
        <v>21</v>
      </c>
      <c r="U42" s="775">
        <f t="shared" si="13"/>
        <v>100</v>
      </c>
      <c r="V42" s="774" t="s">
        <v>21</v>
      </c>
      <c r="W42" s="775">
        <f t="shared" si="14"/>
        <v>100</v>
      </c>
      <c r="X42" s="1813"/>
      <c r="Y42" s="3183"/>
      <c r="Z42" s="1814" t="str">
        <f t="shared" si="18"/>
        <v>内部装修</v>
      </c>
      <c r="AA42" s="1811">
        <f t="shared" si="15"/>
        <v>1</v>
      </c>
      <c r="AB42" s="1811">
        <f t="shared" si="16"/>
        <v>1</v>
      </c>
      <c r="AC42" s="1811">
        <f t="shared" si="17"/>
        <v>1</v>
      </c>
    </row>
    <row r="43" spans="1:29" ht="28.8">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81"/>
      <c r="Q43" s="1810" t="str">
        <f t="shared" si="11"/>
        <v>内部装修维护情况</v>
      </c>
      <c r="R43" s="774" t="s">
        <v>21</v>
      </c>
      <c r="S43" s="775">
        <f t="shared" si="12"/>
        <v>100</v>
      </c>
      <c r="T43" s="774" t="s">
        <v>21</v>
      </c>
      <c r="U43" s="775">
        <f t="shared" si="13"/>
        <v>100</v>
      </c>
      <c r="V43" s="774" t="s">
        <v>21</v>
      </c>
      <c r="W43" s="775">
        <f t="shared" si="14"/>
        <v>100</v>
      </c>
      <c r="X43" s="1813"/>
      <c r="Y43" s="318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81"/>
      <c r="Q44" s="1795">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81"/>
      <c r="Q45" s="1810">
        <f t="shared" si="11"/>
        <v>111</v>
      </c>
      <c r="R45" s="774" t="s">
        <v>21</v>
      </c>
      <c r="S45" s="775">
        <f t="shared" si="12"/>
        <v>100</v>
      </c>
      <c r="T45" s="774" t="s">
        <v>21</v>
      </c>
      <c r="U45" s="775">
        <f t="shared" si="13"/>
        <v>100</v>
      </c>
      <c r="V45" s="774" t="s">
        <v>21</v>
      </c>
      <c r="W45" s="775">
        <f t="shared" si="14"/>
        <v>100</v>
      </c>
      <c r="X45" s="1813"/>
      <c r="Y45" s="3183"/>
      <c r="Z45" s="1814">
        <f t="shared" si="18"/>
        <v>111</v>
      </c>
      <c r="AA45" s="1811">
        <f t="shared" si="15"/>
        <v>1</v>
      </c>
      <c r="AB45" s="1811">
        <f t="shared" si="16"/>
        <v>1</v>
      </c>
      <c r="AC45" s="1811">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82"/>
      <c r="Q46" s="1810">
        <f t="shared" si="11"/>
        <v>111</v>
      </c>
      <c r="R46" s="774" t="s">
        <v>20</v>
      </c>
      <c r="S46" s="775">
        <f t="shared" si="12"/>
        <v>100</v>
      </c>
      <c r="T46" s="774" t="s">
        <v>20</v>
      </c>
      <c r="U46" s="775">
        <f t="shared" si="13"/>
        <v>100</v>
      </c>
      <c r="V46" s="774" t="s">
        <v>20</v>
      </c>
      <c r="W46" s="775">
        <f t="shared" si="14"/>
        <v>100</v>
      </c>
      <c r="X46" s="1813"/>
      <c r="Y46" s="3184"/>
      <c r="Z46" s="1814">
        <f t="shared" si="18"/>
        <v>111</v>
      </c>
      <c r="AA46" s="1811">
        <f t="shared" si="15"/>
        <v>1</v>
      </c>
      <c r="AB46" s="1811">
        <f t="shared" si="16"/>
        <v>1</v>
      </c>
      <c r="AC46" s="1811">
        <f t="shared" si="17"/>
        <v>1</v>
      </c>
    </row>
    <row r="47" spans="1:29" ht="14.4">
      <c r="A47" s="479" t="s">
        <v>2578</v>
      </c>
      <c r="B47" s="480"/>
      <c r="C47" s="1407" t="s">
        <v>19</v>
      </c>
      <c r="D47" s="1408"/>
      <c r="E47" s="1409"/>
      <c r="F47" s="1410"/>
      <c r="G47" s="1411"/>
      <c r="H47" s="1412"/>
      <c r="I47" s="1409"/>
      <c r="J47" s="1412"/>
      <c r="K47" s="2623"/>
      <c r="L47" s="1143"/>
      <c r="M47" s="1144"/>
      <c r="N47" s="1131"/>
      <c r="O47" s="1144"/>
      <c r="P47" s="3176" t="str">
        <f>A47</f>
        <v>成交单价（元/平方米）</v>
      </c>
      <c r="Q47" s="3176"/>
      <c r="R47" s="3177">
        <f>E47</f>
        <v>0</v>
      </c>
      <c r="S47" s="3177"/>
      <c r="T47" s="3177">
        <f>G47</f>
        <v>0</v>
      </c>
      <c r="U47" s="3177"/>
      <c r="V47" s="3177">
        <f>I47</f>
        <v>0</v>
      </c>
      <c r="W47" s="3177"/>
      <c r="X47" s="759"/>
      <c r="Y47" s="781"/>
      <c r="Z47" s="759"/>
      <c r="AA47" s="759"/>
      <c r="AB47" s="759"/>
      <c r="AC47" s="759"/>
    </row>
    <row r="48" spans="1:29" ht="15" thickBot="1">
      <c r="A48" s="486" t="s">
        <v>2579</v>
      </c>
      <c r="B48" s="487"/>
      <c r="C48" s="1413" t="e">
        <f>R49</f>
        <v>#DIV/0!</v>
      </c>
      <c r="D48" s="1414"/>
      <c r="E48" s="1415" t="e">
        <f>R48</f>
        <v>#DIV/0!</v>
      </c>
      <c r="F48" s="1415"/>
      <c r="G48" s="1413" t="e">
        <f>T48</f>
        <v>#DIV/0!</v>
      </c>
      <c r="H48" s="1414"/>
      <c r="I48" s="1415" t="e">
        <f>V48</f>
        <v>#DIV/0!</v>
      </c>
      <c r="J48" s="1414"/>
      <c r="K48" s="2624"/>
      <c r="L48" s="1143"/>
      <c r="M48" s="1144"/>
      <c r="N48" s="1144"/>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 thickBot="1">
      <c r="A49" s="492" t="s">
        <v>2580</v>
      </c>
      <c r="B49" s="493"/>
      <c r="C49" s="1416" t="e">
        <f>R49</f>
        <v>#DIV/0!</v>
      </c>
      <c r="D49" s="1417"/>
      <c r="E49" s="1417"/>
      <c r="F49" s="1417"/>
      <c r="G49" s="1417"/>
      <c r="H49" s="1417"/>
      <c r="I49" s="1417"/>
      <c r="J49" s="1417"/>
      <c r="K49" s="2625"/>
      <c r="L49" s="1143"/>
      <c r="M49" s="1144"/>
      <c r="N49" s="1144"/>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2.2" thickBot="1">
      <c r="A57" s="763" t="s">
        <v>2584</v>
      </c>
      <c r="B57" s="759"/>
      <c r="C57" s="764"/>
      <c r="D57" s="764"/>
      <c r="E57" s="764"/>
      <c r="F57" s="765"/>
      <c r="G57" s="765"/>
      <c r="H57" s="764"/>
      <c r="I57" s="764"/>
      <c r="J57" s="764"/>
      <c r="K57" s="1160"/>
      <c r="L57" s="1161"/>
      <c r="M57" s="1159"/>
      <c r="N57" s="1159"/>
      <c r="O57" s="1159"/>
      <c r="P57" s="2628"/>
      <c r="Q57" s="504"/>
    </row>
    <row r="58" spans="1:29" s="508" customFormat="1" ht="14.4">
      <c r="A58" s="505" t="s">
        <v>2585</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c r="A59" s="509"/>
      <c r="B59" s="2629"/>
      <c r="C59" s="1573">
        <v>100</v>
      </c>
      <c r="D59" s="511"/>
      <c r="E59" s="512"/>
      <c r="F59" s="512"/>
      <c r="G59" s="512"/>
      <c r="H59" s="512"/>
      <c r="I59" s="512"/>
      <c r="J59" s="512"/>
      <c r="K59" s="512"/>
      <c r="L59" s="512"/>
      <c r="M59" s="513"/>
      <c r="N59" s="512"/>
      <c r="O59" s="513"/>
      <c r="P59" s="2630"/>
    </row>
    <row r="60" spans="1:29" s="117" customFormat="1" ht="15" thickBot="1">
      <c r="A60" s="515" t="s">
        <v>2586</v>
      </c>
      <c r="B60" s="516"/>
      <c r="C60" s="517"/>
      <c r="D60" s="518"/>
      <c r="E60" s="518"/>
      <c r="F60" s="518"/>
      <c r="G60" s="518"/>
      <c r="H60" s="518"/>
      <c r="I60" s="518"/>
      <c r="J60" s="518"/>
      <c r="K60" s="518"/>
      <c r="L60" s="518"/>
      <c r="M60" s="519"/>
      <c r="N60" s="518"/>
      <c r="O60" s="519"/>
      <c r="P60" s="2630"/>
      <c r="Q60" s="504"/>
    </row>
    <row r="61" spans="1:29" s="117" customFormat="1" ht="14.4">
      <c r="A61" s="521" t="s">
        <v>2587</v>
      </c>
      <c r="B61" s="510"/>
      <c r="C61" s="522" t="s">
        <v>2588</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2589</v>
      </c>
      <c r="B63" s="528" t="s">
        <v>2555</v>
      </c>
      <c r="C63" s="529">
        <f>C9</f>
        <v>0</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60"/>
      <c r="E73" s="560"/>
      <c r="F73" s="560"/>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2097</v>
      </c>
      <c r="C82" s="539" t="s">
        <v>2605</v>
      </c>
      <c r="D82" s="539" t="s">
        <v>2606</v>
      </c>
      <c r="E82" s="539" t="s">
        <v>2607</v>
      </c>
      <c r="F82" s="539" t="s">
        <v>2608</v>
      </c>
      <c r="G82" s="539" t="s">
        <v>2609</v>
      </c>
      <c r="H82" s="539"/>
      <c r="I82" s="539"/>
      <c r="J82" s="539"/>
      <c r="K82" s="539"/>
      <c r="L82" s="539"/>
      <c r="M82" s="1382"/>
      <c r="N82" s="1153"/>
      <c r="O82" s="1153"/>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2611</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 thickTop="1">
      <c r="A88" s="579"/>
      <c r="B88" s="538" t="s">
        <v>2612</v>
      </c>
      <c r="C88" s="554"/>
      <c r="D88" s="554"/>
      <c r="E88" s="554"/>
      <c r="F88" s="2637"/>
      <c r="G88" s="554"/>
      <c r="H88" s="554"/>
      <c r="I88" s="554"/>
      <c r="J88" s="554"/>
      <c r="K88" s="554"/>
      <c r="L88" s="554"/>
      <c r="M88" s="581"/>
      <c r="N88" s="1151"/>
      <c r="O88" s="1151"/>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4" thickTop="1">
      <c r="A90" s="553"/>
      <c r="B90" s="538">
        <f>B27</f>
        <v>111</v>
      </c>
      <c r="C90" s="554"/>
      <c r="D90" s="554"/>
      <c r="E90" s="554"/>
      <c r="F90" s="554"/>
      <c r="G90" s="554"/>
      <c r="H90" s="555"/>
      <c r="I90" s="555"/>
      <c r="J90" s="555"/>
      <c r="K90" s="555"/>
      <c r="L90" s="556"/>
      <c r="M90" s="557"/>
      <c r="N90" s="1154"/>
      <c r="O90" s="1154"/>
      <c r="P90" s="2633"/>
      <c r="Q90" s="559"/>
    </row>
    <row r="91" spans="1:17" s="471" customFormat="1" ht="14.4" thickBot="1">
      <c r="A91" s="553"/>
      <c r="B91" s="543"/>
      <c r="C91" s="560"/>
      <c r="D91" s="560"/>
      <c r="E91" s="560"/>
      <c r="F91" s="560"/>
      <c r="G91" s="560"/>
      <c r="H91" s="562"/>
      <c r="I91" s="562"/>
      <c r="J91" s="562"/>
      <c r="K91" s="562"/>
      <c r="L91" s="562"/>
      <c r="M91" s="563"/>
      <c r="N91" s="1154"/>
      <c r="O91" s="1154"/>
      <c r="P91" s="2633"/>
      <c r="Q91" s="559"/>
    </row>
    <row r="92" spans="1:17" ht="14.4" thickTop="1">
      <c r="A92" s="534"/>
      <c r="B92" s="538">
        <f>B28</f>
        <v>111</v>
      </c>
      <c r="C92" s="554"/>
      <c r="D92" s="554"/>
      <c r="E92" s="554"/>
      <c r="F92" s="554"/>
      <c r="G92" s="583"/>
      <c r="H92" s="583"/>
      <c r="I92" s="583"/>
      <c r="J92" s="583"/>
      <c r="K92" s="584"/>
      <c r="L92" s="585"/>
      <c r="M92" s="586"/>
      <c r="N92" s="1152"/>
      <c r="O92" s="1152"/>
      <c r="P92" s="2632"/>
      <c r="Q92" s="504"/>
    </row>
    <row r="93" spans="1:17" ht="14.4" thickBot="1">
      <c r="A93" s="534"/>
      <c r="B93" s="543"/>
      <c r="C93" s="560"/>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60"/>
      <c r="E95" s="560"/>
      <c r="F95" s="560"/>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70"/>
      <c r="D97" s="570"/>
      <c r="E97" s="570"/>
      <c r="F97" s="570"/>
      <c r="G97" s="536"/>
      <c r="H97" s="536"/>
      <c r="I97" s="536"/>
      <c r="J97" s="536"/>
      <c r="K97" s="536"/>
      <c r="L97" s="536"/>
      <c r="M97" s="537"/>
      <c r="N97" s="1153"/>
      <c r="O97" s="1153"/>
      <c r="P97" s="2632"/>
      <c r="Q97" s="504"/>
    </row>
    <row r="98" spans="1:17" ht="14.4" thickTop="1">
      <c r="A98" s="534"/>
      <c r="B98" s="546">
        <f>B31</f>
        <v>111</v>
      </c>
      <c r="C98" s="587"/>
      <c r="D98" s="587"/>
      <c r="E98" s="587"/>
      <c r="F98" s="587"/>
      <c r="G98" s="587"/>
      <c r="H98" s="587"/>
      <c r="I98" s="587"/>
      <c r="J98" s="587"/>
      <c r="K98" s="588"/>
      <c r="L98" s="589"/>
      <c r="M98" s="590"/>
      <c r="N98" s="1152"/>
      <c r="O98" s="1152"/>
      <c r="P98" s="2632"/>
      <c r="Q98" s="504"/>
    </row>
    <row r="99" spans="1:17" ht="14.4" thickBot="1">
      <c r="A99" s="2638"/>
      <c r="B99" s="569"/>
      <c r="C99" s="591"/>
      <c r="D99" s="591"/>
      <c r="E99" s="591"/>
      <c r="F99" s="591"/>
      <c r="G99" s="591"/>
      <c r="H99" s="591"/>
      <c r="I99" s="591"/>
      <c r="J99" s="591"/>
      <c r="K99" s="591"/>
      <c r="L99" s="591"/>
      <c r="M99" s="592"/>
      <c r="N99" s="1153"/>
      <c r="O99" s="1153"/>
      <c r="P99" s="2632"/>
      <c r="Q99" s="504"/>
    </row>
    <row r="100" spans="1:17" ht="14.4">
      <c r="A100" s="527" t="s">
        <v>2564</v>
      </c>
      <c r="B100" s="528" t="s">
        <v>2613</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4"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60"/>
      <c r="E129" s="560"/>
      <c r="F129" s="560"/>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6.2"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ht="14.4">
      <c r="B147" s="2639" t="s">
        <v>2641</v>
      </c>
    </row>
    <row r="148" spans="2:11" ht="14.4">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L50" sqref="L5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2529</v>
      </c>
      <c r="B1" s="2584" t="s">
        <v>2643</v>
      </c>
      <c r="C1" s="1634" t="s">
        <v>2531</v>
      </c>
      <c r="D1" s="1621" t="s">
        <v>1373</v>
      </c>
      <c r="E1" s="2659"/>
      <c r="F1" s="2586" t="s">
        <v>3247</v>
      </c>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t="e">
        <f>IF(C2="——",ROUND(C49*D3/10000,0),ROUND(C49*D3/10000,0)-D2)</f>
        <v>#DIV/0!</v>
      </c>
      <c r="C2" s="2588" t="s">
        <v>70</v>
      </c>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IF(C2="——",C49,ROUND(B2*10000/D3,0))</f>
        <v>#DIV/0!</v>
      </c>
      <c r="C3" s="400" t="s">
        <v>2645</v>
      </c>
      <c r="D3" s="399">
        <f>IF(D1="",'数据-汇总表'!E3,SUMIF('数据-汇总表'!$C19:$C33,D1,'数据-汇总表'!$E19:$E33))</f>
        <v>14854.04</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4.4">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201" t="s">
        <v>2648</v>
      </c>
      <c r="S4" s="3202"/>
      <c r="T4" s="3201" t="s">
        <v>2649</v>
      </c>
      <c r="U4" s="3202"/>
      <c r="V4" s="3207" t="s">
        <v>2650</v>
      </c>
      <c r="W4" s="3207"/>
      <c r="X4" s="1813"/>
      <c r="Y4" s="3201" t="s">
        <v>2652</v>
      </c>
      <c r="Z4" s="3202"/>
      <c r="AA4" s="3188" t="s">
        <v>2648</v>
      </c>
      <c r="AB4" s="3207" t="s">
        <v>2649</v>
      </c>
      <c r="AC4" s="3188" t="s">
        <v>2650</v>
      </c>
    </row>
    <row r="5" spans="1:29">
      <c r="A5" s="404"/>
      <c r="B5" s="405"/>
      <c r="C5" s="3210" t="s">
        <v>2543</v>
      </c>
      <c r="D5" s="3211"/>
      <c r="E5" s="3217" t="s">
        <v>2544</v>
      </c>
      <c r="F5" s="3218"/>
      <c r="G5" s="3210" t="s">
        <v>2545</v>
      </c>
      <c r="H5" s="3211"/>
      <c r="I5" s="3210" t="s">
        <v>2546</v>
      </c>
      <c r="J5" s="3211"/>
      <c r="K5" s="610"/>
      <c r="L5" s="1130"/>
      <c r="M5" s="1131"/>
      <c r="N5" s="1131"/>
      <c r="O5" s="1131"/>
      <c r="P5" s="3197"/>
      <c r="Q5" s="3198"/>
      <c r="R5" s="3203"/>
      <c r="S5" s="3204"/>
      <c r="T5" s="3203"/>
      <c r="U5" s="3204"/>
      <c r="V5" s="3207"/>
      <c r="W5" s="3207"/>
      <c r="X5" s="1813"/>
      <c r="Y5" s="3203"/>
      <c r="Z5" s="3204"/>
      <c r="AA5" s="3189"/>
      <c r="AB5" s="3207"/>
      <c r="AC5" s="3189"/>
    </row>
    <row r="6" spans="1:29" ht="15" thickBot="1">
      <c r="A6" s="406"/>
      <c r="B6" s="407"/>
      <c r="C6" s="3208" t="s">
        <v>2547</v>
      </c>
      <c r="D6" s="3209"/>
      <c r="E6" s="3215" t="s">
        <v>2547</v>
      </c>
      <c r="F6" s="3216"/>
      <c r="G6" s="3208" t="s">
        <v>2547</v>
      </c>
      <c r="H6" s="3209"/>
      <c r="I6" s="3208" t="s">
        <v>2547</v>
      </c>
      <c r="J6" s="3209"/>
      <c r="K6" s="610" t="s">
        <v>2548</v>
      </c>
      <c r="L6" s="1130"/>
      <c r="M6" s="1131"/>
      <c r="N6" s="1131"/>
      <c r="O6" s="1131"/>
      <c r="P6" s="3199"/>
      <c r="Q6" s="3200"/>
      <c r="R6" s="3203"/>
      <c r="S6" s="3204"/>
      <c r="T6" s="3205"/>
      <c r="U6" s="3206"/>
      <c r="V6" s="3207"/>
      <c r="W6" s="3207"/>
      <c r="X6" s="1813"/>
      <c r="Y6" s="3205"/>
      <c r="Z6" s="3206"/>
      <c r="AA6" s="3190"/>
      <c r="AB6" s="3207"/>
      <c r="AC6" s="3190"/>
    </row>
    <row r="7" spans="1:29" s="117" customFormat="1" ht="15" thickBot="1">
      <c r="A7" s="408" t="s">
        <v>2549</v>
      </c>
      <c r="B7" s="409"/>
      <c r="C7" s="410">
        <f>'数据-取费表'!B2</f>
        <v>43675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2550</v>
      </c>
      <c r="Q7" s="3214"/>
      <c r="R7" s="770" t="s">
        <v>17</v>
      </c>
      <c r="S7" s="771">
        <f t="shared" ref="S7:S15" si="0">F7</f>
        <v>0</v>
      </c>
      <c r="T7" s="770" t="s">
        <v>17</v>
      </c>
      <c r="U7" s="771">
        <f t="shared" ref="U7:U15" si="1">H7</f>
        <v>0</v>
      </c>
      <c r="V7" s="770" t="s">
        <v>17</v>
      </c>
      <c r="W7" s="771">
        <f t="shared" ref="W7:W15" si="2">J7</f>
        <v>0</v>
      </c>
      <c r="X7" s="772"/>
      <c r="Y7" s="3212" t="s">
        <v>2550</v>
      </c>
      <c r="Z7" s="3213"/>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2553</v>
      </c>
      <c r="Q8" s="3213"/>
      <c r="R8" s="770" t="s">
        <v>17</v>
      </c>
      <c r="S8" s="771">
        <f t="shared" si="0"/>
        <v>0</v>
      </c>
      <c r="T8" s="770" t="s">
        <v>17</v>
      </c>
      <c r="U8" s="771">
        <f t="shared" si="1"/>
        <v>0</v>
      </c>
      <c r="V8" s="770" t="s">
        <v>17</v>
      </c>
      <c r="W8" s="771">
        <f t="shared" si="2"/>
        <v>0</v>
      </c>
      <c r="X8" s="772"/>
      <c r="Y8" s="3212" t="s">
        <v>2553</v>
      </c>
      <c r="Z8" s="3213"/>
      <c r="AA8" s="773" t="e">
        <f t="shared" ref="AA8:AA46" si="3">D8/F8</f>
        <v>#DIV/0!</v>
      </c>
      <c r="AB8" s="773" t="e">
        <f t="shared" ref="AB8:AB46" si="4">D8/H8</f>
        <v>#DIV/0!</v>
      </c>
      <c r="AC8" s="773" t="e">
        <f t="shared" ref="AC8:AC46" si="5">D8/J8</f>
        <v>#DIV/0!</v>
      </c>
    </row>
    <row r="9" spans="1:29" s="117" customFormat="1" ht="14.4">
      <c r="A9" s="415" t="s">
        <v>2554</v>
      </c>
      <c r="B9" s="71" t="s">
        <v>2555</v>
      </c>
      <c r="C9" s="3429" t="s">
        <v>3254</v>
      </c>
      <c r="D9" s="135">
        <v>100</v>
      </c>
      <c r="E9" s="417"/>
      <c r="F9" s="418">
        <f>SUMIF(63:63,E9,64:64)-SUMIF(63:63,C9,64:64)+100</f>
        <v>0</v>
      </c>
      <c r="G9" s="417"/>
      <c r="H9" s="135">
        <f>SUMIF(63:63,G9,64:64)-SUMIF(63:63,C9,64:64)+100</f>
        <v>0</v>
      </c>
      <c r="I9" s="417"/>
      <c r="J9" s="135">
        <f>SUMIF(63:63,I9,64:64)-SUMIF(63:63,C9,64:64)+100</f>
        <v>0</v>
      </c>
      <c r="K9" s="611"/>
      <c r="L9" s="1132"/>
      <c r="M9" s="1133"/>
      <c r="N9" s="1133"/>
      <c r="O9" s="1133"/>
      <c r="P9" s="3187" t="s">
        <v>2556</v>
      </c>
      <c r="Q9" s="1795" t="str">
        <f t="shared" ref="Q9:Q15" si="6">B9</f>
        <v>用途</v>
      </c>
      <c r="R9" s="770" t="s">
        <v>17</v>
      </c>
      <c r="S9" s="771">
        <f t="shared" si="0"/>
        <v>0</v>
      </c>
      <c r="T9" s="770" t="s">
        <v>17</v>
      </c>
      <c r="U9" s="771">
        <f t="shared" si="1"/>
        <v>0</v>
      </c>
      <c r="V9" s="770" t="s">
        <v>17</v>
      </c>
      <c r="W9" s="771">
        <f t="shared" si="2"/>
        <v>0</v>
      </c>
      <c r="X9" s="772"/>
      <c r="Y9" s="3001" t="s">
        <v>2557</v>
      </c>
      <c r="Z9" s="55" t="str">
        <f t="shared" ref="Z9:Z15" si="7">Q9</f>
        <v>用途</v>
      </c>
      <c r="AA9" s="773" t="e">
        <f t="shared" si="3"/>
        <v>#DIV/0!</v>
      </c>
      <c r="AB9" s="773" t="e">
        <f t="shared" si="4"/>
        <v>#DIV/0!</v>
      </c>
      <c r="AC9" s="773" t="e">
        <f t="shared" si="5"/>
        <v>#DIV/0!</v>
      </c>
    </row>
    <row r="10" spans="1:29" s="427" customFormat="1" ht="28.8">
      <c r="A10" s="421"/>
      <c r="B10" s="422" t="s">
        <v>2558</v>
      </c>
      <c r="C10" s="423" t="s">
        <v>3255</v>
      </c>
      <c r="D10" s="136">
        <v>100</v>
      </c>
      <c r="E10" s="424"/>
      <c r="F10" s="425">
        <f>SUMIF(65:65,E10,66:66)-SUMIF(65:65,C10,66:66)+100</f>
        <v>0</v>
      </c>
      <c r="G10" s="423"/>
      <c r="H10" s="136">
        <f>SUMIF(65:65,G10,66:66)-SUMIF(65:65,C10,66:66)+100</f>
        <v>0</v>
      </c>
      <c r="I10" s="423"/>
      <c r="J10" s="136">
        <f>SUMIF(65:65,I10,66:66)-SUMIF(65:65,C10,66:66)+100</f>
        <v>0</v>
      </c>
      <c r="K10" s="612"/>
      <c r="L10" s="1135"/>
      <c r="M10" s="1136"/>
      <c r="N10" s="1136"/>
      <c r="O10" s="1136"/>
      <c r="P10" s="3187"/>
      <c r="Q10" s="1795" t="str">
        <f t="shared" si="6"/>
        <v>土地使用年限（年）</v>
      </c>
      <c r="R10" s="770" t="s">
        <v>17</v>
      </c>
      <c r="S10" s="771">
        <f t="shared" si="0"/>
        <v>0</v>
      </c>
      <c r="T10" s="770" t="s">
        <v>17</v>
      </c>
      <c r="U10" s="771">
        <f t="shared" si="1"/>
        <v>0</v>
      </c>
      <c r="V10" s="770" t="s">
        <v>17</v>
      </c>
      <c r="W10" s="771">
        <f t="shared" si="2"/>
        <v>0</v>
      </c>
      <c r="X10" s="772"/>
      <c r="Y10" s="3001"/>
      <c r="Z10" s="55" t="str">
        <f t="shared" si="7"/>
        <v>土地使用年限（年）</v>
      </c>
      <c r="AA10" s="773" t="e">
        <f t="shared" si="3"/>
        <v>#DIV/0!</v>
      </c>
      <c r="AB10" s="773" t="e">
        <f t="shared" si="4"/>
        <v>#DIV/0!</v>
      </c>
      <c r="AC10" s="773" t="e">
        <f t="shared" si="5"/>
        <v>#DIV/0!</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69">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5" t="s">
        <v>2561</v>
      </c>
      <c r="Q15" s="1810" t="str">
        <f t="shared" si="6"/>
        <v>商业繁华度</v>
      </c>
      <c r="R15" s="774" t="s">
        <v>17</v>
      </c>
      <c r="S15" s="775">
        <f t="shared" si="0"/>
        <v>100</v>
      </c>
      <c r="T15" s="774" t="s">
        <v>17</v>
      </c>
      <c r="U15" s="775">
        <f t="shared" si="1"/>
        <v>100</v>
      </c>
      <c r="V15" s="774" t="s">
        <v>17</v>
      </c>
      <c r="W15" s="775">
        <f t="shared" si="2"/>
        <v>100</v>
      </c>
      <c r="X15" s="1813"/>
      <c r="Y15" s="3178"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1811">
        <v>1</v>
      </c>
    </row>
    <row r="17" spans="1:29" ht="82.8">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186"/>
      <c r="Q18" s="1810"/>
      <c r="R18" s="774"/>
      <c r="S18" s="775"/>
      <c r="T18" s="774"/>
      <c r="U18" s="775"/>
      <c r="V18" s="774"/>
      <c r="W18" s="775"/>
      <c r="X18" s="1813"/>
      <c r="Y18" s="3179"/>
      <c r="Z18" s="1814"/>
      <c r="AA18" s="1811">
        <v>1</v>
      </c>
      <c r="AB18" s="1811">
        <v>1</v>
      </c>
      <c r="AC18" s="1811">
        <v>1</v>
      </c>
    </row>
    <row r="19" spans="1:29" ht="41.4">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186"/>
      <c r="Q20" s="1810"/>
      <c r="R20" s="774"/>
      <c r="S20" s="775"/>
      <c r="T20" s="774"/>
      <c r="U20" s="775"/>
      <c r="V20" s="774"/>
      <c r="W20" s="775"/>
      <c r="X20" s="1813"/>
      <c r="Y20" s="3179"/>
      <c r="Z20" s="1814"/>
      <c r="AA20" s="1811">
        <v>1</v>
      </c>
      <c r="AB20" s="1811">
        <v>1</v>
      </c>
      <c r="AC20" s="1811">
        <v>1</v>
      </c>
    </row>
    <row r="21" spans="1:29" ht="27.6">
      <c r="A21" s="428"/>
      <c r="B21" s="1384"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186"/>
      <c r="Q22" s="1810"/>
      <c r="R22" s="774"/>
      <c r="S22" s="775"/>
      <c r="T22" s="774"/>
      <c r="U22" s="775"/>
      <c r="V22" s="774"/>
      <c r="W22" s="775"/>
      <c r="X22" s="1813"/>
      <c r="Y22" s="3179"/>
      <c r="Z22" s="1814"/>
      <c r="AA22" s="1811">
        <v>1</v>
      </c>
      <c r="AB22" s="1811">
        <v>1</v>
      </c>
      <c r="AC22" s="1811">
        <v>1</v>
      </c>
    </row>
    <row r="23" spans="1:29" ht="55.2">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6"/>
      <c r="Q23" s="1810" t="str">
        <f>B23</f>
        <v>自然及人文环境</v>
      </c>
      <c r="R23" s="774" t="s">
        <v>17</v>
      </c>
      <c r="S23" s="775">
        <f>F23</f>
        <v>100</v>
      </c>
      <c r="T23" s="774" t="s">
        <v>17</v>
      </c>
      <c r="U23" s="775">
        <f>H23</f>
        <v>100</v>
      </c>
      <c r="V23" s="774" t="s">
        <v>17</v>
      </c>
      <c r="W23" s="775">
        <f>J23</f>
        <v>100</v>
      </c>
      <c r="X23" s="1813"/>
      <c r="Y23" s="3179"/>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6"/>
      <c r="Q25" s="1810" t="str">
        <f t="shared" ref="Q25:Q46" si="11">B25</f>
        <v>临街状况</v>
      </c>
      <c r="R25" s="774" t="s">
        <v>17</v>
      </c>
      <c r="S25" s="775">
        <f>F25</f>
        <v>100</v>
      </c>
      <c r="T25" s="774" t="s">
        <v>17</v>
      </c>
      <c r="U25" s="775">
        <f>H25</f>
        <v>100</v>
      </c>
      <c r="V25" s="774" t="s">
        <v>17</v>
      </c>
      <c r="W25" s="775">
        <f>J25</f>
        <v>100</v>
      </c>
      <c r="X25" s="1813"/>
      <c r="Y25" s="3179"/>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6"/>
      <c r="Q26" s="1810" t="str">
        <f t="shared" si="11"/>
        <v>平面位置/可视性</v>
      </c>
      <c r="R26" s="774" t="s">
        <v>17</v>
      </c>
      <c r="S26" s="775">
        <f>F26</f>
        <v>100</v>
      </c>
      <c r="T26" s="774" t="s">
        <v>17</v>
      </c>
      <c r="U26" s="775">
        <f>H26</f>
        <v>100</v>
      </c>
      <c r="V26" s="774" t="s">
        <v>17</v>
      </c>
      <c r="W26" s="775">
        <f>J26</f>
        <v>100</v>
      </c>
      <c r="X26" s="1813"/>
      <c r="Y26" s="3179"/>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86"/>
      <c r="Q27" s="1795" t="str">
        <f t="shared" si="11"/>
        <v>人流量</v>
      </c>
      <c r="R27" s="770" t="s">
        <v>17</v>
      </c>
      <c r="S27" s="771">
        <f>F27</f>
        <v>100</v>
      </c>
      <c r="T27" s="770" t="s">
        <v>17</v>
      </c>
      <c r="U27" s="771">
        <f>H27</f>
        <v>100</v>
      </c>
      <c r="V27" s="770" t="s">
        <v>17</v>
      </c>
      <c r="W27" s="771">
        <f>J27</f>
        <v>100</v>
      </c>
      <c r="X27" s="772"/>
      <c r="Y27" s="3179"/>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6"/>
      <c r="Q29" s="1810">
        <f t="shared" si="11"/>
        <v>111</v>
      </c>
      <c r="R29" s="774" t="s">
        <v>17</v>
      </c>
      <c r="S29" s="775">
        <f t="shared" si="12"/>
        <v>100</v>
      </c>
      <c r="T29" s="774" t="s">
        <v>17</v>
      </c>
      <c r="U29" s="775">
        <f t="shared" si="13"/>
        <v>100</v>
      </c>
      <c r="V29" s="774" t="s">
        <v>17</v>
      </c>
      <c r="W29" s="775">
        <f t="shared" si="14"/>
        <v>100</v>
      </c>
      <c r="X29" s="1813"/>
      <c r="Y29" s="317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1811">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80" t="s">
        <v>2566</v>
      </c>
      <c r="Q32" s="1810" t="str">
        <f t="shared" si="11"/>
        <v>商业类型</v>
      </c>
      <c r="R32" s="774" t="s">
        <v>17</v>
      </c>
      <c r="S32" s="775">
        <f t="shared" si="12"/>
        <v>100</v>
      </c>
      <c r="T32" s="774" t="s">
        <v>17</v>
      </c>
      <c r="U32" s="775">
        <f t="shared" si="13"/>
        <v>100</v>
      </c>
      <c r="V32" s="774" t="s">
        <v>17</v>
      </c>
      <c r="W32" s="775">
        <f t="shared" si="14"/>
        <v>100</v>
      </c>
      <c r="X32" s="1813"/>
      <c r="Y32" s="3183"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1"/>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11" t="e">
        <f t="shared" si="3"/>
        <v>#N/A</v>
      </c>
      <c r="AB33" s="1811" t="e">
        <f t="shared" si="4"/>
        <v>#N/A</v>
      </c>
      <c r="AC33" s="1811"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81"/>
      <c r="Q34" s="1810" t="str">
        <f t="shared" si="11"/>
        <v>建筑结构</v>
      </c>
      <c r="R34" s="774" t="s">
        <v>17</v>
      </c>
      <c r="S34" s="775">
        <f t="shared" si="12"/>
        <v>100</v>
      </c>
      <c r="T34" s="774" t="s">
        <v>17</v>
      </c>
      <c r="U34" s="775">
        <f t="shared" si="13"/>
        <v>100</v>
      </c>
      <c r="V34" s="774" t="s">
        <v>17</v>
      </c>
      <c r="W34" s="775">
        <f t="shared" si="14"/>
        <v>100</v>
      </c>
      <c r="X34" s="1813"/>
      <c r="Y34" s="3183"/>
      <c r="Z34" s="1814" t="str">
        <f t="shared" si="15"/>
        <v>建筑结构</v>
      </c>
      <c r="AA34" s="1811">
        <f t="shared" si="3"/>
        <v>1</v>
      </c>
      <c r="AB34" s="1811">
        <f t="shared" si="4"/>
        <v>1</v>
      </c>
      <c r="AC34" s="1811">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81"/>
      <c r="Q35" s="1810" t="str">
        <f t="shared" si="11"/>
        <v>公共部分装修</v>
      </c>
      <c r="R35" s="774" t="s">
        <v>17</v>
      </c>
      <c r="S35" s="775">
        <f t="shared" si="12"/>
        <v>100</v>
      </c>
      <c r="T35" s="774" t="s">
        <v>17</v>
      </c>
      <c r="U35" s="775">
        <f t="shared" si="13"/>
        <v>100</v>
      </c>
      <c r="V35" s="774" t="s">
        <v>17</v>
      </c>
      <c r="W35" s="775">
        <f t="shared" si="14"/>
        <v>100</v>
      </c>
      <c r="X35" s="1813"/>
      <c r="Y35" s="3183"/>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1"/>
      <c r="Q36" s="1810" t="str">
        <f t="shared" si="11"/>
        <v>成新度</v>
      </c>
      <c r="R36" s="774" t="s">
        <v>17</v>
      </c>
      <c r="S36" s="775" t="e">
        <f t="shared" si="12"/>
        <v>#N/A</v>
      </c>
      <c r="T36" s="774" t="s">
        <v>17</v>
      </c>
      <c r="U36" s="775" t="e">
        <f t="shared" si="13"/>
        <v>#N/A</v>
      </c>
      <c r="V36" s="774" t="s">
        <v>17</v>
      </c>
      <c r="W36" s="775" t="e">
        <f t="shared" si="14"/>
        <v>#N/A</v>
      </c>
      <c r="X36" s="1813"/>
      <c r="Y36" s="3183"/>
      <c r="Z36" s="1814" t="str">
        <f t="shared" si="15"/>
        <v>成新度</v>
      </c>
      <c r="AA36" s="1811" t="e">
        <f t="shared" si="3"/>
        <v>#N/A</v>
      </c>
      <c r="AB36" s="1811" t="e">
        <f t="shared" si="4"/>
        <v>#N/A</v>
      </c>
      <c r="AC36" s="1811"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81"/>
      <c r="Q37" s="1795"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81" t="s">
        <v>2566</v>
      </c>
      <c r="Q38" s="1810" t="str">
        <f t="shared" si="11"/>
        <v>业态</v>
      </c>
      <c r="R38" s="774" t="s">
        <v>17</v>
      </c>
      <c r="S38" s="775">
        <f t="shared" si="12"/>
        <v>100</v>
      </c>
      <c r="T38" s="774" t="s">
        <v>17</v>
      </c>
      <c r="U38" s="775">
        <f t="shared" si="13"/>
        <v>100</v>
      </c>
      <c r="V38" s="774" t="s">
        <v>17</v>
      </c>
      <c r="W38" s="775">
        <f t="shared" si="14"/>
        <v>100</v>
      </c>
      <c r="X38" s="1813"/>
      <c r="Y38" s="3183" t="s">
        <v>2566</v>
      </c>
      <c r="Z38" s="1814" t="str">
        <f t="shared" si="15"/>
        <v>业态</v>
      </c>
      <c r="AA38" s="1811">
        <f t="shared" si="3"/>
        <v>1</v>
      </c>
      <c r="AB38" s="1811">
        <f t="shared" si="4"/>
        <v>1</v>
      </c>
      <c r="AC38" s="1811">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81"/>
      <c r="Q39" s="1810" t="str">
        <f t="shared" si="11"/>
        <v>层高</v>
      </c>
      <c r="R39" s="774" t="s">
        <v>17</v>
      </c>
      <c r="S39" s="775">
        <f t="shared" si="12"/>
        <v>100</v>
      </c>
      <c r="T39" s="774" t="s">
        <v>17</v>
      </c>
      <c r="U39" s="775">
        <f t="shared" si="13"/>
        <v>100</v>
      </c>
      <c r="V39" s="774" t="s">
        <v>17</v>
      </c>
      <c r="W39" s="775">
        <f t="shared" si="14"/>
        <v>100</v>
      </c>
      <c r="X39" s="1813"/>
      <c r="Y39" s="3183"/>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1"/>
      <c r="Q40" s="1810" t="str">
        <f t="shared" si="11"/>
        <v>单套建筑面积</v>
      </c>
      <c r="R40" s="774" t="s">
        <v>17</v>
      </c>
      <c r="S40" s="775">
        <f t="shared" si="12"/>
        <v>100</v>
      </c>
      <c r="T40" s="774" t="s">
        <v>17</v>
      </c>
      <c r="U40" s="775">
        <f t="shared" si="13"/>
        <v>100</v>
      </c>
      <c r="V40" s="774" t="s">
        <v>17</v>
      </c>
      <c r="W40" s="775">
        <f t="shared" si="14"/>
        <v>100</v>
      </c>
      <c r="X40" s="1813"/>
      <c r="Y40" s="3183"/>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1"/>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11">
        <f t="shared" si="3"/>
        <v>1</v>
      </c>
      <c r="AB41" s="1811">
        <f t="shared" si="4"/>
        <v>1</v>
      </c>
      <c r="AC41" s="1811">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81"/>
      <c r="Q42" s="1810" t="str">
        <f t="shared" si="11"/>
        <v>内部装修</v>
      </c>
      <c r="R42" s="774" t="s">
        <v>17</v>
      </c>
      <c r="S42" s="775">
        <f t="shared" si="12"/>
        <v>100</v>
      </c>
      <c r="T42" s="774" t="s">
        <v>17</v>
      </c>
      <c r="U42" s="775">
        <f t="shared" si="13"/>
        <v>100</v>
      </c>
      <c r="V42" s="774" t="s">
        <v>17</v>
      </c>
      <c r="W42" s="775">
        <f t="shared" si="14"/>
        <v>100</v>
      </c>
      <c r="X42" s="1813"/>
      <c r="Y42" s="3183"/>
      <c r="Z42" s="1814" t="str">
        <f t="shared" si="15"/>
        <v>内部装修</v>
      </c>
      <c r="AA42" s="1811">
        <f t="shared" si="3"/>
        <v>1</v>
      </c>
      <c r="AB42" s="1811">
        <f t="shared" si="4"/>
        <v>1</v>
      </c>
      <c r="AC42" s="1811">
        <f t="shared" si="5"/>
        <v>1</v>
      </c>
    </row>
    <row r="43" spans="1:29" ht="28.8">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81"/>
      <c r="Q43" s="1810" t="str">
        <f t="shared" si="11"/>
        <v>内部装修维护情况</v>
      </c>
      <c r="R43" s="774" t="s">
        <v>17</v>
      </c>
      <c r="S43" s="775">
        <f t="shared" si="12"/>
        <v>100</v>
      </c>
      <c r="T43" s="774" t="s">
        <v>17</v>
      </c>
      <c r="U43" s="775">
        <f t="shared" si="13"/>
        <v>100</v>
      </c>
      <c r="V43" s="774" t="s">
        <v>17</v>
      </c>
      <c r="W43" s="775">
        <f t="shared" si="14"/>
        <v>100</v>
      </c>
      <c r="X43" s="1813"/>
      <c r="Y43" s="318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1"/>
      <c r="Q44" s="1795">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1"/>
      <c r="Q45" s="1810">
        <f t="shared" si="11"/>
        <v>111</v>
      </c>
      <c r="R45" s="774" t="s">
        <v>17</v>
      </c>
      <c r="S45" s="775">
        <f t="shared" si="12"/>
        <v>100</v>
      </c>
      <c r="T45" s="774" t="s">
        <v>17</v>
      </c>
      <c r="U45" s="775">
        <f t="shared" si="13"/>
        <v>100</v>
      </c>
      <c r="V45" s="774" t="s">
        <v>17</v>
      </c>
      <c r="W45" s="775">
        <f t="shared" si="14"/>
        <v>100</v>
      </c>
      <c r="X45" s="1813"/>
      <c r="Y45" s="3183"/>
      <c r="Z45" s="1814">
        <f t="shared" si="15"/>
        <v>111</v>
      </c>
      <c r="AA45" s="1811">
        <f t="shared" si="3"/>
        <v>1</v>
      </c>
      <c r="AB45" s="1811">
        <f t="shared" si="4"/>
        <v>1</v>
      </c>
      <c r="AC45" s="1811">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2"/>
      <c r="Q46" s="1810">
        <f t="shared" si="11"/>
        <v>111</v>
      </c>
      <c r="R46" s="774" t="s">
        <v>17</v>
      </c>
      <c r="S46" s="775">
        <f t="shared" si="12"/>
        <v>100</v>
      </c>
      <c r="T46" s="774" t="s">
        <v>17</v>
      </c>
      <c r="U46" s="775">
        <f t="shared" si="13"/>
        <v>100</v>
      </c>
      <c r="V46" s="774" t="s">
        <v>17</v>
      </c>
      <c r="W46" s="775">
        <f t="shared" si="14"/>
        <v>100</v>
      </c>
      <c r="X46" s="1813"/>
      <c r="Y46" s="3184"/>
      <c r="Z46" s="1814">
        <f t="shared" si="15"/>
        <v>111</v>
      </c>
      <c r="AA46" s="1811">
        <f t="shared" si="3"/>
        <v>1</v>
      </c>
      <c r="AB46" s="1811">
        <f t="shared" si="4"/>
        <v>1</v>
      </c>
      <c r="AC46" s="1811">
        <f t="shared" si="5"/>
        <v>1</v>
      </c>
    </row>
    <row r="47" spans="1:29" ht="14.4">
      <c r="A47" s="479" t="s">
        <v>2578</v>
      </c>
      <c r="B47" s="480"/>
      <c r="C47" s="1407" t="s">
        <v>1</v>
      </c>
      <c r="D47" s="1408"/>
      <c r="E47" s="1409"/>
      <c r="F47" s="1410"/>
      <c r="G47" s="1411"/>
      <c r="H47" s="1412"/>
      <c r="I47" s="1409"/>
      <c r="J47" s="1412"/>
      <c r="K47" s="783"/>
      <c r="L47" s="1143"/>
      <c r="M47" s="1144"/>
      <c r="N47" s="1131"/>
      <c r="O47" s="1144"/>
      <c r="P47" s="3176" t="str">
        <f>A47</f>
        <v>成交单价（元/平方米）</v>
      </c>
      <c r="Q47" s="3176"/>
      <c r="R47" s="3207">
        <f>E47</f>
        <v>0</v>
      </c>
      <c r="S47" s="3207"/>
      <c r="T47" s="3207">
        <f>G47</f>
        <v>0</v>
      </c>
      <c r="U47" s="3207"/>
      <c r="V47" s="3207">
        <f>I47</f>
        <v>0</v>
      </c>
      <c r="W47" s="3207"/>
      <c r="X47" s="759"/>
      <c r="Y47" s="781"/>
      <c r="Z47" s="759"/>
      <c r="AA47" s="759"/>
      <c r="AB47" s="759"/>
      <c r="AC47" s="759"/>
    </row>
    <row r="48" spans="1:29" ht="1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 thickBot="1">
      <c r="A49" s="492" t="s">
        <v>2671</v>
      </c>
      <c r="B49" s="493"/>
      <c r="C49" s="1417" t="e">
        <f>R49</f>
        <v>#DIV/0!</v>
      </c>
      <c r="D49" s="1417"/>
      <c r="E49" s="1417"/>
      <c r="F49" s="1417"/>
      <c r="G49" s="1417"/>
      <c r="H49" s="1417"/>
      <c r="I49" s="1417"/>
      <c r="J49" s="1417"/>
      <c r="K49" s="785"/>
      <c r="L49" s="1143"/>
      <c r="M49" s="1144"/>
      <c r="N49" s="1131"/>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4.4">
      <c r="A58" s="505" t="s">
        <v>2549</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c r="A59" s="509"/>
      <c r="B59" s="510"/>
      <c r="C59" s="1573">
        <v>100</v>
      </c>
      <c r="D59" s="512"/>
      <c r="E59" s="512"/>
      <c r="F59" s="512"/>
      <c r="G59" s="512"/>
      <c r="H59" s="512"/>
      <c r="I59" s="512"/>
      <c r="J59" s="512"/>
      <c r="K59" s="512"/>
      <c r="L59" s="512"/>
      <c r="M59" s="513"/>
      <c r="N59" s="512"/>
      <c r="O59" s="513"/>
      <c r="P59" s="2630"/>
    </row>
    <row r="60" spans="1:29" s="117" customFormat="1" ht="15" thickBot="1">
      <c r="A60" s="515" t="s">
        <v>2586</v>
      </c>
      <c r="B60" s="516"/>
      <c r="C60" s="517"/>
      <c r="D60" s="518"/>
      <c r="E60" s="518"/>
      <c r="F60" s="518"/>
      <c r="G60" s="518"/>
      <c r="H60" s="518"/>
      <c r="I60" s="518"/>
      <c r="J60" s="518"/>
      <c r="K60" s="518"/>
      <c r="L60" s="518"/>
      <c r="M60" s="519"/>
      <c r="N60" s="518"/>
      <c r="O60" s="519"/>
      <c r="P60" s="2630"/>
      <c r="Q60" s="504"/>
    </row>
    <row r="61" spans="1:29" s="117" customFormat="1" ht="14.4">
      <c r="A61" s="521" t="s">
        <v>2551</v>
      </c>
      <c r="B61" s="510"/>
      <c r="C61" s="522" t="s">
        <v>2653</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2589</v>
      </c>
      <c r="B63" s="528" t="s">
        <v>2555</v>
      </c>
      <c r="C63" s="529" t="str">
        <f>C9</f>
        <v>商业</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36"/>
      <c r="E73" s="536"/>
      <c r="F73" s="536"/>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2681</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4" thickBot="1">
      <c r="A89" s="579"/>
      <c r="B89" s="543"/>
      <c r="C89" s="560"/>
      <c r="D89" s="536"/>
      <c r="E89" s="536"/>
      <c r="F89" s="536"/>
      <c r="G89" s="536"/>
      <c r="H89" s="536"/>
      <c r="I89" s="536"/>
      <c r="J89" s="536"/>
      <c r="K89" s="536"/>
      <c r="L89" s="536"/>
      <c r="M89" s="536"/>
      <c r="N89" s="1153"/>
      <c r="O89" s="1153"/>
      <c r="P89" s="2632"/>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4" thickTop="1">
      <c r="A92" s="534"/>
      <c r="B92" s="538" t="str">
        <f>B28</f>
        <v>楼层</v>
      </c>
      <c r="C92" s="554"/>
      <c r="D92" s="554"/>
      <c r="E92" s="554"/>
      <c r="F92" s="554"/>
      <c r="G92" s="554"/>
      <c r="H92" s="554"/>
      <c r="I92" s="554"/>
      <c r="J92" s="554"/>
      <c r="K92" s="554"/>
      <c r="L92" s="580"/>
      <c r="M92" s="581"/>
      <c r="N92" s="1152"/>
      <c r="O92" s="1152"/>
      <c r="P92" s="2632"/>
      <c r="Q92" s="504"/>
    </row>
    <row r="93" spans="1:17" ht="14.4" thickBot="1">
      <c r="A93" s="534"/>
      <c r="B93" s="543"/>
      <c r="C93" s="536"/>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36"/>
      <c r="E95" s="536"/>
      <c r="F95" s="536"/>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60"/>
      <c r="D97" s="536"/>
      <c r="E97" s="536"/>
      <c r="F97" s="536"/>
      <c r="G97" s="536"/>
      <c r="H97" s="536"/>
      <c r="I97" s="536"/>
      <c r="J97" s="536"/>
      <c r="K97" s="536"/>
      <c r="L97" s="536"/>
      <c r="M97" s="537"/>
      <c r="N97" s="1153"/>
      <c r="O97" s="1153"/>
      <c r="P97" s="2632"/>
      <c r="Q97" s="504"/>
    </row>
    <row r="98" spans="1:17" ht="14.4" thickTop="1">
      <c r="A98" s="534"/>
      <c r="B98" s="546">
        <f>B31</f>
        <v>111</v>
      </c>
      <c r="C98" s="554"/>
      <c r="D98" s="554"/>
      <c r="E98" s="554"/>
      <c r="F98" s="554"/>
      <c r="G98" s="587"/>
      <c r="H98" s="587"/>
      <c r="I98" s="587"/>
      <c r="J98" s="587"/>
      <c r="K98" s="588"/>
      <c r="L98" s="589"/>
      <c r="M98" s="590"/>
      <c r="N98" s="1152"/>
      <c r="O98" s="1152"/>
      <c r="P98" s="2632"/>
      <c r="Q98" s="504"/>
    </row>
    <row r="99" spans="1:17" ht="14.4" thickBot="1">
      <c r="A99" s="2638"/>
      <c r="B99" s="569"/>
      <c r="C99" s="570"/>
      <c r="D99" s="570"/>
      <c r="E99" s="570"/>
      <c r="F99" s="570"/>
      <c r="G99" s="591"/>
      <c r="H99" s="591"/>
      <c r="I99" s="591"/>
      <c r="J99" s="591"/>
      <c r="K99" s="591"/>
      <c r="L99" s="591"/>
      <c r="M99" s="592"/>
      <c r="N99" s="1153"/>
      <c r="O99" s="1153"/>
      <c r="P99" s="2632"/>
      <c r="Q99" s="504"/>
    </row>
    <row r="100" spans="1:17" ht="14.4">
      <c r="A100" s="527" t="s">
        <v>2564</v>
      </c>
      <c r="B100" s="528" t="s">
        <v>2682</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4.4"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36"/>
      <c r="E129" s="536"/>
      <c r="F129" s="536"/>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受贵公司委托，我公司对北京市东城区东直门南大街14号出让国有建设用地使用权及在建建筑物房地产抵押价值进行了预评估。</v>
      </c>
    </row>
    <row r="5" spans="1:1" ht="17.399999999999999">
      <c r="A5" s="1948" t="s">
        <v>1607</v>
      </c>
    </row>
    <row r="6" spans="1:1" ht="17.399999999999999">
      <c r="A6" s="1949" t="s">
        <v>1608</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南大街14号出让国有建设用地使用权及在建建筑物房地产，为所有。根据《国有土地使用证》[]，估价对象（分摊）出让国有建设用地使用权面积为18463.54平方米，建筑面积为94649.49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南大街14号出让国有建设用地使用权及在建建筑物房地产,属开发建设的，该项目尚在开发建设中。根据《国有土地使用证》[]，估价对象（分摊）出让国有建设用地使用权面积为18463.54平方米，规划建筑面积为94649.49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拟使用北京市东城区东直门南大街14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2019年7月29日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1604</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50" sqref="M5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2529</v>
      </c>
      <c r="B1" s="2671" t="s">
        <v>2687</v>
      </c>
      <c r="C1" s="1620" t="s">
        <v>2531</v>
      </c>
      <c r="D1" s="1621" t="s">
        <v>27</v>
      </c>
      <c r="E1" s="1630"/>
      <c r="F1" s="2586" t="s">
        <v>3247</v>
      </c>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f>IF(C2="——",ROUND(C50*D3/10000,0),ROUND(C50*D3/10000,0)-D2)</f>
        <v>63498</v>
      </c>
      <c r="C2" s="2588" t="s">
        <v>70</v>
      </c>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35625</v>
      </c>
      <c r="C3" s="400" t="s">
        <v>2645</v>
      </c>
      <c r="D3" s="399">
        <f>IF(D1="",'数据-汇总表'!E3,SUMIF('数据-汇总表'!$C19:$C33,D1,'数据-汇总表'!$E19:$E33))</f>
        <v>17824.11</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2646</v>
      </c>
      <c r="B4" s="402"/>
      <c r="C4" s="3191" t="s">
        <v>2647</v>
      </c>
      <c r="D4" s="3192"/>
      <c r="E4" s="3193" t="s">
        <v>2648</v>
      </c>
      <c r="F4" s="3194"/>
      <c r="G4" s="3191" t="s">
        <v>2649</v>
      </c>
      <c r="H4" s="3192"/>
      <c r="I4" s="3191" t="s">
        <v>2650</v>
      </c>
      <c r="J4" s="3192"/>
      <c r="K4" s="610" t="s">
        <v>2651</v>
      </c>
      <c r="L4" s="1130"/>
      <c r="M4" s="1131"/>
      <c r="N4" s="1131"/>
      <c r="O4" s="1131"/>
      <c r="P4" s="3225" t="s">
        <v>2652</v>
      </c>
      <c r="Q4" s="3226"/>
      <c r="R4" s="3229" t="s">
        <v>2648</v>
      </c>
      <c r="S4" s="3230"/>
      <c r="T4" s="3229" t="s">
        <v>2649</v>
      </c>
      <c r="U4" s="3230"/>
      <c r="V4" s="3231" t="s">
        <v>2650</v>
      </c>
      <c r="W4" s="3231"/>
      <c r="X4" s="2672"/>
      <c r="Y4" s="3229" t="s">
        <v>2652</v>
      </c>
      <c r="Z4" s="3230"/>
      <c r="AA4" s="3233" t="s">
        <v>2648</v>
      </c>
      <c r="AB4" s="3233" t="s">
        <v>2649</v>
      </c>
      <c r="AC4" s="3222" t="s">
        <v>2650</v>
      </c>
    </row>
    <row r="5" spans="1:29">
      <c r="A5" s="404"/>
      <c r="B5" s="405"/>
      <c r="C5" s="3428" t="s">
        <v>3231</v>
      </c>
      <c r="D5" s="3211"/>
      <c r="E5" s="3433" t="s">
        <v>3249</v>
      </c>
      <c r="F5" s="3218"/>
      <c r="G5" s="3428" t="s">
        <v>3250</v>
      </c>
      <c r="H5" s="3211"/>
      <c r="I5" s="3210" t="s">
        <v>2546</v>
      </c>
      <c r="J5" s="3211"/>
      <c r="K5" s="610"/>
      <c r="L5" s="1130"/>
      <c r="M5" s="1131"/>
      <c r="N5" s="1131"/>
      <c r="O5" s="1131"/>
      <c r="P5" s="3227"/>
      <c r="Q5" s="3198"/>
      <c r="R5" s="3203"/>
      <c r="S5" s="3204"/>
      <c r="T5" s="3203"/>
      <c r="U5" s="3204"/>
      <c r="V5" s="3207"/>
      <c r="W5" s="3207"/>
      <c r="X5" s="1813"/>
      <c r="Y5" s="3203"/>
      <c r="Z5" s="3204"/>
      <c r="AA5" s="3189"/>
      <c r="AB5" s="3189"/>
      <c r="AC5" s="3223"/>
    </row>
    <row r="6" spans="1:29" ht="15" thickBot="1">
      <c r="A6" s="406"/>
      <c r="B6" s="407"/>
      <c r="C6" s="3208" t="s">
        <v>2547</v>
      </c>
      <c r="D6" s="3209"/>
      <c r="E6" s="3215" t="s">
        <v>2547</v>
      </c>
      <c r="F6" s="3216"/>
      <c r="G6" s="3208" t="s">
        <v>2547</v>
      </c>
      <c r="H6" s="3209"/>
      <c r="I6" s="3208" t="s">
        <v>2547</v>
      </c>
      <c r="J6" s="3209"/>
      <c r="K6" s="610" t="s">
        <v>2548</v>
      </c>
      <c r="L6" s="1130"/>
      <c r="M6" s="1131"/>
      <c r="N6" s="1131"/>
      <c r="O6" s="1131"/>
      <c r="P6" s="3228"/>
      <c r="Q6" s="3200"/>
      <c r="R6" s="3203"/>
      <c r="S6" s="3204"/>
      <c r="T6" s="3205"/>
      <c r="U6" s="3206"/>
      <c r="V6" s="3207"/>
      <c r="W6" s="3207"/>
      <c r="X6" s="1813"/>
      <c r="Y6" s="3205"/>
      <c r="Z6" s="3206"/>
      <c r="AA6" s="3190"/>
      <c r="AB6" s="3190"/>
      <c r="AC6" s="3224"/>
    </row>
    <row r="7" spans="1:29" s="117" customFormat="1" ht="15" thickBot="1">
      <c r="A7" s="408" t="s">
        <v>2549</v>
      </c>
      <c r="B7" s="409"/>
      <c r="C7" s="410">
        <f>'数据-取费表'!B2</f>
        <v>43675</v>
      </c>
      <c r="D7" s="411">
        <v>100</v>
      </c>
      <c r="E7" s="412">
        <v>43647</v>
      </c>
      <c r="F7" s="413">
        <f>SUMIF(59:59,YEAR(E7)&amp;"-"&amp;MONTH(E7),60:60)</f>
        <v>100</v>
      </c>
      <c r="G7" s="412">
        <v>43647</v>
      </c>
      <c r="H7" s="411">
        <f>SUMIF(59:59,YEAR(G7)&amp;"-"&amp;MONTH(G7),60:60)</f>
        <v>100</v>
      </c>
      <c r="I7" s="412">
        <v>43647</v>
      </c>
      <c r="J7" s="411">
        <f>SUMIF(59:59,YEAR(I7)&amp;"-"&amp;MONTH(I7),60:60)</f>
        <v>100</v>
      </c>
      <c r="K7" s="611"/>
      <c r="L7" s="1132"/>
      <c r="M7" s="1133"/>
      <c r="N7" s="1133"/>
      <c r="O7" s="1133"/>
      <c r="P7" s="3232" t="s">
        <v>2550</v>
      </c>
      <c r="Q7" s="3214"/>
      <c r="R7" s="770" t="s">
        <v>17</v>
      </c>
      <c r="S7" s="771">
        <f t="shared" ref="S7:S15" si="0">F7</f>
        <v>100</v>
      </c>
      <c r="T7" s="770" t="s">
        <v>17</v>
      </c>
      <c r="U7" s="771">
        <f t="shared" ref="U7:U15" si="1">H7</f>
        <v>100</v>
      </c>
      <c r="V7" s="770" t="s">
        <v>17</v>
      </c>
      <c r="W7" s="771">
        <f t="shared" ref="W7:W15" si="2">J7</f>
        <v>100</v>
      </c>
      <c r="X7" s="772"/>
      <c r="Y7" s="3212" t="s">
        <v>2550</v>
      </c>
      <c r="Z7" s="3213"/>
      <c r="AA7" s="773">
        <f>D7/F7</f>
        <v>1</v>
      </c>
      <c r="AB7" s="773">
        <f>D7/H7</f>
        <v>1</v>
      </c>
      <c r="AC7" s="2673">
        <f>D7/J7</f>
        <v>1</v>
      </c>
    </row>
    <row r="8" spans="1:29" s="117" customFormat="1" ht="1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1"/>
      <c r="L8" s="1132"/>
      <c r="M8" s="1133"/>
      <c r="N8" s="1133"/>
      <c r="O8" s="1133"/>
      <c r="P8" s="3232" t="s">
        <v>2553</v>
      </c>
      <c r="Q8" s="3213"/>
      <c r="R8" s="770" t="s">
        <v>17</v>
      </c>
      <c r="S8" s="771">
        <f t="shared" si="0"/>
        <v>100</v>
      </c>
      <c r="T8" s="770" t="s">
        <v>17</v>
      </c>
      <c r="U8" s="771">
        <f t="shared" si="1"/>
        <v>100</v>
      </c>
      <c r="V8" s="770" t="s">
        <v>17</v>
      </c>
      <c r="W8" s="771">
        <f t="shared" si="2"/>
        <v>100</v>
      </c>
      <c r="X8" s="772"/>
      <c r="Y8" s="3212" t="s">
        <v>2553</v>
      </c>
      <c r="Z8" s="3213"/>
      <c r="AA8" s="773">
        <f t="shared" ref="AA8:AA47" si="3">D8/F8</f>
        <v>1</v>
      </c>
      <c r="AB8" s="773">
        <f t="shared" ref="AB8:AB47" si="4">D8/H8</f>
        <v>1</v>
      </c>
      <c r="AC8" s="2673">
        <f t="shared" ref="AC8:AC47" si="5">D8/J8</f>
        <v>1</v>
      </c>
    </row>
    <row r="9" spans="1:29" s="117" customFormat="1" ht="14.4">
      <c r="A9" s="415" t="s">
        <v>2554</v>
      </c>
      <c r="B9" s="71" t="s">
        <v>2555</v>
      </c>
      <c r="C9" s="3429" t="s">
        <v>3232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87" t="s">
        <v>2556</v>
      </c>
      <c r="Q9" s="1795" t="str">
        <f t="shared" ref="Q9:Q15" si="6">B9</f>
        <v>用途</v>
      </c>
      <c r="R9" s="770" t="s">
        <v>17</v>
      </c>
      <c r="S9" s="771">
        <f t="shared" si="0"/>
        <v>100</v>
      </c>
      <c r="T9" s="770" t="s">
        <v>17</v>
      </c>
      <c r="U9" s="771">
        <f t="shared" si="1"/>
        <v>100</v>
      </c>
      <c r="V9" s="770" t="s">
        <v>17</v>
      </c>
      <c r="W9" s="771">
        <f t="shared" si="2"/>
        <v>100</v>
      </c>
      <c r="X9" s="772"/>
      <c r="Y9" s="3001" t="s">
        <v>2557</v>
      </c>
      <c r="Z9" s="55" t="str">
        <f t="shared" ref="Z9:Z15" si="7">Q9</f>
        <v>用途</v>
      </c>
      <c r="AA9" s="773">
        <f t="shared" si="3"/>
        <v>1</v>
      </c>
      <c r="AB9" s="773">
        <f t="shared" si="4"/>
        <v>1</v>
      </c>
      <c r="AC9" s="2673">
        <f t="shared" si="5"/>
        <v>1</v>
      </c>
    </row>
    <row r="10" spans="1:29" s="427" customFormat="1" ht="28.8">
      <c r="A10" s="421"/>
      <c r="B10" s="422" t="s">
        <v>2558</v>
      </c>
      <c r="C10" s="423" t="s">
        <v>3233</v>
      </c>
      <c r="D10" s="136">
        <v>100</v>
      </c>
      <c r="E10" s="423" t="s">
        <v>3233</v>
      </c>
      <c r="F10" s="136">
        <f>SUMIF(66:66,E10,67:67)-SUMIF(66:66,C10,67:67)+100</f>
        <v>100</v>
      </c>
      <c r="G10" s="423" t="s">
        <v>3233</v>
      </c>
      <c r="H10" s="136">
        <f>SUMIF(66:66,G10,67:67)-SUMIF(66:66,C10,67:67)+100</f>
        <v>100</v>
      </c>
      <c r="I10" s="423" t="s">
        <v>3233</v>
      </c>
      <c r="J10" s="136">
        <f>SUMIF(66:66,I10,67:67)-SUMIF(66:66,C10,67:67)+100</f>
        <v>100</v>
      </c>
      <c r="K10" s="612">
        <v>1</v>
      </c>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73">
        <f t="shared" si="5"/>
        <v>1</v>
      </c>
    </row>
    <row r="11" spans="1:29" ht="15">
      <c r="A11" s="428"/>
      <c r="B11" s="422" t="s">
        <v>2559</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187"/>
      <c r="Q11" s="1795" t="str">
        <f t="shared" si="6"/>
        <v>容积率</v>
      </c>
      <c r="R11" s="770" t="s">
        <v>17</v>
      </c>
      <c r="S11" s="771">
        <f t="shared" si="0"/>
        <v>100</v>
      </c>
      <c r="T11" s="770" t="s">
        <v>17</v>
      </c>
      <c r="U11" s="771">
        <f t="shared" si="1"/>
        <v>100</v>
      </c>
      <c r="V11" s="770" t="s">
        <v>17</v>
      </c>
      <c r="W11" s="771">
        <f t="shared" si="2"/>
        <v>100</v>
      </c>
      <c r="X11" s="772"/>
      <c r="Y11" s="3001"/>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73">
        <f t="shared" si="5"/>
        <v>1</v>
      </c>
    </row>
    <row r="15" spans="1:29" ht="69">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5" t="s">
        <v>2561</v>
      </c>
      <c r="Q15" s="1810" t="str">
        <f t="shared" si="6"/>
        <v>办公集聚程度</v>
      </c>
      <c r="R15" s="774" t="s">
        <v>17</v>
      </c>
      <c r="S15" s="775">
        <f t="shared" si="0"/>
        <v>100</v>
      </c>
      <c r="T15" s="774" t="s">
        <v>17</v>
      </c>
      <c r="U15" s="775">
        <f t="shared" si="1"/>
        <v>100</v>
      </c>
      <c r="V15" s="774" t="s">
        <v>17</v>
      </c>
      <c r="W15" s="775">
        <f t="shared" si="2"/>
        <v>100</v>
      </c>
      <c r="X15" s="1813"/>
      <c r="Y15" s="3178" t="s">
        <v>2561</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2676">
        <v>1</v>
      </c>
    </row>
    <row r="17" spans="1:29" ht="82.8">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186"/>
      <c r="Q18" s="1810"/>
      <c r="R18" s="774"/>
      <c r="S18" s="775"/>
      <c r="T18" s="774"/>
      <c r="U18" s="775"/>
      <c r="V18" s="774"/>
      <c r="W18" s="775"/>
      <c r="X18" s="1813"/>
      <c r="Y18" s="3179"/>
      <c r="Z18" s="1814"/>
      <c r="AA18" s="1811">
        <v>1</v>
      </c>
      <c r="AB18" s="1811">
        <v>1</v>
      </c>
      <c r="AC18" s="2676">
        <v>1</v>
      </c>
    </row>
    <row r="19" spans="1:29" ht="41.4">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186"/>
      <c r="Q20" s="1810"/>
      <c r="R20" s="774"/>
      <c r="S20" s="775"/>
      <c r="T20" s="774"/>
      <c r="U20" s="775"/>
      <c r="V20" s="774"/>
      <c r="W20" s="775"/>
      <c r="X20" s="1813"/>
      <c r="Y20" s="3179"/>
      <c r="Z20" s="1814"/>
      <c r="AA20" s="1811">
        <v>1</v>
      </c>
      <c r="AB20" s="1811">
        <v>1</v>
      </c>
      <c r="AC20" s="2676">
        <v>1</v>
      </c>
    </row>
    <row r="21" spans="1:29" ht="27.6">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186"/>
      <c r="Q22" s="1810"/>
      <c r="R22" s="774"/>
      <c r="S22" s="775"/>
      <c r="T22" s="774"/>
      <c r="U22" s="775"/>
      <c r="V22" s="774"/>
      <c r="W22" s="775"/>
      <c r="X22" s="1813"/>
      <c r="Y22" s="3179"/>
      <c r="Z22" s="1814"/>
      <c r="AA22" s="1811">
        <v>1</v>
      </c>
      <c r="AB22" s="1811">
        <v>1</v>
      </c>
      <c r="AC22" s="2676">
        <v>1</v>
      </c>
    </row>
    <row r="23" spans="1:29" ht="55.2">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6"/>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186"/>
      <c r="Q24" s="1810"/>
      <c r="R24" s="774"/>
      <c r="S24" s="775"/>
      <c r="T24" s="774"/>
      <c r="U24" s="775"/>
      <c r="V24" s="774"/>
      <c r="W24" s="775"/>
      <c r="X24" s="1813"/>
      <c r="Y24" s="3179"/>
      <c r="Z24" s="1814"/>
      <c r="AA24" s="1811">
        <v>1</v>
      </c>
      <c r="AB24" s="1811">
        <v>1</v>
      </c>
      <c r="AC24" s="2676">
        <v>1</v>
      </c>
    </row>
    <row r="25" spans="1:29" ht="28.8">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186"/>
      <c r="Q25" s="1810" t="str">
        <f>B25</f>
        <v>毗邻道路的类型与等级</v>
      </c>
      <c r="R25" s="774" t="s">
        <v>17</v>
      </c>
      <c r="S25" s="775">
        <f>F25</f>
        <v>100</v>
      </c>
      <c r="T25" s="774" t="s">
        <v>17</v>
      </c>
      <c r="U25" s="775">
        <f>H25</f>
        <v>100</v>
      </c>
      <c r="V25" s="774" t="s">
        <v>17</v>
      </c>
      <c r="W25" s="775">
        <f>J25</f>
        <v>100</v>
      </c>
      <c r="X25" s="1813"/>
      <c r="Y25" s="3179"/>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186"/>
      <c r="Q26" s="1810"/>
      <c r="R26" s="774"/>
      <c r="S26" s="775"/>
      <c r="T26" s="774"/>
      <c r="U26" s="775"/>
      <c r="V26" s="774"/>
      <c r="W26" s="775"/>
      <c r="X26" s="1813"/>
      <c r="Y26" s="3179"/>
      <c r="Z26" s="1814"/>
      <c r="AA26" s="1811">
        <v>1</v>
      </c>
      <c r="AB26" s="1811">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6"/>
      <c r="Q27" s="1810" t="str">
        <f t="shared" ref="Q27:Q47" si="11">B27</f>
        <v>楼层</v>
      </c>
      <c r="R27" s="774" t="s">
        <v>17</v>
      </c>
      <c r="S27" s="775">
        <f>F27</f>
        <v>100</v>
      </c>
      <c r="T27" s="774" t="s">
        <v>17</v>
      </c>
      <c r="U27" s="775">
        <f>H27</f>
        <v>100</v>
      </c>
      <c r="V27" s="774" t="s">
        <v>17</v>
      </c>
      <c r="W27" s="775">
        <f>J27</f>
        <v>100</v>
      </c>
      <c r="X27" s="1813"/>
      <c r="Y27" s="3179"/>
      <c r="Z27" s="1814" t="str">
        <f>Q27</f>
        <v>楼层</v>
      </c>
      <c r="AA27" s="1811">
        <f t="shared" si="3"/>
        <v>1</v>
      </c>
      <c r="AB27" s="1811">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86"/>
      <c r="Q28" s="1795" t="str">
        <f t="shared" si="11"/>
        <v>朝向</v>
      </c>
      <c r="R28" s="770" t="s">
        <v>17</v>
      </c>
      <c r="S28" s="771">
        <f>F28</f>
        <v>100</v>
      </c>
      <c r="T28" s="770" t="s">
        <v>17</v>
      </c>
      <c r="U28" s="771">
        <f>H28</f>
        <v>100</v>
      </c>
      <c r="V28" s="770" t="s">
        <v>17</v>
      </c>
      <c r="W28" s="771">
        <f>J28</f>
        <v>100</v>
      </c>
      <c r="X28" s="772"/>
      <c r="Y28" s="3179"/>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86"/>
      <c r="Q29" s="1810">
        <f t="shared" si="11"/>
        <v>111</v>
      </c>
      <c r="R29" s="774" t="s">
        <v>17</v>
      </c>
      <c r="S29" s="775">
        <f t="shared" ref="S29:S47" si="12">F29</f>
        <v>100</v>
      </c>
      <c r="T29" s="774" t="s">
        <v>17</v>
      </c>
      <c r="U29" s="775">
        <f t="shared" ref="U29:U47" si="13">H29</f>
        <v>100</v>
      </c>
      <c r="V29" s="774" t="s">
        <v>17</v>
      </c>
      <c r="W29" s="775">
        <f t="shared" ref="W29:W47" si="14">J29</f>
        <v>100</v>
      </c>
      <c r="X29" s="1813"/>
      <c r="Y29" s="3179"/>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86"/>
      <c r="Q32" s="1810">
        <f t="shared" si="11"/>
        <v>111</v>
      </c>
      <c r="R32" s="774" t="s">
        <v>17</v>
      </c>
      <c r="S32" s="775">
        <f t="shared" si="12"/>
        <v>100</v>
      </c>
      <c r="T32" s="774" t="s">
        <v>17</v>
      </c>
      <c r="U32" s="775">
        <f t="shared" si="13"/>
        <v>100</v>
      </c>
      <c r="V32" s="774" t="s">
        <v>17</v>
      </c>
      <c r="W32" s="775">
        <f t="shared" si="14"/>
        <v>100</v>
      </c>
      <c r="X32" s="1813"/>
      <c r="Y32" s="3179"/>
      <c r="Z32" s="1814">
        <f t="shared" si="15"/>
        <v>111</v>
      </c>
      <c r="AA32" s="1811">
        <f t="shared" si="3"/>
        <v>1</v>
      </c>
      <c r="AB32" s="1811">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80" t="s">
        <v>2566</v>
      </c>
      <c r="Q33" s="1810" t="str">
        <f t="shared" si="11"/>
        <v>建筑类型</v>
      </c>
      <c r="R33" s="774" t="s">
        <v>17</v>
      </c>
      <c r="S33" s="775">
        <f t="shared" si="12"/>
        <v>100</v>
      </c>
      <c r="T33" s="774" t="s">
        <v>17</v>
      </c>
      <c r="U33" s="775">
        <f t="shared" si="13"/>
        <v>100</v>
      </c>
      <c r="V33" s="774" t="s">
        <v>17</v>
      </c>
      <c r="W33" s="775">
        <f t="shared" si="14"/>
        <v>100</v>
      </c>
      <c r="X33" s="1813"/>
      <c r="Y33" s="3183" t="s">
        <v>2566</v>
      </c>
      <c r="Z33" s="1814" t="str">
        <f t="shared" si="15"/>
        <v>建筑类型</v>
      </c>
      <c r="AA33" s="1811">
        <f t="shared" si="3"/>
        <v>1</v>
      </c>
      <c r="AB33" s="1811">
        <f t="shared" si="4"/>
        <v>1</v>
      </c>
      <c r="AC33" s="2676">
        <f t="shared" si="5"/>
        <v>1</v>
      </c>
    </row>
    <row r="34" spans="1:29" s="471" customFormat="1" ht="15">
      <c r="A34" s="468"/>
      <c r="B34" s="422" t="s">
        <v>2567</v>
      </c>
      <c r="C34" s="469">
        <f>'数据-汇总表'!F19</f>
        <v>17824.11</v>
      </c>
      <c r="D34" s="136">
        <v>100</v>
      </c>
      <c r="E34" s="430">
        <v>378</v>
      </c>
      <c r="F34" s="425">
        <f>LOOKUP(E34,104:104,105:105)-LOOKUP(C34,104:104,105:105)+100</f>
        <v>107</v>
      </c>
      <c r="G34" s="429">
        <v>645</v>
      </c>
      <c r="H34" s="136">
        <f>LOOKUP(G34,104:104,105:105)-LOOKUP(C34,104:104,105:105)+100</f>
        <v>107</v>
      </c>
      <c r="I34" s="429">
        <v>250</v>
      </c>
      <c r="J34" s="136">
        <f>LOOKUP(I34,104:104,105:105)-LOOKUP(C34,104:104,105:105)+100</f>
        <v>107</v>
      </c>
      <c r="K34" s="613"/>
      <c r="L34" s="1138"/>
      <c r="M34" s="1141"/>
      <c r="N34" s="1141"/>
      <c r="O34" s="1141"/>
      <c r="P34" s="3181"/>
      <c r="Q34" s="776" t="str">
        <f t="shared" si="11"/>
        <v>项目建筑规模</v>
      </c>
      <c r="R34" s="777" t="s">
        <v>17</v>
      </c>
      <c r="S34" s="778">
        <f t="shared" si="12"/>
        <v>107</v>
      </c>
      <c r="T34" s="777" t="s">
        <v>17</v>
      </c>
      <c r="U34" s="778">
        <f t="shared" si="13"/>
        <v>107</v>
      </c>
      <c r="V34" s="777" t="s">
        <v>17</v>
      </c>
      <c r="W34" s="778">
        <f t="shared" si="14"/>
        <v>107</v>
      </c>
      <c r="X34" s="779"/>
      <c r="Y34" s="3183"/>
      <c r="Z34" s="780" t="str">
        <f t="shared" si="15"/>
        <v>项目建筑规模</v>
      </c>
      <c r="AA34" s="1811">
        <f t="shared" si="3"/>
        <v>0.93457943925233644</v>
      </c>
      <c r="AB34" s="1811">
        <f t="shared" si="4"/>
        <v>0.93457943925233644</v>
      </c>
      <c r="AC34" s="2676">
        <f t="shared" si="5"/>
        <v>0.93457943925233644</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1"/>
      <c r="Q35" s="1810" t="str">
        <f t="shared" si="11"/>
        <v>建筑结构</v>
      </c>
      <c r="R35" s="774" t="s">
        <v>17</v>
      </c>
      <c r="S35" s="775">
        <f t="shared" si="12"/>
        <v>100</v>
      </c>
      <c r="T35" s="774" t="s">
        <v>17</v>
      </c>
      <c r="U35" s="775">
        <f t="shared" si="13"/>
        <v>100</v>
      </c>
      <c r="V35" s="774" t="s">
        <v>17</v>
      </c>
      <c r="W35" s="775">
        <f t="shared" si="14"/>
        <v>100</v>
      </c>
      <c r="X35" s="1813"/>
      <c r="Y35" s="3183"/>
      <c r="Z35" s="1814" t="str">
        <f t="shared" si="15"/>
        <v>建筑结构</v>
      </c>
      <c r="AA35" s="1811">
        <f t="shared" si="3"/>
        <v>1</v>
      </c>
      <c r="AB35" s="1811">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1"/>
      <c r="Q36" s="1810" t="str">
        <f t="shared" si="11"/>
        <v>公共部分装修</v>
      </c>
      <c r="R36" s="774" t="s">
        <v>17</v>
      </c>
      <c r="S36" s="775">
        <f t="shared" si="12"/>
        <v>100</v>
      </c>
      <c r="T36" s="774" t="s">
        <v>17</v>
      </c>
      <c r="U36" s="775">
        <f t="shared" si="13"/>
        <v>100</v>
      </c>
      <c r="V36" s="774" t="s">
        <v>17</v>
      </c>
      <c r="W36" s="775">
        <f t="shared" si="14"/>
        <v>100</v>
      </c>
      <c r="X36" s="1813"/>
      <c r="Y36" s="3183"/>
      <c r="Z36" s="1814" t="str">
        <f t="shared" si="15"/>
        <v>公共部分装修</v>
      </c>
      <c r="AA36" s="1811">
        <f t="shared" si="3"/>
        <v>1</v>
      </c>
      <c r="AB36" s="1811">
        <f t="shared" si="4"/>
        <v>1</v>
      </c>
      <c r="AC36" s="2676">
        <f t="shared" si="5"/>
        <v>1</v>
      </c>
    </row>
    <row r="37" spans="1:29" ht="15">
      <c r="A37" s="472"/>
      <c r="B37" s="422" t="s">
        <v>2663</v>
      </c>
      <c r="C37" s="474">
        <f>'数据-取费表'!N6</f>
        <v>0.7</v>
      </c>
      <c r="D37" s="435">
        <v>100</v>
      </c>
      <c r="E37" s="474">
        <v>0.8</v>
      </c>
      <c r="F37" s="461">
        <f>LOOKUP(E37,111:111,112:112)-LOOKUP(C37,111:111,112:112)+100</f>
        <v>101</v>
      </c>
      <c r="G37" s="474">
        <v>0.8</v>
      </c>
      <c r="H37" s="461">
        <f>LOOKUP(G37,111:111,112:112)-LOOKUP(C37,111:111,112:112)+100</f>
        <v>101</v>
      </c>
      <c r="I37" s="474">
        <v>0.8</v>
      </c>
      <c r="J37" s="435">
        <f>LOOKUP(I37,111:111,112:112)-LOOKUP(C37,111:111,112:112)+100</f>
        <v>101</v>
      </c>
      <c r="K37" s="612">
        <v>1</v>
      </c>
      <c r="L37" s="1140"/>
      <c r="M37" s="1131"/>
      <c r="N37" s="1131"/>
      <c r="O37" s="1131"/>
      <c r="P37" s="3181"/>
      <c r="Q37" s="1810" t="str">
        <f t="shared" si="11"/>
        <v>成新度</v>
      </c>
      <c r="R37" s="774" t="s">
        <v>17</v>
      </c>
      <c r="S37" s="775">
        <f t="shared" si="12"/>
        <v>101</v>
      </c>
      <c r="T37" s="774" t="s">
        <v>17</v>
      </c>
      <c r="U37" s="775">
        <f t="shared" si="13"/>
        <v>101</v>
      </c>
      <c r="V37" s="774" t="s">
        <v>17</v>
      </c>
      <c r="W37" s="775">
        <f t="shared" si="14"/>
        <v>101</v>
      </c>
      <c r="X37" s="1813"/>
      <c r="Y37" s="3183"/>
      <c r="Z37" s="1814" t="str">
        <f t="shared" si="15"/>
        <v>成新度</v>
      </c>
      <c r="AA37" s="1811">
        <f t="shared" si="3"/>
        <v>0.99009900990099009</v>
      </c>
      <c r="AB37" s="1811">
        <f t="shared" si="4"/>
        <v>0.99009900990099009</v>
      </c>
      <c r="AC37" s="2676">
        <f t="shared" si="5"/>
        <v>0.99009900990099009</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1"/>
      <c r="Q38" s="1795"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1" t="s">
        <v>2566</v>
      </c>
      <c r="Q39" s="1810" t="str">
        <f t="shared" si="11"/>
        <v>物业管理</v>
      </c>
      <c r="R39" s="774" t="s">
        <v>17</v>
      </c>
      <c r="S39" s="775">
        <f t="shared" si="12"/>
        <v>100</v>
      </c>
      <c r="T39" s="774" t="s">
        <v>17</v>
      </c>
      <c r="U39" s="775">
        <f t="shared" si="13"/>
        <v>100</v>
      </c>
      <c r="V39" s="774" t="s">
        <v>17</v>
      </c>
      <c r="W39" s="775">
        <f t="shared" si="14"/>
        <v>100</v>
      </c>
      <c r="X39" s="1813"/>
      <c r="Y39" s="3183" t="s">
        <v>2566</v>
      </c>
      <c r="Z39" s="1814" t="str">
        <f t="shared" si="15"/>
        <v>物业管理</v>
      </c>
      <c r="AA39" s="1811">
        <f t="shared" si="3"/>
        <v>1</v>
      </c>
      <c r="AB39" s="1811">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1"/>
      <c r="Q40" s="1810" t="str">
        <f t="shared" si="11"/>
        <v>市政基础设施</v>
      </c>
      <c r="R40" s="774" t="s">
        <v>17</v>
      </c>
      <c r="S40" s="775">
        <f t="shared" si="12"/>
        <v>100</v>
      </c>
      <c r="T40" s="774" t="s">
        <v>17</v>
      </c>
      <c r="U40" s="775">
        <f t="shared" si="13"/>
        <v>100</v>
      </c>
      <c r="V40" s="774" t="s">
        <v>17</v>
      </c>
      <c r="W40" s="775">
        <f t="shared" si="14"/>
        <v>100</v>
      </c>
      <c r="X40" s="1813"/>
      <c r="Y40" s="3183"/>
      <c r="Z40" s="1814" t="str">
        <f t="shared" si="15"/>
        <v>市政基础设施</v>
      </c>
      <c r="AA40" s="1811">
        <f t="shared" si="3"/>
        <v>1</v>
      </c>
      <c r="AB40" s="1811">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1"/>
      <c r="Q41" s="1810" t="str">
        <f t="shared" si="11"/>
        <v>层高</v>
      </c>
      <c r="R41" s="774" t="s">
        <v>17</v>
      </c>
      <c r="S41" s="775">
        <f t="shared" si="12"/>
        <v>100</v>
      </c>
      <c r="T41" s="774" t="s">
        <v>17</v>
      </c>
      <c r="U41" s="775">
        <f t="shared" si="13"/>
        <v>100</v>
      </c>
      <c r="V41" s="774" t="s">
        <v>17</v>
      </c>
      <c r="W41" s="775">
        <f t="shared" si="14"/>
        <v>100</v>
      </c>
      <c r="X41" s="1813"/>
      <c r="Y41" s="3183"/>
      <c r="Z41" s="1814" t="str">
        <f t="shared" si="15"/>
        <v>层高</v>
      </c>
      <c r="AA41" s="1811">
        <f t="shared" si="3"/>
        <v>1</v>
      </c>
      <c r="AB41" s="1811">
        <f t="shared" si="4"/>
        <v>1</v>
      </c>
      <c r="AC41" s="2676">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1"/>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11">
        <f t="shared" si="3"/>
        <v>1</v>
      </c>
      <c r="AB42" s="1811">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1"/>
      <c r="Q43" s="1810" t="str">
        <f t="shared" si="11"/>
        <v>内部装修</v>
      </c>
      <c r="R43" s="774" t="s">
        <v>17</v>
      </c>
      <c r="S43" s="775">
        <f t="shared" si="12"/>
        <v>100</v>
      </c>
      <c r="T43" s="774" t="s">
        <v>17</v>
      </c>
      <c r="U43" s="775">
        <f t="shared" si="13"/>
        <v>100</v>
      </c>
      <c r="V43" s="774" t="s">
        <v>17</v>
      </c>
      <c r="W43" s="775">
        <f t="shared" si="14"/>
        <v>100</v>
      </c>
      <c r="X43" s="1813"/>
      <c r="Y43" s="3183"/>
      <c r="Z43" s="1814" t="str">
        <f t="shared" si="15"/>
        <v>内部装修</v>
      </c>
      <c r="AA43" s="1811">
        <f t="shared" si="3"/>
        <v>1</v>
      </c>
      <c r="AB43" s="1811">
        <f t="shared" si="4"/>
        <v>1</v>
      </c>
      <c r="AC43" s="2676">
        <f t="shared" si="5"/>
        <v>1</v>
      </c>
    </row>
    <row r="44" spans="1:29" ht="28.8">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81"/>
      <c r="Q44" s="1810" t="str">
        <f t="shared" si="11"/>
        <v>内部装修维护情况</v>
      </c>
      <c r="R44" s="774" t="s">
        <v>17</v>
      </c>
      <c r="S44" s="775">
        <f t="shared" si="12"/>
        <v>100</v>
      </c>
      <c r="T44" s="774" t="s">
        <v>17</v>
      </c>
      <c r="U44" s="775">
        <f t="shared" si="13"/>
        <v>100</v>
      </c>
      <c r="V44" s="774" t="s">
        <v>17</v>
      </c>
      <c r="W44" s="775">
        <f t="shared" si="14"/>
        <v>100</v>
      </c>
      <c r="X44" s="1813"/>
      <c r="Y44" s="3183"/>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1"/>
      <c r="Q45" s="1795">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1"/>
      <c r="Q46" s="1810">
        <f t="shared" si="11"/>
        <v>111</v>
      </c>
      <c r="R46" s="774" t="s">
        <v>17</v>
      </c>
      <c r="S46" s="775">
        <f t="shared" si="12"/>
        <v>100</v>
      </c>
      <c r="T46" s="774" t="s">
        <v>17</v>
      </c>
      <c r="U46" s="775">
        <f t="shared" si="13"/>
        <v>100</v>
      </c>
      <c r="V46" s="774" t="s">
        <v>17</v>
      </c>
      <c r="W46" s="775">
        <f t="shared" si="14"/>
        <v>100</v>
      </c>
      <c r="X46" s="1813"/>
      <c r="Y46" s="3183"/>
      <c r="Z46" s="1814">
        <f t="shared" si="15"/>
        <v>111</v>
      </c>
      <c r="AA46" s="1811">
        <f t="shared" si="3"/>
        <v>1</v>
      </c>
      <c r="AB46" s="1811">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2"/>
      <c r="Q47" s="1810">
        <f t="shared" si="11"/>
        <v>111</v>
      </c>
      <c r="R47" s="774" t="s">
        <v>17</v>
      </c>
      <c r="S47" s="775">
        <f t="shared" si="12"/>
        <v>100</v>
      </c>
      <c r="T47" s="774" t="s">
        <v>17</v>
      </c>
      <c r="U47" s="775">
        <f t="shared" si="13"/>
        <v>100</v>
      </c>
      <c r="V47" s="774" t="s">
        <v>17</v>
      </c>
      <c r="W47" s="775">
        <f t="shared" si="14"/>
        <v>100</v>
      </c>
      <c r="X47" s="1813"/>
      <c r="Y47" s="3184"/>
      <c r="Z47" s="1814">
        <f t="shared" si="15"/>
        <v>111</v>
      </c>
      <c r="AA47" s="1811">
        <f t="shared" si="3"/>
        <v>1</v>
      </c>
      <c r="AB47" s="1811">
        <f t="shared" si="4"/>
        <v>1</v>
      </c>
      <c r="AC47" s="2676">
        <f t="shared" si="5"/>
        <v>1</v>
      </c>
    </row>
    <row r="48" spans="1:29" ht="14.4">
      <c r="A48" s="479" t="s">
        <v>2578</v>
      </c>
      <c r="B48" s="480"/>
      <c r="C48" s="1407" t="s">
        <v>1</v>
      </c>
      <c r="D48" s="1408"/>
      <c r="E48" s="1409">
        <v>38500</v>
      </c>
      <c r="F48" s="1410"/>
      <c r="G48" s="1411">
        <v>39000</v>
      </c>
      <c r="H48" s="1412"/>
      <c r="I48" s="1409">
        <v>38000</v>
      </c>
      <c r="J48" s="485"/>
      <c r="K48" s="783"/>
      <c r="L48" s="1143"/>
      <c r="M48" s="1131"/>
      <c r="N48" s="1131"/>
      <c r="O48" s="1131"/>
      <c r="P48" s="3187" t="str">
        <f>A48</f>
        <v>成交单价（元/平方米）</v>
      </c>
      <c r="Q48" s="3176"/>
      <c r="R48" s="3177">
        <f>E48</f>
        <v>38500</v>
      </c>
      <c r="S48" s="3177"/>
      <c r="T48" s="3177">
        <f>G48</f>
        <v>39000</v>
      </c>
      <c r="U48" s="3177"/>
      <c r="V48" s="3177">
        <f>I48</f>
        <v>38000</v>
      </c>
      <c r="W48" s="3177"/>
      <c r="X48" s="446"/>
      <c r="Y48" s="781"/>
      <c r="Z48" s="446"/>
      <c r="AA48" s="446"/>
      <c r="AB48" s="446"/>
      <c r="AC48" s="630"/>
    </row>
    <row r="49" spans="1:29" ht="15" thickBot="1">
      <c r="A49" s="486" t="s">
        <v>2670</v>
      </c>
      <c r="B49" s="487"/>
      <c r="C49" s="1413">
        <f>R50</f>
        <v>35625</v>
      </c>
      <c r="D49" s="1414"/>
      <c r="E49" s="1415">
        <f>R49</f>
        <v>35625</v>
      </c>
      <c r="F49" s="1415"/>
      <c r="G49" s="1413">
        <f>T49</f>
        <v>36088</v>
      </c>
      <c r="H49" s="1414"/>
      <c r="I49" s="1415">
        <f>V49</f>
        <v>35162</v>
      </c>
      <c r="J49" s="489"/>
      <c r="K49" s="784"/>
      <c r="L49" s="1143"/>
      <c r="M49" s="1131"/>
      <c r="N49" s="1131"/>
      <c r="O49" s="1131"/>
      <c r="P49" s="3187" t="str">
        <f>A49</f>
        <v>比较价值（元/平方米）</v>
      </c>
      <c r="Q49" s="3176"/>
      <c r="R49" s="3177">
        <f>IF(F1="售价",ROUND(PRODUCT(R48,AA7:AA47),0),ROUND(PRODUCT(R48,AA7:AA47),1))</f>
        <v>35625</v>
      </c>
      <c r="S49" s="3177"/>
      <c r="T49" s="3177">
        <f>IF(F1="售价",ROUND(PRODUCT(T48,AB7:AB47),0),ROUND(PRODUCT(T48,AB7:AB47),1))</f>
        <v>36088</v>
      </c>
      <c r="U49" s="3177"/>
      <c r="V49" s="3177">
        <f>IF(F1="售价",ROUND(PRODUCT(V48,AC7:AC47),0),ROUND(PRODUCT(V48,AC7:AC47),1))</f>
        <v>35162</v>
      </c>
      <c r="W49" s="3177"/>
      <c r="X49" s="446"/>
      <c r="Y49" s="446"/>
      <c r="Z49" s="446"/>
      <c r="AA49" s="446"/>
      <c r="AB49" s="446"/>
      <c r="AC49" s="630"/>
    </row>
    <row r="50" spans="1:29" ht="15" thickBot="1">
      <c r="A50" s="492" t="s">
        <v>2671</v>
      </c>
      <c r="B50" s="493"/>
      <c r="C50" s="1417">
        <f>R50</f>
        <v>35625</v>
      </c>
      <c r="D50" s="1417"/>
      <c r="E50" s="1417"/>
      <c r="F50" s="1417"/>
      <c r="G50" s="1417"/>
      <c r="H50" s="1417"/>
      <c r="I50" s="1417"/>
      <c r="J50" s="494"/>
      <c r="K50" s="785"/>
      <c r="L50" s="1143"/>
      <c r="M50" s="1131"/>
      <c r="N50" s="1131"/>
      <c r="O50" s="1131"/>
      <c r="P50" s="3219" t="str">
        <f>A50</f>
        <v>估价对象XX用房的比较价值（楼面单价，元/平方米）</v>
      </c>
      <c r="Q50" s="3220"/>
      <c r="R50" s="3221">
        <f>IF(F1="售价",ROUND(AVERAGE(R49:V49),0),ROUND(AVERAGE(R49:V49),1))</f>
        <v>35625</v>
      </c>
      <c r="S50" s="3221"/>
      <c r="T50" s="3221"/>
      <c r="U50" s="3221"/>
      <c r="V50" s="3221"/>
      <c r="W50" s="322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8.0701754385964941E-2</v>
      </c>
      <c r="F53" s="500" t="str">
        <f>IF(OR(E53&gt;=0.3,E53&lt;=-0.3),"超过30%","")</f>
        <v/>
      </c>
      <c r="G53" s="499">
        <f>IF(G48&lt;G49,G49/G48-1,G48/G49-1)</f>
        <v>8.0691642651296913E-2</v>
      </c>
      <c r="H53" s="500" t="str">
        <f>IF(OR(G53&gt;=0.3,G53&lt;=-0.3),"超过30%","")</f>
        <v/>
      </c>
      <c r="I53" s="499">
        <f>IF(I48&lt;I49,I49/I48-1,I48/I49-1)</f>
        <v>8.0712132415676097E-2</v>
      </c>
      <c r="J53" s="500" t="str">
        <f>IF(OR(I53&gt;=0.3,I53&lt;=-0.3),"超过30%","")</f>
        <v/>
      </c>
      <c r="K53" s="1105"/>
      <c r="L53" s="1106"/>
      <c r="M53" s="1144"/>
      <c r="N53" s="1144"/>
      <c r="O53" s="1144"/>
    </row>
    <row r="54" spans="1:29" ht="13.5" customHeight="1">
      <c r="A54" s="1144"/>
      <c r="B54" s="1144"/>
      <c r="C54" s="497" t="s">
        <v>2673</v>
      </c>
      <c r="D54" s="501"/>
      <c r="E54" s="499">
        <f>IF(E49&lt;G49,G49/E49-1,E49/G49-1)</f>
        <v>1.2996491228070228E-2</v>
      </c>
      <c r="F54" s="500" t="str">
        <f>IF(OR(E54&gt;=0.2,E54&lt;=-0.2),"超过20%","")</f>
        <v/>
      </c>
      <c r="G54" s="499">
        <f>IF(G49&lt;I49,I49/G49-1,G49/I49-1)</f>
        <v>2.6335248279392598E-2</v>
      </c>
      <c r="H54" s="500" t="str">
        <f>IF(OR(G54&gt;=0.2,G54&lt;=-0.2),"超过20%","")</f>
        <v/>
      </c>
      <c r="I54" s="499">
        <f>IF(I49&lt;E49,E49/I49-1,I49/E49-1)</f>
        <v>1.3167624139696299E-2</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1.298701298701288E-2</v>
      </c>
      <c r="F55" s="500" t="str">
        <f>IF(OR(E55&gt;=0.3,E55&lt;=-0.3),"超过30%","")</f>
        <v/>
      </c>
      <c r="G55" s="499">
        <f>IF(G48&lt;I48,I48/G48-1,G48/I48-1)</f>
        <v>2.6315789473684292E-2</v>
      </c>
      <c r="H55" s="500" t="str">
        <f>IF(OR(G55&gt;=0.3,G55&lt;=-0.3),"超过30%","")</f>
        <v/>
      </c>
      <c r="I55" s="499">
        <f>IF(I48&lt;E48,E48/I48-1,I48/E48-1)</f>
        <v>1.3157894736842035E-2</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2.2" thickBot="1">
      <c r="A58" s="763" t="s">
        <v>2675</v>
      </c>
      <c r="B58" s="759"/>
      <c r="C58" s="764"/>
      <c r="D58" s="764"/>
      <c r="E58" s="764"/>
      <c r="F58" s="765"/>
      <c r="G58" s="765"/>
      <c r="H58" s="764"/>
      <c r="I58" s="764"/>
      <c r="J58" s="764"/>
      <c r="K58" s="766"/>
      <c r="L58" s="1161"/>
      <c r="M58" s="1159"/>
      <c r="N58" s="1159"/>
      <c r="O58" s="1159"/>
      <c r="P58" s="2683"/>
      <c r="Q58" s="504"/>
    </row>
    <row r="59" spans="1:29" s="508" customFormat="1" ht="14.4">
      <c r="A59" s="505" t="s">
        <v>2549</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c r="A60" s="509"/>
      <c r="B60" s="510"/>
      <c r="C60" s="1573">
        <v>100</v>
      </c>
      <c r="D60" s="512"/>
      <c r="E60" s="512"/>
      <c r="F60" s="512"/>
      <c r="G60" s="512"/>
      <c r="H60" s="512"/>
      <c r="I60" s="512"/>
      <c r="J60" s="512"/>
      <c r="K60" s="512"/>
      <c r="L60" s="512"/>
      <c r="M60" s="513"/>
      <c r="N60" s="512"/>
      <c r="O60" s="513"/>
      <c r="P60" s="2684"/>
    </row>
    <row r="61" spans="1:29" s="117" customFormat="1" ht="15" thickBot="1">
      <c r="A61" s="515" t="s">
        <v>2586</v>
      </c>
      <c r="B61" s="516"/>
      <c r="C61" s="517"/>
      <c r="D61" s="518"/>
      <c r="E61" s="518"/>
      <c r="F61" s="518"/>
      <c r="G61" s="518"/>
      <c r="H61" s="518"/>
      <c r="I61" s="518"/>
      <c r="J61" s="518"/>
      <c r="K61" s="518"/>
      <c r="L61" s="518"/>
      <c r="M61" s="519"/>
      <c r="N61" s="518"/>
      <c r="O61" s="519"/>
      <c r="P61" s="2684"/>
      <c r="Q61" s="504"/>
    </row>
    <row r="62" spans="1:29" s="117" customFormat="1" ht="14.4">
      <c r="A62" s="521" t="s">
        <v>2551</v>
      </c>
      <c r="B62" s="510"/>
      <c r="C62" s="522" t="s">
        <v>2653</v>
      </c>
      <c r="D62" s="523"/>
      <c r="E62" s="523"/>
      <c r="F62" s="523"/>
      <c r="G62" s="523"/>
      <c r="H62" s="523"/>
      <c r="I62" s="523"/>
      <c r="J62" s="523"/>
      <c r="K62" s="523"/>
      <c r="L62" s="524"/>
      <c r="M62" s="525"/>
      <c r="N62" s="1151"/>
      <c r="O62" s="1151"/>
      <c r="P62" s="2685"/>
      <c r="Q62" s="504"/>
    </row>
    <row r="63" spans="1:29" s="117" customFormat="1" ht="14.4" thickBot="1">
      <c r="A63" s="521"/>
      <c r="B63" s="510"/>
      <c r="C63" s="511">
        <v>100</v>
      </c>
      <c r="D63" s="512"/>
      <c r="E63" s="512"/>
      <c r="F63" s="512"/>
      <c r="G63" s="512"/>
      <c r="H63" s="512"/>
      <c r="I63" s="512"/>
      <c r="J63" s="512"/>
      <c r="K63" s="512"/>
      <c r="L63" s="512"/>
      <c r="M63" s="514"/>
      <c r="N63" s="1151"/>
      <c r="O63" s="1151"/>
      <c r="P63" s="2684"/>
      <c r="Q63" s="504"/>
    </row>
    <row r="64" spans="1:29" ht="14.4">
      <c r="A64" s="527" t="s">
        <v>2589</v>
      </c>
      <c r="B64" s="528" t="s">
        <v>2555</v>
      </c>
      <c r="C64" s="529" t="str">
        <f>C9</f>
        <v>办公</v>
      </c>
      <c r="D64" s="530"/>
      <c r="E64" s="530"/>
      <c r="F64" s="530"/>
      <c r="G64" s="530"/>
      <c r="H64" s="530"/>
      <c r="I64" s="530"/>
      <c r="J64" s="530"/>
      <c r="K64" s="531"/>
      <c r="L64" s="532"/>
      <c r="M64" s="533"/>
      <c r="N64" s="1152"/>
      <c r="O64" s="1152"/>
      <c r="P64" s="2686"/>
      <c r="Q64" s="504"/>
    </row>
    <row r="65" spans="1:17" ht="14.4" thickBot="1">
      <c r="A65" s="534"/>
      <c r="B65" s="535"/>
      <c r="C65" s="536">
        <v>100</v>
      </c>
      <c r="D65" s="536"/>
      <c r="E65" s="536"/>
      <c r="F65" s="536"/>
      <c r="G65" s="536"/>
      <c r="H65" s="536"/>
      <c r="I65" s="536"/>
      <c r="J65" s="536"/>
      <c r="K65" s="536"/>
      <c r="L65" s="536"/>
      <c r="M65" s="537"/>
      <c r="N65" s="1153"/>
      <c r="O65" s="1153"/>
      <c r="P65" s="2686"/>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6"/>
      <c r="Q67" s="504"/>
    </row>
    <row r="68" spans="1:17" ht="1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v>0</v>
      </c>
      <c r="D69" s="549">
        <v>1</v>
      </c>
      <c r="E69" s="549">
        <v>2</v>
      </c>
      <c r="F69" s="549">
        <v>3</v>
      </c>
      <c r="G69" s="549">
        <v>4</v>
      </c>
      <c r="H69" s="549">
        <v>5</v>
      </c>
      <c r="I69" s="549"/>
      <c r="J69" s="549"/>
      <c r="K69" s="550"/>
      <c r="L69" s="551"/>
      <c r="M69" s="552"/>
      <c r="N69" s="1152"/>
      <c r="O69" s="1152"/>
      <c r="P69" s="2686"/>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6"/>
      <c r="Q70" s="504"/>
    </row>
    <row r="71" spans="1:17" s="471" customFormat="1" ht="14.4" thickTop="1">
      <c r="A71" s="553"/>
      <c r="B71" s="538">
        <f>B12</f>
        <v>111</v>
      </c>
      <c r="C71" s="554"/>
      <c r="D71" s="554"/>
      <c r="E71" s="554"/>
      <c r="F71" s="554"/>
      <c r="G71" s="554"/>
      <c r="H71" s="555"/>
      <c r="I71" s="555"/>
      <c r="J71" s="555"/>
      <c r="K71" s="555"/>
      <c r="L71" s="556"/>
      <c r="M71" s="557"/>
      <c r="N71" s="1154"/>
      <c r="O71" s="1154"/>
      <c r="P71" s="2687"/>
      <c r="Q71" s="559"/>
    </row>
    <row r="72" spans="1:17" s="471" customFormat="1" ht="14.4" thickBot="1">
      <c r="A72" s="553"/>
      <c r="B72" s="543"/>
      <c r="C72" s="560"/>
      <c r="D72" s="536"/>
      <c r="E72" s="536"/>
      <c r="F72" s="536"/>
      <c r="G72" s="536"/>
      <c r="H72" s="536"/>
      <c r="I72" s="536"/>
      <c r="J72" s="536"/>
      <c r="K72" s="536"/>
      <c r="L72" s="536"/>
      <c r="M72" s="537"/>
      <c r="N72" s="1153"/>
      <c r="O72" s="1153"/>
      <c r="P72" s="2687"/>
      <c r="Q72" s="559"/>
    </row>
    <row r="73" spans="1:17" s="471" customFormat="1" ht="14.4" thickTop="1">
      <c r="A73" s="553"/>
      <c r="B73" s="538">
        <f>B13</f>
        <v>111</v>
      </c>
      <c r="C73" s="554"/>
      <c r="D73" s="554"/>
      <c r="E73" s="554"/>
      <c r="F73" s="554"/>
      <c r="G73" s="554"/>
      <c r="H73" s="555"/>
      <c r="I73" s="555"/>
      <c r="J73" s="555"/>
      <c r="K73" s="555"/>
      <c r="L73" s="556"/>
      <c r="M73" s="557"/>
      <c r="N73" s="1154"/>
      <c r="O73" s="1154"/>
      <c r="P73" s="2688"/>
      <c r="Q73" s="561"/>
    </row>
    <row r="74" spans="1:17" s="471" customFormat="1" ht="14.4" thickBot="1">
      <c r="A74" s="553"/>
      <c r="B74" s="543"/>
      <c r="C74" s="560"/>
      <c r="D74" s="560"/>
      <c r="E74" s="560"/>
      <c r="F74" s="560"/>
      <c r="G74" s="560"/>
      <c r="H74" s="562"/>
      <c r="I74" s="562"/>
      <c r="J74" s="562"/>
      <c r="K74" s="562"/>
      <c r="L74" s="562"/>
      <c r="M74" s="563"/>
      <c r="N74" s="1154"/>
      <c r="O74" s="1154"/>
      <c r="P74" s="2687"/>
      <c r="Q74" s="559"/>
    </row>
    <row r="75" spans="1:17" s="471" customFormat="1" ht="14.4" thickTop="1">
      <c r="A75" s="553"/>
      <c r="B75" s="546">
        <f>B14</f>
        <v>111</v>
      </c>
      <c r="C75" s="523"/>
      <c r="D75" s="523"/>
      <c r="E75" s="523"/>
      <c r="F75" s="523"/>
      <c r="G75" s="523"/>
      <c r="H75" s="564"/>
      <c r="I75" s="564"/>
      <c r="J75" s="564"/>
      <c r="K75" s="564"/>
      <c r="L75" s="565"/>
      <c r="M75" s="566"/>
      <c r="N75" s="1154"/>
      <c r="O75" s="1154"/>
      <c r="P75" s="2689"/>
      <c r="Q75" s="559"/>
    </row>
    <row r="76" spans="1:17" s="471" customFormat="1" ht="14.4" thickBot="1">
      <c r="A76" s="568"/>
      <c r="B76" s="569"/>
      <c r="C76" s="570"/>
      <c r="D76" s="570"/>
      <c r="E76" s="570"/>
      <c r="F76" s="570"/>
      <c r="G76" s="570"/>
      <c r="H76" s="571"/>
      <c r="I76" s="571"/>
      <c r="J76" s="571"/>
      <c r="K76" s="571"/>
      <c r="L76" s="571"/>
      <c r="M76" s="572"/>
      <c r="N76" s="1154"/>
      <c r="O76" s="1154"/>
      <c r="P76" s="2687"/>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9.4" thickTop="1">
      <c r="A87" s="579"/>
      <c r="B87" s="538" t="s">
        <v>2700</v>
      </c>
      <c r="C87" s="554"/>
      <c r="D87" s="554"/>
      <c r="E87" s="554"/>
      <c r="F87" s="554"/>
      <c r="G87" s="554"/>
      <c r="H87" s="554"/>
      <c r="I87" s="554"/>
      <c r="J87" s="554"/>
      <c r="K87" s="554"/>
      <c r="L87" s="580"/>
      <c r="M87" s="581"/>
      <c r="N87" s="1151"/>
      <c r="O87" s="1151"/>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4"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4" thickTop="1">
      <c r="A93" s="534"/>
      <c r="B93" s="538">
        <f>B29</f>
        <v>111</v>
      </c>
      <c r="C93" s="554"/>
      <c r="D93" s="554"/>
      <c r="E93" s="554"/>
      <c r="F93" s="554"/>
      <c r="G93" s="554"/>
      <c r="H93" s="554"/>
      <c r="I93" s="554"/>
      <c r="J93" s="554"/>
      <c r="K93" s="554"/>
      <c r="L93" s="580"/>
      <c r="M93" s="581"/>
      <c r="N93" s="1152"/>
      <c r="O93" s="1152"/>
      <c r="P93" s="2686"/>
      <c r="Q93" s="504"/>
    </row>
    <row r="94" spans="1:17" ht="14.4" thickBot="1">
      <c r="A94" s="534"/>
      <c r="B94" s="543"/>
      <c r="C94" s="560"/>
      <c r="D94" s="536"/>
      <c r="E94" s="536"/>
      <c r="F94" s="536"/>
      <c r="G94" s="536"/>
      <c r="H94" s="536"/>
      <c r="I94" s="536"/>
      <c r="J94" s="536"/>
      <c r="K94" s="536"/>
      <c r="L94" s="536"/>
      <c r="M94" s="537"/>
      <c r="N94" s="1153"/>
      <c r="O94" s="1153"/>
      <c r="P94" s="2686"/>
      <c r="Q94" s="504"/>
    </row>
    <row r="95" spans="1:17" ht="14.4" thickTop="1">
      <c r="A95" s="534"/>
      <c r="B95" s="538">
        <f>B30</f>
        <v>111</v>
      </c>
      <c r="C95" s="554"/>
      <c r="D95" s="554"/>
      <c r="E95" s="554"/>
      <c r="F95" s="554"/>
      <c r="G95" s="583"/>
      <c r="H95" s="583"/>
      <c r="I95" s="583"/>
      <c r="J95" s="583"/>
      <c r="K95" s="584"/>
      <c r="L95" s="585"/>
      <c r="M95" s="586"/>
      <c r="N95" s="1152"/>
      <c r="O95" s="1152"/>
      <c r="P95" s="2686"/>
      <c r="Q95" s="504"/>
    </row>
    <row r="96" spans="1:17" ht="14.4" thickBot="1">
      <c r="A96" s="534"/>
      <c r="B96" s="543"/>
      <c r="C96" s="560"/>
      <c r="D96" s="560"/>
      <c r="E96" s="560"/>
      <c r="F96" s="560"/>
      <c r="G96" s="536"/>
      <c r="H96" s="536"/>
      <c r="I96" s="536"/>
      <c r="J96" s="536"/>
      <c r="K96" s="536"/>
      <c r="L96" s="536"/>
      <c r="M96" s="537"/>
      <c r="N96" s="1153"/>
      <c r="O96" s="1153"/>
      <c r="P96" s="2686"/>
      <c r="Q96" s="504"/>
    </row>
    <row r="97" spans="1:17" ht="14.4" thickTop="1">
      <c r="A97" s="534"/>
      <c r="B97" s="538">
        <f>B31</f>
        <v>111</v>
      </c>
      <c r="C97" s="554"/>
      <c r="D97" s="554"/>
      <c r="E97" s="554"/>
      <c r="F97" s="554"/>
      <c r="G97" s="583"/>
      <c r="H97" s="583"/>
      <c r="I97" s="583"/>
      <c r="J97" s="583"/>
      <c r="K97" s="584"/>
      <c r="L97" s="585"/>
      <c r="M97" s="586"/>
      <c r="N97" s="1152"/>
      <c r="O97" s="1152"/>
      <c r="P97" s="2686"/>
      <c r="Q97" s="504"/>
    </row>
    <row r="98" spans="1:17" ht="14.4" thickBot="1">
      <c r="A98" s="534"/>
      <c r="B98" s="543"/>
      <c r="C98" s="560"/>
      <c r="D98" s="536"/>
      <c r="E98" s="536"/>
      <c r="F98" s="536"/>
      <c r="G98" s="536"/>
      <c r="H98" s="536"/>
      <c r="I98" s="536"/>
      <c r="J98" s="536"/>
      <c r="K98" s="536"/>
      <c r="L98" s="536"/>
      <c r="M98" s="537"/>
      <c r="N98" s="1153"/>
      <c r="O98" s="1153"/>
      <c r="P98" s="2686"/>
      <c r="Q98" s="504"/>
    </row>
    <row r="99" spans="1:17" ht="14.4" thickTop="1">
      <c r="A99" s="534"/>
      <c r="B99" s="546">
        <f>B32</f>
        <v>111</v>
      </c>
      <c r="C99" s="523"/>
      <c r="D99" s="523"/>
      <c r="E99" s="523"/>
      <c r="F99" s="523"/>
      <c r="G99" s="587"/>
      <c r="H99" s="587"/>
      <c r="I99" s="587"/>
      <c r="J99" s="587"/>
      <c r="K99" s="588"/>
      <c r="L99" s="589"/>
      <c r="M99" s="590"/>
      <c r="N99" s="1152"/>
      <c r="O99" s="1152"/>
      <c r="P99" s="2686"/>
      <c r="Q99" s="504"/>
    </row>
    <row r="100" spans="1:17" ht="14.4" thickBot="1">
      <c r="A100" s="2638"/>
      <c r="B100" s="569"/>
      <c r="C100" s="570"/>
      <c r="D100" s="570"/>
      <c r="E100" s="570"/>
      <c r="F100" s="570"/>
      <c r="G100" s="591"/>
      <c r="H100" s="591"/>
      <c r="I100" s="591"/>
      <c r="J100" s="591"/>
      <c r="K100" s="591"/>
      <c r="L100" s="591"/>
      <c r="M100" s="592"/>
      <c r="N100" s="1153"/>
      <c r="O100" s="1153"/>
      <c r="P100" s="2686"/>
      <c r="Q100" s="504"/>
    </row>
    <row r="101" spans="1:17" ht="14.4">
      <c r="A101" s="527" t="s">
        <v>2564</v>
      </c>
      <c r="B101" s="528" t="s">
        <v>2613</v>
      </c>
      <c r="C101" s="530"/>
      <c r="D101" s="530"/>
      <c r="E101" s="530"/>
      <c r="F101" s="530"/>
      <c r="G101" s="530"/>
      <c r="H101" s="530"/>
      <c r="I101" s="530"/>
      <c r="J101" s="530"/>
      <c r="K101" s="531"/>
      <c r="L101" s="532"/>
      <c r="M101" s="533"/>
      <c r="N101" s="1152"/>
      <c r="O101" s="1152"/>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 thickTop="1">
      <c r="A103" s="534"/>
      <c r="B103" s="538" t="s">
        <v>2614</v>
      </c>
      <c r="C103" s="578" t="str">
        <f>C104&amp;"(含)"&amp;"-"&amp;D104</f>
        <v>0(含)-2000</v>
      </c>
      <c r="D103" s="578" t="str">
        <f t="shared" ref="D103:L103" si="23">D104&amp;"(含)"&amp;"-"&amp;E104</f>
        <v>2000(含)-4000</v>
      </c>
      <c r="E103" s="578" t="str">
        <f t="shared" si="23"/>
        <v>4000(含)-6000</v>
      </c>
      <c r="F103" s="578" t="str">
        <f t="shared" si="23"/>
        <v>6000(含)-8000</v>
      </c>
      <c r="G103" s="578" t="str">
        <f t="shared" si="23"/>
        <v>8000(含)-10000</v>
      </c>
      <c r="H103" s="578" t="str">
        <f t="shared" si="23"/>
        <v>10000(含)-12000</v>
      </c>
      <c r="I103" s="578" t="str">
        <f t="shared" si="23"/>
        <v>12000(含)-14000</v>
      </c>
      <c r="J103" s="578" t="str">
        <f t="shared" si="23"/>
        <v>14000(含)-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f>C104+2000</f>
        <v>2000</v>
      </c>
      <c r="E104" s="595">
        <f t="shared" ref="E104:J104" si="24">D104+2000</f>
        <v>4000</v>
      </c>
      <c r="F104" s="595">
        <f t="shared" si="24"/>
        <v>6000</v>
      </c>
      <c r="G104" s="595">
        <f t="shared" si="24"/>
        <v>8000</v>
      </c>
      <c r="H104" s="595">
        <f t="shared" si="24"/>
        <v>10000</v>
      </c>
      <c r="I104" s="595">
        <f t="shared" si="24"/>
        <v>12000</v>
      </c>
      <c r="J104" s="595">
        <f t="shared" si="24"/>
        <v>14000</v>
      </c>
      <c r="K104" s="596"/>
      <c r="L104" s="597"/>
      <c r="M104" s="598"/>
      <c r="N104" s="1154"/>
      <c r="O104" s="1154"/>
      <c r="P104" s="2687"/>
      <c r="Q104" s="559"/>
    </row>
    <row r="105" spans="1:17" s="471" customFormat="1" ht="14.4" thickBot="1">
      <c r="A105" s="553"/>
      <c r="B105" s="543"/>
      <c r="C105" s="560">
        <v>100</v>
      </c>
      <c r="D105" s="536">
        <f>C105-1</f>
        <v>99</v>
      </c>
      <c r="E105" s="536">
        <f t="shared" ref="E105:J105" si="25">D105-1</f>
        <v>98</v>
      </c>
      <c r="F105" s="536">
        <f t="shared" si="25"/>
        <v>97</v>
      </c>
      <c r="G105" s="536">
        <f t="shared" si="25"/>
        <v>96</v>
      </c>
      <c r="H105" s="536">
        <f t="shared" si="25"/>
        <v>95</v>
      </c>
      <c r="I105" s="536">
        <f t="shared" si="25"/>
        <v>94</v>
      </c>
      <c r="J105" s="536">
        <f t="shared" si="25"/>
        <v>93</v>
      </c>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4.4" thickBot="1">
      <c r="A107" s="534"/>
      <c r="B107" s="543"/>
      <c r="C107" s="544">
        <v>100</v>
      </c>
      <c r="D107" s="544">
        <f t="shared" ref="D107:M107" si="26">C107-$K35</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5">
        <f t="shared" si="26"/>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4.4" thickBot="1">
      <c r="A109" s="534"/>
      <c r="B109" s="543"/>
      <c r="C109" s="544">
        <v>100</v>
      </c>
      <c r="D109" s="544">
        <f t="shared" ref="D109:M109" si="27">C109-$K36</f>
        <v>100</v>
      </c>
      <c r="E109" s="544">
        <f t="shared" si="27"/>
        <v>100</v>
      </c>
      <c r="F109" s="544">
        <f t="shared" si="27"/>
        <v>100</v>
      </c>
      <c r="G109" s="544">
        <f t="shared" si="27"/>
        <v>100</v>
      </c>
      <c r="H109" s="544">
        <f t="shared" si="27"/>
        <v>100</v>
      </c>
      <c r="I109" s="544">
        <f t="shared" si="27"/>
        <v>100</v>
      </c>
      <c r="J109" s="544">
        <f t="shared" si="27"/>
        <v>100</v>
      </c>
      <c r="K109" s="544">
        <f t="shared" si="27"/>
        <v>100</v>
      </c>
      <c r="L109" s="544">
        <f t="shared" si="27"/>
        <v>100</v>
      </c>
      <c r="M109" s="545">
        <f t="shared" si="27"/>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4"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4.4" thickBot="1">
      <c r="A114" s="553"/>
      <c r="B114" s="543"/>
      <c r="C114" s="544">
        <v>100</v>
      </c>
      <c r="D114" s="544">
        <f>C114-$K38</f>
        <v>100</v>
      </c>
      <c r="E114" s="544">
        <f t="shared" ref="E114:M114" si="29">D114-$K38</f>
        <v>100</v>
      </c>
      <c r="F114" s="544">
        <f t="shared" si="29"/>
        <v>100</v>
      </c>
      <c r="G114" s="544">
        <f t="shared" si="29"/>
        <v>100</v>
      </c>
      <c r="H114" s="544">
        <f t="shared" si="29"/>
        <v>100</v>
      </c>
      <c r="I114" s="544">
        <f t="shared" si="29"/>
        <v>100</v>
      </c>
      <c r="J114" s="544">
        <f t="shared" si="29"/>
        <v>100</v>
      </c>
      <c r="K114" s="544">
        <f t="shared" si="29"/>
        <v>100</v>
      </c>
      <c r="L114" s="544">
        <f t="shared" si="29"/>
        <v>100</v>
      </c>
      <c r="M114" s="544">
        <f t="shared" si="29"/>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4.4" thickBot="1">
      <c r="A116" s="534"/>
      <c r="B116" s="543"/>
      <c r="C116" s="544">
        <v>100</v>
      </c>
      <c r="D116" s="544">
        <f t="shared" ref="D116:M116" si="30">C116-$K39</f>
        <v>100</v>
      </c>
      <c r="E116" s="544">
        <f t="shared" si="30"/>
        <v>100</v>
      </c>
      <c r="F116" s="544">
        <f t="shared" si="30"/>
        <v>100</v>
      </c>
      <c r="G116" s="544">
        <f t="shared" si="30"/>
        <v>100</v>
      </c>
      <c r="H116" s="544">
        <f t="shared" si="30"/>
        <v>100</v>
      </c>
      <c r="I116" s="544">
        <f t="shared" si="30"/>
        <v>100</v>
      </c>
      <c r="J116" s="544">
        <f t="shared" si="30"/>
        <v>100</v>
      </c>
      <c r="K116" s="544">
        <f t="shared" si="30"/>
        <v>100</v>
      </c>
      <c r="L116" s="544">
        <f t="shared" si="30"/>
        <v>100</v>
      </c>
      <c r="M116" s="545">
        <f t="shared" si="30"/>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4.4" thickBot="1">
      <c r="A120" s="534"/>
      <c r="B120" s="543"/>
      <c r="C120" s="582">
        <v>100</v>
      </c>
      <c r="D120" s="544">
        <f>C120-$K41</f>
        <v>100</v>
      </c>
      <c r="E120" s="544">
        <f t="shared" ref="E120:M120" si="31">D120-$K41</f>
        <v>100</v>
      </c>
      <c r="F120" s="544">
        <f t="shared" si="31"/>
        <v>100</v>
      </c>
      <c r="G120" s="544">
        <f t="shared" si="31"/>
        <v>100</v>
      </c>
      <c r="H120" s="544">
        <f t="shared" si="31"/>
        <v>100</v>
      </c>
      <c r="I120" s="544">
        <f t="shared" si="31"/>
        <v>100</v>
      </c>
      <c r="J120" s="544">
        <f t="shared" si="31"/>
        <v>100</v>
      </c>
      <c r="K120" s="544">
        <f t="shared" si="31"/>
        <v>100</v>
      </c>
      <c r="L120" s="544">
        <f t="shared" si="31"/>
        <v>100</v>
      </c>
      <c r="M120" s="544">
        <f t="shared" si="31"/>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4.4" thickBot="1">
      <c r="A124" s="534"/>
      <c r="B124" s="543"/>
      <c r="C124" s="544">
        <v>100</v>
      </c>
      <c r="D124" s="544">
        <f t="shared" ref="D124:M124" si="32">C124-$K43</f>
        <v>100</v>
      </c>
      <c r="E124" s="544">
        <f t="shared" si="32"/>
        <v>100</v>
      </c>
      <c r="F124" s="544">
        <f t="shared" si="32"/>
        <v>100</v>
      </c>
      <c r="G124" s="544">
        <f t="shared" si="32"/>
        <v>100</v>
      </c>
      <c r="H124" s="544">
        <f t="shared" si="32"/>
        <v>100</v>
      </c>
      <c r="I124" s="544">
        <f t="shared" si="32"/>
        <v>100</v>
      </c>
      <c r="J124" s="544">
        <f t="shared" si="32"/>
        <v>100</v>
      </c>
      <c r="K124" s="544">
        <f t="shared" si="32"/>
        <v>100</v>
      </c>
      <c r="L124" s="544">
        <f t="shared" si="32"/>
        <v>100</v>
      </c>
      <c r="M124" s="545">
        <f t="shared" si="32"/>
        <v>100</v>
      </c>
      <c r="N124" s="1153"/>
      <c r="O124" s="1153"/>
      <c r="P124" s="2686"/>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7"/>
      <c r="Q128" s="559"/>
    </row>
    <row r="129" spans="1:17" ht="14.4" thickTop="1">
      <c r="A129" s="599"/>
      <c r="B129" s="538">
        <f>B46</f>
        <v>111</v>
      </c>
      <c r="C129" s="554"/>
      <c r="D129" s="554"/>
      <c r="E129" s="554"/>
      <c r="F129" s="554"/>
      <c r="G129" s="583"/>
      <c r="H129" s="583"/>
      <c r="I129" s="583"/>
      <c r="J129" s="583"/>
      <c r="K129" s="584"/>
      <c r="L129" s="585"/>
      <c r="M129" s="586"/>
      <c r="N129" s="1152"/>
      <c r="O129" s="1152"/>
      <c r="P129" s="2686"/>
      <c r="Q129" s="504"/>
    </row>
    <row r="130" spans="1:17" ht="14.4" thickBot="1">
      <c r="A130" s="534"/>
      <c r="B130" s="543"/>
      <c r="C130" s="560"/>
      <c r="D130" s="560"/>
      <c r="E130" s="560"/>
      <c r="F130" s="560"/>
      <c r="G130" s="536"/>
      <c r="H130" s="536"/>
      <c r="I130" s="536"/>
      <c r="J130" s="536"/>
      <c r="K130" s="536"/>
      <c r="L130" s="536"/>
      <c r="M130" s="537"/>
      <c r="N130" s="1153"/>
      <c r="O130" s="1153"/>
      <c r="P130" s="2686"/>
      <c r="Q130" s="504"/>
    </row>
    <row r="131" spans="1:17" ht="14.4" thickTop="1">
      <c r="A131" s="599"/>
      <c r="B131" s="546">
        <f>B47</f>
        <v>111</v>
      </c>
      <c r="C131" s="523"/>
      <c r="D131" s="523"/>
      <c r="E131" s="523"/>
      <c r="F131" s="523"/>
      <c r="G131" s="587"/>
      <c r="H131" s="587"/>
      <c r="I131" s="587"/>
      <c r="J131" s="587"/>
      <c r="K131" s="523"/>
      <c r="L131" s="524"/>
      <c r="M131" s="590"/>
      <c r="N131" s="1152"/>
      <c r="O131" s="1152"/>
      <c r="P131" s="2686"/>
      <c r="Q131" s="504"/>
    </row>
    <row r="132" spans="1:17" ht="14.4" thickBot="1">
      <c r="A132" s="2638"/>
      <c r="B132" s="569"/>
      <c r="C132" s="570"/>
      <c r="D132" s="570"/>
      <c r="E132" s="570"/>
      <c r="F132" s="570"/>
      <c r="G132" s="591"/>
      <c r="H132" s="591"/>
      <c r="I132" s="591"/>
      <c r="J132" s="591"/>
      <c r="K132" s="591"/>
      <c r="L132" s="591"/>
      <c r="M132" s="592"/>
      <c r="N132" s="1153"/>
      <c r="O132" s="1153"/>
      <c r="P132" s="2686"/>
      <c r="Q132" s="504"/>
    </row>
  </sheetData>
  <sheetProtection algorithmName="SHA-512" hashValue="DopjrZsUVjjiLIeiuYrDWGTNMp4ccap80rdBPh+Oc0Ouornt93Z6heSBsvEzAddpjYHWBml7iNOvofEhFMlpJw==" saltValue="AtjPgQ4sQd+mvdO2T1qNd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G5"/>
  <sheetViews>
    <sheetView topLeftCell="A25" workbookViewId="0">
      <selection activeCell="A51" sqref="A51"/>
    </sheetView>
  </sheetViews>
  <sheetFormatPr defaultRowHeight="14.4"/>
  <cols>
    <col min="1" max="1" width="16.109375" bestFit="1" customWidth="1"/>
    <col min="2" max="2" width="18.33203125" bestFit="1" customWidth="1"/>
    <col min="7" max="7" width="10.5546875" bestFit="1" customWidth="1"/>
  </cols>
  <sheetData>
    <row r="3" spans="1:7">
      <c r="A3" s="3430" t="s">
        <v>3236</v>
      </c>
      <c r="B3" s="3430" t="s">
        <v>3235</v>
      </c>
      <c r="C3" s="3430" t="s">
        <v>3238</v>
      </c>
      <c r="D3" s="3430" t="s">
        <v>3239</v>
      </c>
      <c r="E3" s="3430" t="s">
        <v>3224</v>
      </c>
      <c r="F3" s="3430" t="s">
        <v>3242</v>
      </c>
      <c r="G3" s="3430" t="s">
        <v>3243</v>
      </c>
    </row>
    <row r="4" spans="1:7">
      <c r="A4" s="3430" t="s">
        <v>3237</v>
      </c>
      <c r="B4" s="3430" t="s">
        <v>3234</v>
      </c>
      <c r="C4">
        <v>2003</v>
      </c>
      <c r="D4">
        <v>27</v>
      </c>
      <c r="E4">
        <v>81.94</v>
      </c>
      <c r="F4">
        <v>42650</v>
      </c>
      <c r="G4" s="3431">
        <v>43627</v>
      </c>
    </row>
    <row r="5" spans="1:7">
      <c r="A5" s="3430" t="s">
        <v>3240</v>
      </c>
      <c r="B5" s="3430" t="s">
        <v>3241</v>
      </c>
      <c r="C5">
        <v>2005</v>
      </c>
      <c r="D5">
        <v>15</v>
      </c>
    </row>
  </sheetData>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94649.49000000002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201" t="s">
        <v>2648</v>
      </c>
      <c r="S4" s="3202"/>
      <c r="T4" s="3201" t="s">
        <v>2649</v>
      </c>
      <c r="U4" s="3202"/>
      <c r="V4" s="3207" t="s">
        <v>2650</v>
      </c>
      <c r="W4" s="3207"/>
      <c r="X4" s="1813"/>
      <c r="Y4" s="3201" t="s">
        <v>2652</v>
      </c>
      <c r="Z4" s="3202"/>
      <c r="AA4" s="3188" t="s">
        <v>2648</v>
      </c>
      <c r="AB4" s="3189" t="s">
        <v>2649</v>
      </c>
      <c r="AC4" s="3188" t="s">
        <v>2650</v>
      </c>
    </row>
    <row r="5" spans="1:29">
      <c r="A5" s="404"/>
      <c r="B5" s="405"/>
      <c r="C5" s="3210" t="s">
        <v>2543</v>
      </c>
      <c r="D5" s="3211"/>
      <c r="E5" s="3217" t="s">
        <v>2544</v>
      </c>
      <c r="F5" s="3218"/>
      <c r="G5" s="3210" t="s">
        <v>2545</v>
      </c>
      <c r="H5" s="3211"/>
      <c r="I5" s="3210" t="s">
        <v>2546</v>
      </c>
      <c r="J5" s="3211"/>
      <c r="K5" s="610"/>
      <c r="L5" s="1130"/>
      <c r="M5" s="1131"/>
      <c r="N5" s="1131"/>
      <c r="O5" s="1131"/>
      <c r="P5" s="3197"/>
      <c r="Q5" s="3198"/>
      <c r="R5" s="3203"/>
      <c r="S5" s="3204"/>
      <c r="T5" s="3203"/>
      <c r="U5" s="3204"/>
      <c r="V5" s="3207"/>
      <c r="W5" s="3207"/>
      <c r="X5" s="1813"/>
      <c r="Y5" s="3203"/>
      <c r="Z5" s="3204"/>
      <c r="AA5" s="3189"/>
      <c r="AB5" s="3189"/>
      <c r="AC5" s="3189"/>
    </row>
    <row r="6" spans="1:29" ht="15" thickBot="1">
      <c r="A6" s="406"/>
      <c r="B6" s="407"/>
      <c r="C6" s="3208" t="s">
        <v>2547</v>
      </c>
      <c r="D6" s="3209"/>
      <c r="E6" s="3215" t="s">
        <v>2547</v>
      </c>
      <c r="F6" s="3216"/>
      <c r="G6" s="3208" t="s">
        <v>2547</v>
      </c>
      <c r="H6" s="3209"/>
      <c r="I6" s="3208" t="s">
        <v>2547</v>
      </c>
      <c r="J6" s="3209"/>
      <c r="K6" s="610" t="s">
        <v>2548</v>
      </c>
      <c r="L6" s="1130"/>
      <c r="M6" s="1131"/>
      <c r="N6" s="1131"/>
      <c r="O6" s="1131"/>
      <c r="P6" s="3199"/>
      <c r="Q6" s="3200"/>
      <c r="R6" s="3203"/>
      <c r="S6" s="3204"/>
      <c r="T6" s="3205"/>
      <c r="U6" s="3206"/>
      <c r="V6" s="3207"/>
      <c r="W6" s="3207"/>
      <c r="X6" s="1813"/>
      <c r="Y6" s="3205"/>
      <c r="Z6" s="3206"/>
      <c r="AA6" s="3190"/>
      <c r="AB6" s="3190"/>
      <c r="AC6" s="3190"/>
    </row>
    <row r="7" spans="1:29" s="117" customFormat="1" ht="15" thickBot="1">
      <c r="A7" s="408" t="s">
        <v>2549</v>
      </c>
      <c r="B7" s="409"/>
      <c r="C7" s="410">
        <f>'数据-取费表'!B2</f>
        <v>43675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2550</v>
      </c>
      <c r="Q7" s="3214"/>
      <c r="R7" s="770" t="s">
        <v>17</v>
      </c>
      <c r="S7" s="771">
        <f t="shared" ref="S7:S15" si="0">F7</f>
        <v>0</v>
      </c>
      <c r="T7" s="770" t="s">
        <v>17</v>
      </c>
      <c r="U7" s="771">
        <f t="shared" ref="U7:U15" si="1">H7</f>
        <v>0</v>
      </c>
      <c r="V7" s="770" t="s">
        <v>17</v>
      </c>
      <c r="W7" s="771">
        <f t="shared" ref="W7:W15" si="2">J7</f>
        <v>0</v>
      </c>
      <c r="X7" s="772"/>
      <c r="Y7" s="3212" t="s">
        <v>2550</v>
      </c>
      <c r="Z7" s="3213"/>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2553</v>
      </c>
      <c r="Q8" s="3213"/>
      <c r="R8" s="770" t="s">
        <v>17</v>
      </c>
      <c r="S8" s="771">
        <f t="shared" si="0"/>
        <v>0</v>
      </c>
      <c r="T8" s="770" t="s">
        <v>17</v>
      </c>
      <c r="U8" s="771">
        <f t="shared" si="1"/>
        <v>0</v>
      </c>
      <c r="V8" s="770" t="s">
        <v>17</v>
      </c>
      <c r="W8" s="771">
        <f t="shared" si="2"/>
        <v>0</v>
      </c>
      <c r="X8" s="772"/>
      <c r="Y8" s="3212" t="s">
        <v>2553</v>
      </c>
      <c r="Z8" s="3213"/>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6" t="s">
        <v>2556</v>
      </c>
      <c r="Q9" s="1795" t="str">
        <f t="shared" ref="Q9:Q15" si="6">B9</f>
        <v>用途</v>
      </c>
      <c r="R9" s="770" t="s">
        <v>17</v>
      </c>
      <c r="S9" s="771">
        <f t="shared" si="0"/>
        <v>100</v>
      </c>
      <c r="T9" s="770" t="s">
        <v>17</v>
      </c>
      <c r="U9" s="771">
        <f t="shared" si="1"/>
        <v>100</v>
      </c>
      <c r="V9" s="770" t="s">
        <v>17</v>
      </c>
      <c r="W9" s="771">
        <f t="shared" si="2"/>
        <v>100</v>
      </c>
      <c r="X9" s="772"/>
      <c r="Y9" s="3001"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69">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8" t="s">
        <v>2561</v>
      </c>
      <c r="Q15" s="1810" t="str">
        <f t="shared" si="6"/>
        <v>产业集聚程度</v>
      </c>
      <c r="R15" s="774" t="s">
        <v>17</v>
      </c>
      <c r="S15" s="775">
        <f t="shared" si="0"/>
        <v>100</v>
      </c>
      <c r="T15" s="774" t="s">
        <v>17</v>
      </c>
      <c r="U15" s="775">
        <f t="shared" si="1"/>
        <v>100</v>
      </c>
      <c r="V15" s="774" t="s">
        <v>17</v>
      </c>
      <c r="W15" s="775">
        <f t="shared" si="2"/>
        <v>100</v>
      </c>
      <c r="X15" s="1813"/>
      <c r="Y15" s="3178"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9"/>
      <c r="Q16" s="1810"/>
      <c r="R16" s="774"/>
      <c r="S16" s="775"/>
      <c r="T16" s="774"/>
      <c r="U16" s="775"/>
      <c r="V16" s="774"/>
      <c r="W16" s="775"/>
      <c r="X16" s="1813"/>
      <c r="Y16" s="3179"/>
      <c r="Z16" s="1814"/>
      <c r="AA16" s="1811">
        <v>1</v>
      </c>
      <c r="AB16" s="1811">
        <v>1</v>
      </c>
      <c r="AC16" s="1811">
        <v>1</v>
      </c>
    </row>
    <row r="17" spans="1:29" ht="96.6">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79"/>
      <c r="Q18" s="1810"/>
      <c r="R18" s="774"/>
      <c r="S18" s="775"/>
      <c r="T18" s="774"/>
      <c r="U18" s="775"/>
      <c r="V18" s="774"/>
      <c r="W18" s="775"/>
      <c r="X18" s="1813"/>
      <c r="Y18" s="3179"/>
      <c r="Z18" s="1814"/>
      <c r="AA18" s="1811">
        <v>1</v>
      </c>
      <c r="AB18" s="1811">
        <v>1</v>
      </c>
      <c r="AC18" s="1811">
        <v>1</v>
      </c>
    </row>
    <row r="19" spans="1:29" ht="41.4">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9"/>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79"/>
      <c r="Q20" s="1810"/>
      <c r="R20" s="774"/>
      <c r="S20" s="775"/>
      <c r="T20" s="774"/>
      <c r="U20" s="775"/>
      <c r="V20" s="774"/>
      <c r="W20" s="775"/>
      <c r="X20" s="1813"/>
      <c r="Y20" s="3179"/>
      <c r="Z20" s="1814"/>
      <c r="AA20" s="1811">
        <v>1</v>
      </c>
      <c r="AB20" s="1811">
        <v>1</v>
      </c>
      <c r="AC20" s="1811">
        <v>1</v>
      </c>
    </row>
    <row r="21" spans="1:29" ht="41.4">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9"/>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79"/>
      <c r="Q22" s="1810"/>
      <c r="R22" s="774"/>
      <c r="S22" s="775"/>
      <c r="T22" s="774"/>
      <c r="U22" s="775"/>
      <c r="V22" s="774"/>
      <c r="W22" s="775"/>
      <c r="X22" s="1813"/>
      <c r="Y22" s="3179"/>
      <c r="Z22" s="1814"/>
      <c r="AA22" s="1811">
        <v>1</v>
      </c>
      <c r="AB22" s="1811">
        <v>1</v>
      </c>
      <c r="AC22" s="1811">
        <v>1</v>
      </c>
    </row>
    <row r="23" spans="1:29" ht="82.8">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9"/>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79"/>
      <c r="Q24" s="1810"/>
      <c r="R24" s="774"/>
      <c r="S24" s="775"/>
      <c r="T24" s="774"/>
      <c r="U24" s="775"/>
      <c r="V24" s="774"/>
      <c r="W24" s="775"/>
      <c r="X24" s="1813"/>
      <c r="Y24" s="317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9"/>
      <c r="Q25" s="1810">
        <f>B25</f>
        <v>111</v>
      </c>
      <c r="R25" s="774" t="s">
        <v>17</v>
      </c>
      <c r="S25" s="775">
        <f>F25</f>
        <v>100</v>
      </c>
      <c r="T25" s="774" t="s">
        <v>17</v>
      </c>
      <c r="U25" s="775">
        <f>H25</f>
        <v>100</v>
      </c>
      <c r="V25" s="774" t="s">
        <v>17</v>
      </c>
      <c r="W25" s="775">
        <f>J25</f>
        <v>100</v>
      </c>
      <c r="X25" s="1813"/>
      <c r="Y25" s="317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9"/>
      <c r="Q26" s="1810">
        <f t="shared" ref="Q26:Q40" si="11">B26</f>
        <v>111</v>
      </c>
      <c r="R26" s="774" t="s">
        <v>17</v>
      </c>
      <c r="S26" s="775">
        <f>F26</f>
        <v>100</v>
      </c>
      <c r="T26" s="774" t="s">
        <v>17</v>
      </c>
      <c r="U26" s="775">
        <f>H26</f>
        <v>100</v>
      </c>
      <c r="V26" s="774" t="s">
        <v>17</v>
      </c>
      <c r="W26" s="775">
        <f>J26</f>
        <v>100</v>
      </c>
      <c r="X26" s="1813"/>
      <c r="Y26" s="317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9"/>
      <c r="Q27" s="1795">
        <f t="shared" si="11"/>
        <v>111</v>
      </c>
      <c r="R27" s="770" t="s">
        <v>17</v>
      </c>
      <c r="S27" s="771">
        <f>F27</f>
        <v>100</v>
      </c>
      <c r="T27" s="770" t="s">
        <v>17</v>
      </c>
      <c r="U27" s="771">
        <f>H27</f>
        <v>100</v>
      </c>
      <c r="V27" s="770" t="s">
        <v>17</v>
      </c>
      <c r="W27" s="771">
        <f>J27</f>
        <v>100</v>
      </c>
      <c r="X27" s="772"/>
      <c r="Y27" s="3179"/>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9"/>
      <c r="Q28" s="1810">
        <f t="shared" si="11"/>
        <v>111</v>
      </c>
      <c r="R28" s="774" t="s">
        <v>17</v>
      </c>
      <c r="S28" s="775">
        <f t="shared" ref="S28:S40" si="12">F28</f>
        <v>100</v>
      </c>
      <c r="T28" s="774" t="s">
        <v>17</v>
      </c>
      <c r="U28" s="775">
        <f t="shared" ref="U28:U40" si="13">H28</f>
        <v>100</v>
      </c>
      <c r="V28" s="774" t="s">
        <v>17</v>
      </c>
      <c r="W28" s="775">
        <f t="shared" ref="W28:W40" si="14">J28</f>
        <v>100</v>
      </c>
      <c r="X28" s="1813"/>
      <c r="Y28" s="3179"/>
      <c r="Z28" s="1814">
        <f t="shared" ref="Z28:Z40" si="15">Q28</f>
        <v>111</v>
      </c>
      <c r="AA28" s="1811">
        <f t="shared" si="3"/>
        <v>1</v>
      </c>
      <c r="AB28" s="1811">
        <f t="shared" si="4"/>
        <v>1</v>
      </c>
      <c r="AC28" s="1811">
        <f t="shared" si="5"/>
        <v>1</v>
      </c>
    </row>
    <row r="29" spans="1:29" ht="30">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4" t="s">
        <v>2566</v>
      </c>
      <c r="Q29" s="1810" t="str">
        <f t="shared" si="11"/>
        <v>建筑类型</v>
      </c>
      <c r="R29" s="774" t="s">
        <v>17</v>
      </c>
      <c r="S29" s="775">
        <f t="shared" si="12"/>
        <v>100</v>
      </c>
      <c r="T29" s="774" t="s">
        <v>17</v>
      </c>
      <c r="U29" s="775">
        <f t="shared" si="13"/>
        <v>100</v>
      </c>
      <c r="V29" s="774" t="s">
        <v>17</v>
      </c>
      <c r="W29" s="775">
        <f t="shared" si="14"/>
        <v>100</v>
      </c>
      <c r="X29" s="1813"/>
      <c r="Y29" s="3183"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3"/>
      <c r="Q30" s="776" t="str">
        <f t="shared" si="11"/>
        <v>项目建筑规模</v>
      </c>
      <c r="R30" s="777" t="s">
        <v>17</v>
      </c>
      <c r="S30" s="778" t="e">
        <f t="shared" si="12"/>
        <v>#N/A</v>
      </c>
      <c r="T30" s="777" t="s">
        <v>17</v>
      </c>
      <c r="U30" s="778" t="e">
        <f t="shared" si="13"/>
        <v>#N/A</v>
      </c>
      <c r="V30" s="777" t="s">
        <v>17</v>
      </c>
      <c r="W30" s="778" t="e">
        <f t="shared" si="14"/>
        <v>#N/A</v>
      </c>
      <c r="X30" s="779"/>
      <c r="Y30" s="3183"/>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3"/>
      <c r="Q31" s="1810" t="str">
        <f t="shared" si="11"/>
        <v>建筑结构</v>
      </c>
      <c r="R31" s="774" t="s">
        <v>17</v>
      </c>
      <c r="S31" s="775">
        <f t="shared" si="12"/>
        <v>100</v>
      </c>
      <c r="T31" s="774" t="s">
        <v>17</v>
      </c>
      <c r="U31" s="775">
        <f t="shared" si="13"/>
        <v>100</v>
      </c>
      <c r="V31" s="774" t="s">
        <v>17</v>
      </c>
      <c r="W31" s="775">
        <f t="shared" si="14"/>
        <v>100</v>
      </c>
      <c r="X31" s="1813"/>
      <c r="Y31" s="3183"/>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3"/>
      <c r="Q32" s="1810" t="str">
        <f t="shared" si="11"/>
        <v>公共部分装修</v>
      </c>
      <c r="R32" s="774" t="s">
        <v>17</v>
      </c>
      <c r="S32" s="775">
        <f t="shared" si="12"/>
        <v>100</v>
      </c>
      <c r="T32" s="774" t="s">
        <v>17</v>
      </c>
      <c r="U32" s="775">
        <f t="shared" si="13"/>
        <v>100</v>
      </c>
      <c r="V32" s="774" t="s">
        <v>17</v>
      </c>
      <c r="W32" s="775">
        <f t="shared" si="14"/>
        <v>100</v>
      </c>
      <c r="X32" s="1813"/>
      <c r="Y32" s="3183"/>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3"/>
      <c r="Q33" s="1810" t="str">
        <f t="shared" si="11"/>
        <v>成新度</v>
      </c>
      <c r="R33" s="774" t="s">
        <v>17</v>
      </c>
      <c r="S33" s="775" t="e">
        <f t="shared" si="12"/>
        <v>#N/A</v>
      </c>
      <c r="T33" s="774" t="s">
        <v>17</v>
      </c>
      <c r="U33" s="775" t="e">
        <f t="shared" si="13"/>
        <v>#N/A</v>
      </c>
      <c r="V33" s="774" t="s">
        <v>17</v>
      </c>
      <c r="W33" s="775" t="e">
        <f t="shared" si="14"/>
        <v>#N/A</v>
      </c>
      <c r="X33" s="1813"/>
      <c r="Y33" s="3183"/>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3"/>
      <c r="Q34" s="1795"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3" t="s">
        <v>2566</v>
      </c>
      <c r="Q35" s="1810" t="str">
        <f t="shared" si="11"/>
        <v>市政基础设施</v>
      </c>
      <c r="R35" s="774" t="s">
        <v>17</v>
      </c>
      <c r="S35" s="775">
        <f t="shared" si="12"/>
        <v>100</v>
      </c>
      <c r="T35" s="774" t="s">
        <v>17</v>
      </c>
      <c r="U35" s="775">
        <f t="shared" si="13"/>
        <v>100</v>
      </c>
      <c r="V35" s="774" t="s">
        <v>17</v>
      </c>
      <c r="W35" s="775">
        <f t="shared" si="14"/>
        <v>100</v>
      </c>
      <c r="X35" s="1813"/>
      <c r="Y35" s="3183"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3"/>
      <c r="Q36" s="1810" t="str">
        <f t="shared" si="11"/>
        <v>内部装修</v>
      </c>
      <c r="R36" s="774" t="s">
        <v>17</v>
      </c>
      <c r="S36" s="775">
        <f t="shared" si="12"/>
        <v>100</v>
      </c>
      <c r="T36" s="774" t="s">
        <v>17</v>
      </c>
      <c r="U36" s="775">
        <f t="shared" si="13"/>
        <v>100</v>
      </c>
      <c r="V36" s="774" t="s">
        <v>17</v>
      </c>
      <c r="W36" s="775">
        <f t="shared" si="14"/>
        <v>100</v>
      </c>
      <c r="X36" s="1813"/>
      <c r="Y36" s="3183"/>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3"/>
      <c r="Q37" s="1810" t="str">
        <f t="shared" si="11"/>
        <v>内部装修状况</v>
      </c>
      <c r="R37" s="774" t="s">
        <v>17</v>
      </c>
      <c r="S37" s="775">
        <f t="shared" si="12"/>
        <v>100</v>
      </c>
      <c r="T37" s="774" t="s">
        <v>17</v>
      </c>
      <c r="U37" s="775">
        <f t="shared" si="13"/>
        <v>100</v>
      </c>
      <c r="V37" s="774" t="s">
        <v>17</v>
      </c>
      <c r="W37" s="775">
        <f t="shared" si="14"/>
        <v>100</v>
      </c>
      <c r="X37" s="1813"/>
      <c r="Y37" s="318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3"/>
      <c r="Q39" s="1810">
        <f t="shared" si="11"/>
        <v>111</v>
      </c>
      <c r="R39" s="774" t="s">
        <v>17</v>
      </c>
      <c r="S39" s="775">
        <f t="shared" si="12"/>
        <v>100</v>
      </c>
      <c r="T39" s="774" t="s">
        <v>17</v>
      </c>
      <c r="U39" s="775">
        <f t="shared" si="13"/>
        <v>100</v>
      </c>
      <c r="V39" s="774" t="s">
        <v>17</v>
      </c>
      <c r="W39" s="775">
        <f t="shared" si="14"/>
        <v>100</v>
      </c>
      <c r="X39" s="1813"/>
      <c r="Y39" s="3183"/>
      <c r="Z39" s="1814">
        <f t="shared" si="15"/>
        <v>111</v>
      </c>
      <c r="AA39" s="1811">
        <f t="shared" si="3"/>
        <v>1</v>
      </c>
      <c r="AB39" s="1811">
        <f t="shared" si="4"/>
        <v>1</v>
      </c>
      <c r="AC39" s="1811">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4"/>
      <c r="Q40" s="1810">
        <f t="shared" si="11"/>
        <v>111</v>
      </c>
      <c r="R40" s="774" t="s">
        <v>17</v>
      </c>
      <c r="S40" s="775">
        <f t="shared" si="12"/>
        <v>100</v>
      </c>
      <c r="T40" s="774" t="s">
        <v>17</v>
      </c>
      <c r="U40" s="775">
        <f t="shared" si="13"/>
        <v>100</v>
      </c>
      <c r="V40" s="774" t="s">
        <v>17</v>
      </c>
      <c r="W40" s="775">
        <f t="shared" si="14"/>
        <v>100</v>
      </c>
      <c r="X40" s="1813"/>
      <c r="Y40" s="3184"/>
      <c r="Z40" s="1814">
        <f t="shared" si="15"/>
        <v>111</v>
      </c>
      <c r="AA40" s="1811">
        <f t="shared" si="3"/>
        <v>1</v>
      </c>
      <c r="AB40" s="1811">
        <f t="shared" si="4"/>
        <v>1</v>
      </c>
      <c r="AC40" s="1811">
        <f t="shared" si="5"/>
        <v>1</v>
      </c>
    </row>
    <row r="41" spans="1:29" ht="14.4">
      <c r="A41" s="479" t="s">
        <v>2578</v>
      </c>
      <c r="B41" s="480"/>
      <c r="C41" s="1407" t="s">
        <v>1</v>
      </c>
      <c r="D41" s="1408"/>
      <c r="E41" s="1409"/>
      <c r="F41" s="1410"/>
      <c r="G41" s="1411"/>
      <c r="H41" s="1412"/>
      <c r="I41" s="1409"/>
      <c r="J41" s="1412"/>
      <c r="K41" s="783"/>
      <c r="L41" s="1143"/>
      <c r="M41" s="1144"/>
      <c r="N41" s="1131"/>
      <c r="O41" s="1144"/>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 thickBot="1">
      <c r="A43" s="492" t="s">
        <v>2671</v>
      </c>
      <c r="B43" s="493"/>
      <c r="C43" s="1417" t="e">
        <f>R43</f>
        <v>#DIV/0!</v>
      </c>
      <c r="D43" s="1417"/>
      <c r="E43" s="1417"/>
      <c r="F43" s="1417"/>
      <c r="G43" s="1417"/>
      <c r="H43" s="1417"/>
      <c r="I43" s="1417"/>
      <c r="J43" s="1417"/>
      <c r="K43" s="785"/>
      <c r="L43" s="1143"/>
      <c r="M43" s="1144"/>
      <c r="N43" s="1144"/>
      <c r="O43" s="1144"/>
      <c r="P43" s="3173" t="str">
        <f>A43</f>
        <v>估价对象XX用房的比较价值（楼面单价，元/平方米）</v>
      </c>
      <c r="Q43" s="3174"/>
      <c r="R43" s="3175" t="e">
        <f>IF(F1="售价",ROUND(AVERAGE(R42:V42),0),ROUND(AVERAGE(R42:V42),1))</f>
        <v>#DIV/0!</v>
      </c>
      <c r="S43" s="3175"/>
      <c r="T43" s="3175"/>
      <c r="U43" s="3175"/>
      <c r="V43" s="3175"/>
      <c r="W43" s="31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2675</v>
      </c>
      <c r="B51" s="759"/>
      <c r="C51" s="764"/>
      <c r="D51" s="764"/>
      <c r="E51" s="764"/>
      <c r="F51" s="765"/>
      <c r="G51" s="765"/>
      <c r="H51" s="764"/>
      <c r="I51" s="764"/>
      <c r="J51" s="764"/>
      <c r="K51" s="1160"/>
      <c r="L51" s="1161"/>
      <c r="M51" s="1159"/>
      <c r="N51" s="1159"/>
      <c r="O51" s="1159"/>
      <c r="P51" s="503"/>
      <c r="Q51" s="504"/>
    </row>
    <row r="52" spans="1:17" s="508" customFormat="1" ht="14.4">
      <c r="A52" s="505" t="s">
        <v>2549</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2589</v>
      </c>
      <c r="B57" s="528" t="s">
        <v>2555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8"/>
      <c r="B87" s="569"/>
      <c r="C87" s="570"/>
      <c r="D87" s="570"/>
      <c r="E87" s="570"/>
      <c r="F87" s="570"/>
      <c r="G87" s="591"/>
      <c r="H87" s="591"/>
      <c r="I87" s="591"/>
      <c r="J87" s="591"/>
      <c r="K87" s="591"/>
      <c r="L87" s="591"/>
      <c r="M87" s="592"/>
      <c r="N87" s="1153"/>
      <c r="O87" s="1153"/>
      <c r="P87" s="45"/>
      <c r="Q87" s="504"/>
    </row>
    <row r="88" spans="1:17" ht="14.4">
      <c r="A88" s="527" t="s">
        <v>2564</v>
      </c>
      <c r="B88" s="528" t="s">
        <v>2613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201" t="s">
        <v>2648</v>
      </c>
      <c r="S4" s="3202"/>
      <c r="T4" s="3201" t="s">
        <v>2649</v>
      </c>
      <c r="U4" s="3202"/>
      <c r="V4" s="3207" t="s">
        <v>2650</v>
      </c>
      <c r="W4" s="3207"/>
      <c r="X4" s="1813"/>
      <c r="Y4" s="3201" t="s">
        <v>2652</v>
      </c>
      <c r="Z4" s="3202"/>
      <c r="AA4" s="3188" t="s">
        <v>2648</v>
      </c>
      <c r="AB4" s="3189" t="s">
        <v>2649</v>
      </c>
      <c r="AC4" s="3188" t="s">
        <v>2650</v>
      </c>
    </row>
    <row r="5" spans="1:29">
      <c r="A5" s="404"/>
      <c r="B5" s="405"/>
      <c r="C5" s="3210" t="s">
        <v>2543</v>
      </c>
      <c r="D5" s="3211"/>
      <c r="E5" s="3217" t="s">
        <v>2544</v>
      </c>
      <c r="F5" s="3218"/>
      <c r="G5" s="3210" t="s">
        <v>2545</v>
      </c>
      <c r="H5" s="3211"/>
      <c r="I5" s="3210" t="s">
        <v>2546</v>
      </c>
      <c r="J5" s="3211"/>
      <c r="K5" s="610"/>
      <c r="L5" s="1130"/>
      <c r="M5" s="1131"/>
      <c r="N5" s="1131"/>
      <c r="O5" s="1131"/>
      <c r="P5" s="3197"/>
      <c r="Q5" s="3198"/>
      <c r="R5" s="3203"/>
      <c r="S5" s="3204"/>
      <c r="T5" s="3203"/>
      <c r="U5" s="3204"/>
      <c r="V5" s="3207"/>
      <c r="W5" s="3207"/>
      <c r="X5" s="1813"/>
      <c r="Y5" s="3203"/>
      <c r="Z5" s="3204"/>
      <c r="AA5" s="3189"/>
      <c r="AB5" s="3189"/>
      <c r="AC5" s="3189"/>
    </row>
    <row r="6" spans="1:29" ht="15" thickBot="1">
      <c r="A6" s="406"/>
      <c r="B6" s="407"/>
      <c r="C6" s="3208" t="s">
        <v>2547</v>
      </c>
      <c r="D6" s="3209"/>
      <c r="E6" s="3215" t="s">
        <v>2547</v>
      </c>
      <c r="F6" s="3216"/>
      <c r="G6" s="3208" t="s">
        <v>2547</v>
      </c>
      <c r="H6" s="3209"/>
      <c r="I6" s="3208" t="s">
        <v>2547</v>
      </c>
      <c r="J6" s="3209"/>
      <c r="K6" s="610" t="s">
        <v>2548</v>
      </c>
      <c r="L6" s="1130"/>
      <c r="M6" s="1131"/>
      <c r="N6" s="1131"/>
      <c r="O6" s="1131"/>
      <c r="P6" s="3199"/>
      <c r="Q6" s="3200"/>
      <c r="R6" s="3203"/>
      <c r="S6" s="3204"/>
      <c r="T6" s="3205"/>
      <c r="U6" s="3206"/>
      <c r="V6" s="3207"/>
      <c r="W6" s="3207"/>
      <c r="X6" s="1813"/>
      <c r="Y6" s="3205"/>
      <c r="Z6" s="3206"/>
      <c r="AA6" s="3190"/>
      <c r="AB6" s="3190"/>
      <c r="AC6" s="3190"/>
    </row>
    <row r="7" spans="1:29" s="117" customFormat="1" ht="15" thickBot="1">
      <c r="A7" s="408" t="s">
        <v>2549</v>
      </c>
      <c r="B7" s="409"/>
      <c r="C7" s="410">
        <f>'数据-取费表'!B2</f>
        <v>43675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2550</v>
      </c>
      <c r="Q7" s="3214"/>
      <c r="R7" s="770" t="s">
        <v>17</v>
      </c>
      <c r="S7" s="771">
        <f t="shared" ref="S7:S14" si="0">F7</f>
        <v>0</v>
      </c>
      <c r="T7" s="770" t="s">
        <v>17</v>
      </c>
      <c r="U7" s="771">
        <f t="shared" ref="U7:U14" si="1">H7</f>
        <v>0</v>
      </c>
      <c r="V7" s="770" t="s">
        <v>17</v>
      </c>
      <c r="W7" s="771">
        <f t="shared" ref="W7:W14" si="2">J7</f>
        <v>0</v>
      </c>
      <c r="X7" s="772"/>
      <c r="Y7" s="3212" t="s">
        <v>2550</v>
      </c>
      <c r="Z7" s="3213"/>
      <c r="AA7" s="773" t="e">
        <f>D7/F7</f>
        <v>#DIV/0!</v>
      </c>
      <c r="AB7" s="773" t="e">
        <f>D7/H7</f>
        <v>#DIV/0!</v>
      </c>
      <c r="AC7" s="773"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2553</v>
      </c>
      <c r="Q8" s="3213"/>
      <c r="R8" s="770" t="s">
        <v>17</v>
      </c>
      <c r="S8" s="771">
        <f t="shared" si="0"/>
        <v>0</v>
      </c>
      <c r="T8" s="770" t="s">
        <v>17</v>
      </c>
      <c r="U8" s="771">
        <f t="shared" si="1"/>
        <v>0</v>
      </c>
      <c r="V8" s="770" t="s">
        <v>17</v>
      </c>
      <c r="W8" s="771">
        <f t="shared" si="2"/>
        <v>0</v>
      </c>
      <c r="X8" s="772"/>
      <c r="Y8" s="3212" t="s">
        <v>2553</v>
      </c>
      <c r="Z8" s="3213"/>
      <c r="AA8" s="773" t="e">
        <f t="shared" ref="AA8:AA36" si="3">D8/F8</f>
        <v>#DIV/0!</v>
      </c>
      <c r="AB8" s="773" t="e">
        <f t="shared" ref="AB8:AB36" si="4">D8/H8</f>
        <v>#DIV/0!</v>
      </c>
      <c r="AC8" s="773"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6" t="s">
        <v>2556</v>
      </c>
      <c r="Q9" s="1795" t="str">
        <f t="shared" ref="Q9:Q14" si="6">B9</f>
        <v>用途</v>
      </c>
      <c r="R9" s="770" t="s">
        <v>17</v>
      </c>
      <c r="S9" s="771">
        <f t="shared" si="0"/>
        <v>100</v>
      </c>
      <c r="T9" s="770" t="s">
        <v>17</v>
      </c>
      <c r="U9" s="771">
        <f t="shared" si="1"/>
        <v>100</v>
      </c>
      <c r="V9" s="770" t="s">
        <v>17</v>
      </c>
      <c r="W9" s="771">
        <f t="shared" si="2"/>
        <v>100</v>
      </c>
      <c r="X9" s="772"/>
      <c r="Y9" s="3001"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6"/>
      <c r="Q11" s="1795">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96.6">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8" t="s">
        <v>2561</v>
      </c>
      <c r="Q14" s="1810" t="str">
        <f t="shared" si="6"/>
        <v>交通便捷度</v>
      </c>
      <c r="R14" s="774" t="s">
        <v>17</v>
      </c>
      <c r="S14" s="775">
        <f t="shared" si="0"/>
        <v>100</v>
      </c>
      <c r="T14" s="774" t="s">
        <v>17</v>
      </c>
      <c r="U14" s="775">
        <f t="shared" si="1"/>
        <v>100</v>
      </c>
      <c r="V14" s="774" t="s">
        <v>17</v>
      </c>
      <c r="W14" s="775">
        <f t="shared" si="2"/>
        <v>100</v>
      </c>
      <c r="X14" s="1813"/>
      <c r="Y14" s="3178"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9"/>
      <c r="Q15" s="1810"/>
      <c r="R15" s="774"/>
      <c r="S15" s="775"/>
      <c r="T15" s="774"/>
      <c r="U15" s="775"/>
      <c r="V15" s="774"/>
      <c r="W15" s="775"/>
      <c r="X15" s="1813"/>
      <c r="Y15" s="3179"/>
      <c r="Z15" s="1814"/>
      <c r="AA15" s="1811">
        <v>1</v>
      </c>
      <c r="AB15" s="1811">
        <v>1</v>
      </c>
      <c r="AC15" s="1811">
        <v>1</v>
      </c>
    </row>
    <row r="16" spans="1:29" ht="41.4">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79"/>
      <c r="Q17" s="1810"/>
      <c r="R17" s="774"/>
      <c r="S17" s="775"/>
      <c r="T17" s="774"/>
      <c r="U17" s="775"/>
      <c r="V17" s="774"/>
      <c r="W17" s="775"/>
      <c r="X17" s="1813"/>
      <c r="Y17" s="3179"/>
      <c r="Z17" s="1814"/>
      <c r="AA17" s="1811">
        <v>1</v>
      </c>
      <c r="AB17" s="1811">
        <v>1</v>
      </c>
      <c r="AC17" s="1811">
        <v>1</v>
      </c>
    </row>
    <row r="18" spans="1:29" ht="41.4">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79"/>
      <c r="Q19" s="1810"/>
      <c r="R19" s="774"/>
      <c r="S19" s="775"/>
      <c r="T19" s="774"/>
      <c r="U19" s="775"/>
      <c r="V19" s="774"/>
      <c r="W19" s="775"/>
      <c r="X19" s="1813"/>
      <c r="Y19" s="3179"/>
      <c r="Z19" s="1814"/>
      <c r="AA19" s="1811">
        <v>1</v>
      </c>
      <c r="AB19" s="1811">
        <v>1</v>
      </c>
      <c r="AC19" s="1811">
        <v>1</v>
      </c>
    </row>
    <row r="20" spans="1:29" ht="55.2">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9"/>
      <c r="Q21" s="1810"/>
      <c r="R21" s="774"/>
      <c r="S21" s="775"/>
      <c r="T21" s="774"/>
      <c r="U21" s="775"/>
      <c r="V21" s="774"/>
      <c r="W21" s="775"/>
      <c r="X21" s="1813"/>
      <c r="Y21" s="3179"/>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9"/>
      <c r="Q24" s="1810">
        <f t="shared" ref="Q24:Q36"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30">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3"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3"/>
      <c r="Q28" s="1810" t="str">
        <f t="shared" si="11"/>
        <v>公共部分装修</v>
      </c>
      <c r="R28" s="774" t="s">
        <v>17</v>
      </c>
      <c r="S28" s="775">
        <f t="shared" si="12"/>
        <v>100</v>
      </c>
      <c r="T28" s="774" t="s">
        <v>17</v>
      </c>
      <c r="U28" s="775">
        <f t="shared" si="13"/>
        <v>100</v>
      </c>
      <c r="V28" s="774" t="s">
        <v>17</v>
      </c>
      <c r="W28" s="775">
        <f t="shared" si="14"/>
        <v>100</v>
      </c>
      <c r="X28" s="1813"/>
      <c r="Y28" s="3183"/>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3"/>
      <c r="Q29" s="1810" t="str">
        <f t="shared" si="11"/>
        <v>成新率</v>
      </c>
      <c r="R29" s="774" t="s">
        <v>17</v>
      </c>
      <c r="S29" s="775" t="e">
        <f t="shared" si="12"/>
        <v>#N/A</v>
      </c>
      <c r="T29" s="774" t="s">
        <v>17</v>
      </c>
      <c r="U29" s="775" t="e">
        <f t="shared" si="13"/>
        <v>#N/A</v>
      </c>
      <c r="V29" s="774" t="s">
        <v>17</v>
      </c>
      <c r="W29" s="775" t="e">
        <f t="shared" si="14"/>
        <v>#N/A</v>
      </c>
      <c r="X29" s="1813"/>
      <c r="Y29" s="3183"/>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3"/>
      <c r="Q30" s="1810" t="str">
        <f t="shared" si="11"/>
        <v>物业等级</v>
      </c>
      <c r="R30" s="774" t="s">
        <v>17</v>
      </c>
      <c r="S30" s="775">
        <f t="shared" si="12"/>
        <v>100</v>
      </c>
      <c r="T30" s="774" t="s">
        <v>17</v>
      </c>
      <c r="U30" s="775">
        <f t="shared" si="13"/>
        <v>100</v>
      </c>
      <c r="V30" s="774" t="s">
        <v>17</v>
      </c>
      <c r="W30" s="775">
        <f t="shared" si="14"/>
        <v>100</v>
      </c>
      <c r="X30" s="1813"/>
      <c r="Y30" s="3183"/>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3"/>
      <c r="Q31" s="1795"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3" t="s">
        <v>2566</v>
      </c>
      <c r="Q32" s="1810" t="str">
        <f t="shared" si="11"/>
        <v>车位类型</v>
      </c>
      <c r="R32" s="774" t="s">
        <v>17</v>
      </c>
      <c r="S32" s="775">
        <f t="shared" si="12"/>
        <v>100</v>
      </c>
      <c r="T32" s="774" t="s">
        <v>17</v>
      </c>
      <c r="U32" s="775">
        <f t="shared" si="13"/>
        <v>100</v>
      </c>
      <c r="V32" s="774" t="s">
        <v>17</v>
      </c>
      <c r="W32" s="775">
        <f t="shared" si="14"/>
        <v>100</v>
      </c>
      <c r="X32" s="1813"/>
      <c r="Y32" s="3183"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3"/>
      <c r="Q33" s="1810" t="str">
        <f t="shared" si="11"/>
        <v>是否直接入户</v>
      </c>
      <c r="R33" s="774" t="s">
        <v>17</v>
      </c>
      <c r="S33" s="775">
        <f t="shared" si="12"/>
        <v>100</v>
      </c>
      <c r="T33" s="774" t="s">
        <v>17</v>
      </c>
      <c r="U33" s="775">
        <f t="shared" si="13"/>
        <v>100</v>
      </c>
      <c r="V33" s="774" t="s">
        <v>17</v>
      </c>
      <c r="W33" s="775">
        <f t="shared" si="14"/>
        <v>100</v>
      </c>
      <c r="X33" s="1813"/>
      <c r="Y33" s="318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3"/>
      <c r="Q36" s="1810">
        <f t="shared" si="11"/>
        <v>111</v>
      </c>
      <c r="R36" s="774" t="s">
        <v>17</v>
      </c>
      <c r="S36" s="775">
        <f t="shared" si="12"/>
        <v>100</v>
      </c>
      <c r="T36" s="774" t="s">
        <v>17</v>
      </c>
      <c r="U36" s="775">
        <f t="shared" si="13"/>
        <v>100</v>
      </c>
      <c r="V36" s="774" t="s">
        <v>17</v>
      </c>
      <c r="W36" s="775">
        <f t="shared" si="14"/>
        <v>100</v>
      </c>
      <c r="X36" s="1813"/>
      <c r="Y36" s="3183"/>
      <c r="Z36" s="1814">
        <f t="shared" si="15"/>
        <v>111</v>
      </c>
      <c r="AA36" s="1811">
        <f t="shared" si="3"/>
        <v>1</v>
      </c>
      <c r="AB36" s="1811">
        <f t="shared" si="4"/>
        <v>1</v>
      </c>
      <c r="AC36" s="1811">
        <f t="shared" si="5"/>
        <v>1</v>
      </c>
    </row>
    <row r="37" spans="1:29" ht="14.4">
      <c r="A37" s="479" t="s">
        <v>2721</v>
      </c>
      <c r="B37" s="2697" t="s">
        <v>2722</v>
      </c>
      <c r="C37" s="1407" t="s">
        <v>1</v>
      </c>
      <c r="D37" s="1408"/>
      <c r="E37" s="1409"/>
      <c r="F37" s="1410"/>
      <c r="G37" s="1411"/>
      <c r="H37" s="1412"/>
      <c r="I37" s="1409"/>
      <c r="J37" s="1412"/>
      <c r="K37" s="619"/>
      <c r="L37" s="1143"/>
      <c r="M37" s="1144"/>
      <c r="N37" s="1131"/>
      <c r="O37" s="1144"/>
      <c r="P37" s="3176" t="str">
        <f>A37</f>
        <v>成交单价</v>
      </c>
      <c r="Q37" s="3176"/>
      <c r="R37" s="3177">
        <f>E37</f>
        <v>0</v>
      </c>
      <c r="S37" s="3177"/>
      <c r="T37" s="3177">
        <f>G37</f>
        <v>0</v>
      </c>
      <c r="U37" s="3177"/>
      <c r="V37" s="3177">
        <f>I37</f>
        <v>0</v>
      </c>
      <c r="W37" s="3177"/>
      <c r="X37" s="759"/>
      <c r="Y37" s="781"/>
      <c r="Z37" s="759"/>
      <c r="AA37" s="759"/>
      <c r="AB37" s="759"/>
      <c r="AC37" s="759"/>
    </row>
    <row r="38" spans="1:29" ht="1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 thickBot="1">
      <c r="A39" s="492" t="s">
        <v>2724</v>
      </c>
      <c r="B39" s="493"/>
      <c r="C39" s="1417" t="e">
        <f>R39</f>
        <v>#DIV/0!</v>
      </c>
      <c r="D39" s="1417"/>
      <c r="E39" s="1417"/>
      <c r="F39" s="1417"/>
      <c r="G39" s="1417"/>
      <c r="H39" s="1417"/>
      <c r="I39" s="1417"/>
      <c r="J39" s="1417"/>
      <c r="K39" s="621"/>
      <c r="L39" s="1143"/>
      <c r="M39" s="1144"/>
      <c r="N39" s="1144"/>
      <c r="O39" s="1144"/>
      <c r="P39" s="3173" t="str">
        <f>A39</f>
        <v>估价对象XX用房的比较价值（楼面单价，元/平方米）</v>
      </c>
      <c r="Q39" s="3174"/>
      <c r="R39" s="3175" t="e">
        <f>IF(F1="售价",ROUND(AVERAGE(R38:V38),0),ROUND(AVERAGE(R38:V38),1))</f>
        <v>#DIV/0!</v>
      </c>
      <c r="S39" s="3175"/>
      <c r="T39" s="3175"/>
      <c r="U39" s="3175"/>
      <c r="V39" s="3175"/>
      <c r="W39" s="31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2729</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201" t="s">
        <v>2648</v>
      </c>
      <c r="S4" s="3202"/>
      <c r="T4" s="3201" t="s">
        <v>2649</v>
      </c>
      <c r="U4" s="3202"/>
      <c r="V4" s="3207" t="s">
        <v>2650</v>
      </c>
      <c r="W4" s="3207"/>
      <c r="X4" s="1813"/>
      <c r="Y4" s="3201" t="s">
        <v>2652</v>
      </c>
      <c r="Z4" s="3202"/>
      <c r="AA4" s="3188" t="s">
        <v>2648</v>
      </c>
      <c r="AB4" s="3189" t="s">
        <v>2649</v>
      </c>
      <c r="AC4" s="3188" t="s">
        <v>2650</v>
      </c>
    </row>
    <row r="5" spans="1:29">
      <c r="A5" s="404"/>
      <c r="B5" s="405"/>
      <c r="C5" s="3210" t="s">
        <v>2543</v>
      </c>
      <c r="D5" s="3211"/>
      <c r="E5" s="3217" t="s">
        <v>2544</v>
      </c>
      <c r="F5" s="3218"/>
      <c r="G5" s="3210" t="s">
        <v>2545</v>
      </c>
      <c r="H5" s="3211"/>
      <c r="I5" s="3210" t="s">
        <v>2546</v>
      </c>
      <c r="J5" s="3211"/>
      <c r="K5" s="610"/>
      <c r="L5" s="1130"/>
      <c r="M5" s="1131"/>
      <c r="N5" s="1131"/>
      <c r="O5" s="1131"/>
      <c r="P5" s="3197"/>
      <c r="Q5" s="3198"/>
      <c r="R5" s="3203"/>
      <c r="S5" s="3204"/>
      <c r="T5" s="3203"/>
      <c r="U5" s="3204"/>
      <c r="V5" s="3207"/>
      <c r="W5" s="3207"/>
      <c r="X5" s="1813"/>
      <c r="Y5" s="3203"/>
      <c r="Z5" s="3204"/>
      <c r="AA5" s="3189"/>
      <c r="AB5" s="3189"/>
      <c r="AC5" s="3189"/>
    </row>
    <row r="6" spans="1:29" ht="15" thickBot="1">
      <c r="A6" s="406"/>
      <c r="B6" s="407"/>
      <c r="C6" s="3208" t="s">
        <v>2547</v>
      </c>
      <c r="D6" s="3209"/>
      <c r="E6" s="3215" t="s">
        <v>2547</v>
      </c>
      <c r="F6" s="3216"/>
      <c r="G6" s="3208" t="s">
        <v>2547</v>
      </c>
      <c r="H6" s="3209"/>
      <c r="I6" s="3208" t="s">
        <v>2547</v>
      </c>
      <c r="J6" s="3209"/>
      <c r="K6" s="610" t="s">
        <v>2548</v>
      </c>
      <c r="L6" s="1130"/>
      <c r="M6" s="1131"/>
      <c r="N6" s="1131"/>
      <c r="O6" s="1131"/>
      <c r="P6" s="3199"/>
      <c r="Q6" s="3200"/>
      <c r="R6" s="3203"/>
      <c r="S6" s="3204"/>
      <c r="T6" s="3205"/>
      <c r="U6" s="3206"/>
      <c r="V6" s="3207"/>
      <c r="W6" s="3207"/>
      <c r="X6" s="1813"/>
      <c r="Y6" s="3205"/>
      <c r="Z6" s="3206"/>
      <c r="AA6" s="3190"/>
      <c r="AB6" s="3190"/>
      <c r="AC6" s="3190"/>
    </row>
    <row r="7" spans="1:29" s="117" customFormat="1" ht="15" thickBot="1">
      <c r="A7" s="408" t="s">
        <v>2549</v>
      </c>
      <c r="B7" s="409"/>
      <c r="C7" s="410">
        <f>'数据-取费表'!B2</f>
        <v>43675</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2" t="s">
        <v>2550</v>
      </c>
      <c r="Q7" s="3214"/>
      <c r="R7" s="770" t="s">
        <v>17</v>
      </c>
      <c r="S7" s="771">
        <f t="shared" ref="S7:S14" si="0">F7</f>
        <v>0</v>
      </c>
      <c r="T7" s="770" t="s">
        <v>17</v>
      </c>
      <c r="U7" s="771">
        <f t="shared" ref="U7:U14" si="1">H7</f>
        <v>0</v>
      </c>
      <c r="V7" s="770" t="s">
        <v>17</v>
      </c>
      <c r="W7" s="771">
        <f t="shared" ref="W7:W14" si="2">J7</f>
        <v>0</v>
      </c>
      <c r="X7" s="772"/>
      <c r="Y7" s="3212" t="s">
        <v>2550</v>
      </c>
      <c r="Z7" s="3213"/>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2553</v>
      </c>
      <c r="Q8" s="3213"/>
      <c r="R8" s="770" t="s">
        <v>17</v>
      </c>
      <c r="S8" s="771">
        <f t="shared" si="0"/>
        <v>0</v>
      </c>
      <c r="T8" s="770" t="s">
        <v>17</v>
      </c>
      <c r="U8" s="771">
        <f t="shared" si="1"/>
        <v>0</v>
      </c>
      <c r="V8" s="770" t="s">
        <v>17</v>
      </c>
      <c r="W8" s="771">
        <f t="shared" si="2"/>
        <v>0</v>
      </c>
      <c r="X8" s="772"/>
      <c r="Y8" s="3212" t="s">
        <v>2553</v>
      </c>
      <c r="Z8" s="3213"/>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6" t="s">
        <v>2556</v>
      </c>
      <c r="Q9" s="1795" t="str">
        <f t="shared" ref="Q9:Q14" si="6">B9</f>
        <v>用途</v>
      </c>
      <c r="R9" s="770" t="s">
        <v>17</v>
      </c>
      <c r="S9" s="771">
        <f t="shared" si="0"/>
        <v>100</v>
      </c>
      <c r="T9" s="770" t="s">
        <v>17</v>
      </c>
      <c r="U9" s="771">
        <f t="shared" si="1"/>
        <v>100</v>
      </c>
      <c r="V9" s="770" t="s">
        <v>17</v>
      </c>
      <c r="W9" s="771">
        <f t="shared" si="2"/>
        <v>100</v>
      </c>
      <c r="X9" s="772"/>
      <c r="Y9" s="3001"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6"/>
      <c r="Q11" s="1795">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96.6">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8" t="s">
        <v>2561</v>
      </c>
      <c r="Q14" s="1810" t="str">
        <f t="shared" si="6"/>
        <v>交通便捷度</v>
      </c>
      <c r="R14" s="774" t="s">
        <v>17</v>
      </c>
      <c r="S14" s="775">
        <f t="shared" si="0"/>
        <v>100</v>
      </c>
      <c r="T14" s="774" t="s">
        <v>17</v>
      </c>
      <c r="U14" s="775">
        <f t="shared" si="1"/>
        <v>100</v>
      </c>
      <c r="V14" s="774" t="s">
        <v>17</v>
      </c>
      <c r="W14" s="775">
        <f t="shared" si="2"/>
        <v>100</v>
      </c>
      <c r="X14" s="1813"/>
      <c r="Y14" s="3178"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9"/>
      <c r="Q15" s="1810"/>
      <c r="R15" s="774"/>
      <c r="S15" s="775"/>
      <c r="T15" s="774"/>
      <c r="U15" s="775"/>
      <c r="V15" s="774"/>
      <c r="W15" s="775"/>
      <c r="X15" s="1813"/>
      <c r="Y15" s="3179"/>
      <c r="Z15" s="1814"/>
      <c r="AA15" s="1811">
        <v>1</v>
      </c>
      <c r="AB15" s="1811">
        <v>1</v>
      </c>
      <c r="AC15" s="1811">
        <v>1</v>
      </c>
    </row>
    <row r="16" spans="1:29" ht="41.4">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79"/>
      <c r="Q17" s="1810"/>
      <c r="R17" s="774"/>
      <c r="S17" s="775"/>
      <c r="T17" s="774"/>
      <c r="U17" s="775"/>
      <c r="V17" s="774"/>
      <c r="W17" s="775"/>
      <c r="X17" s="1813"/>
      <c r="Y17" s="3179"/>
      <c r="Z17" s="1814"/>
      <c r="AA17" s="1811">
        <v>1</v>
      </c>
      <c r="AB17" s="1811">
        <v>1</v>
      </c>
      <c r="AC17" s="1811">
        <v>1</v>
      </c>
    </row>
    <row r="18" spans="1:29" ht="41.4">
      <c r="A18" s="428"/>
      <c r="B18" s="1384"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79"/>
      <c r="Q19" s="1810"/>
      <c r="R19" s="774"/>
      <c r="S19" s="775"/>
      <c r="T19" s="774"/>
      <c r="U19" s="775"/>
      <c r="V19" s="774"/>
      <c r="W19" s="775"/>
      <c r="X19" s="1813"/>
      <c r="Y19" s="3179"/>
      <c r="Z19" s="1814"/>
      <c r="AA19" s="1811">
        <v>1</v>
      </c>
      <c r="AB19" s="1811">
        <v>1</v>
      </c>
      <c r="AC19" s="1811">
        <v>1</v>
      </c>
    </row>
    <row r="20" spans="1:29" ht="55.2">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9"/>
      <c r="Q21" s="1810"/>
      <c r="R21" s="774"/>
      <c r="S21" s="775"/>
      <c r="T21" s="774"/>
      <c r="U21" s="775"/>
      <c r="V21" s="774"/>
      <c r="W21" s="775"/>
      <c r="X21" s="1813"/>
      <c r="Y21" s="3179"/>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9"/>
      <c r="Q24" s="1810">
        <f t="shared" ref="Q24:Q34"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30">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4"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3"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3"/>
      <c r="Q28" s="1810" t="str">
        <f t="shared" si="11"/>
        <v>物业等级</v>
      </c>
      <c r="R28" s="774" t="s">
        <v>17</v>
      </c>
      <c r="S28" s="775">
        <f t="shared" si="12"/>
        <v>100</v>
      </c>
      <c r="T28" s="774" t="s">
        <v>17</v>
      </c>
      <c r="U28" s="775">
        <f t="shared" si="13"/>
        <v>100</v>
      </c>
      <c r="V28" s="774" t="s">
        <v>17</v>
      </c>
      <c r="W28" s="775">
        <f t="shared" si="14"/>
        <v>100</v>
      </c>
      <c r="X28" s="1813"/>
      <c r="Y28" s="3183"/>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3"/>
      <c r="Q29" s="1810" t="str">
        <f t="shared" si="11"/>
        <v>有无电梯</v>
      </c>
      <c r="R29" s="774" t="s">
        <v>17</v>
      </c>
      <c r="S29" s="775">
        <f t="shared" si="12"/>
        <v>100</v>
      </c>
      <c r="T29" s="774" t="s">
        <v>17</v>
      </c>
      <c r="U29" s="775">
        <f t="shared" si="13"/>
        <v>100</v>
      </c>
      <c r="V29" s="774" t="s">
        <v>17</v>
      </c>
      <c r="W29" s="775">
        <f t="shared" si="14"/>
        <v>100</v>
      </c>
      <c r="X29" s="1813"/>
      <c r="Y29" s="3183"/>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3"/>
      <c r="Q30" s="1810" t="str">
        <f t="shared" si="11"/>
        <v>建筑面积</v>
      </c>
      <c r="R30" s="774" t="s">
        <v>17</v>
      </c>
      <c r="S30" s="775" t="e">
        <f t="shared" si="12"/>
        <v>#N/A</v>
      </c>
      <c r="T30" s="774" t="s">
        <v>17</v>
      </c>
      <c r="U30" s="775" t="e">
        <f t="shared" si="13"/>
        <v>#N/A</v>
      </c>
      <c r="V30" s="774" t="s">
        <v>17</v>
      </c>
      <c r="W30" s="775" t="e">
        <f t="shared" si="14"/>
        <v>#N/A</v>
      </c>
      <c r="X30" s="1813"/>
      <c r="Y30" s="3183"/>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3"/>
      <c r="Q31" s="1795"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3" t="s">
        <v>2566</v>
      </c>
      <c r="Q32" s="1810">
        <f t="shared" si="11"/>
        <v>111</v>
      </c>
      <c r="R32" s="774" t="s">
        <v>17</v>
      </c>
      <c r="S32" s="775">
        <f t="shared" si="12"/>
        <v>100</v>
      </c>
      <c r="T32" s="774" t="s">
        <v>17</v>
      </c>
      <c r="U32" s="775">
        <f t="shared" si="13"/>
        <v>100</v>
      </c>
      <c r="V32" s="774" t="s">
        <v>17</v>
      </c>
      <c r="W32" s="775">
        <f t="shared" si="14"/>
        <v>100</v>
      </c>
      <c r="X32" s="1813"/>
      <c r="Y32" s="3183" t="s">
        <v>2566</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3"/>
      <c r="Q33" s="1810">
        <f t="shared" si="11"/>
        <v>111</v>
      </c>
      <c r="R33" s="774" t="s">
        <v>17</v>
      </c>
      <c r="S33" s="775">
        <f t="shared" si="12"/>
        <v>100</v>
      </c>
      <c r="T33" s="774" t="s">
        <v>17</v>
      </c>
      <c r="U33" s="775">
        <f t="shared" si="13"/>
        <v>100</v>
      </c>
      <c r="V33" s="774" t="s">
        <v>17</v>
      </c>
      <c r="W33" s="775">
        <f t="shared" si="14"/>
        <v>100</v>
      </c>
      <c r="X33" s="1813"/>
      <c r="Y33" s="3183"/>
      <c r="Z33" s="1814">
        <f t="shared" si="15"/>
        <v>111</v>
      </c>
      <c r="AA33" s="1811">
        <f t="shared" si="3"/>
        <v>1</v>
      </c>
      <c r="AB33" s="1811">
        <f t="shared" si="4"/>
        <v>1</v>
      </c>
      <c r="AC33" s="1811">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ht="14.4">
      <c r="A35" s="479" t="s">
        <v>2578</v>
      </c>
      <c r="B35" s="480"/>
      <c r="C35" s="1407" t="s">
        <v>1</v>
      </c>
      <c r="D35" s="1408"/>
      <c r="E35" s="1409"/>
      <c r="F35" s="1410"/>
      <c r="G35" s="1411"/>
      <c r="H35" s="1412"/>
      <c r="I35" s="1409"/>
      <c r="J35" s="1412"/>
      <c r="K35" s="783"/>
      <c r="L35" s="1143"/>
      <c r="M35" s="1144"/>
      <c r="N35" s="1131"/>
      <c r="O35" s="1144"/>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 thickBot="1">
      <c r="A37" s="492" t="s">
        <v>2671</v>
      </c>
      <c r="B37" s="493"/>
      <c r="C37" s="1417" t="e">
        <f>R37</f>
        <v>#DIV/0!</v>
      </c>
      <c r="D37" s="1417"/>
      <c r="E37" s="1417"/>
      <c r="F37" s="1417"/>
      <c r="G37" s="1417"/>
      <c r="H37" s="1417"/>
      <c r="I37" s="1417"/>
      <c r="J37" s="1417"/>
      <c r="K37" s="785"/>
      <c r="L37" s="1143"/>
      <c r="M37" s="1144"/>
      <c r="N37" s="1144"/>
      <c r="O37" s="1144"/>
      <c r="P37" s="3173" t="str">
        <f>A37</f>
        <v>估价对象XX用房的比较价值（楼面单价，元/平方米）</v>
      </c>
      <c r="Q37" s="3174"/>
      <c r="R37" s="3175" t="e">
        <f>IF(F1="售价",ROUND(AVERAGE(R36:V36),0),ROUND(AVERAGE(R36:V36),1))</f>
        <v>#DIV/0!</v>
      </c>
      <c r="S37" s="3175"/>
      <c r="T37" s="3175"/>
      <c r="U37" s="3175"/>
      <c r="V37" s="3175"/>
      <c r="W37" s="31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2589</v>
      </c>
      <c r="B51" s="528" t="s">
        <v>2555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2730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201" t="s">
        <v>2648</v>
      </c>
      <c r="S4" s="3202"/>
      <c r="T4" s="3201" t="s">
        <v>2649</v>
      </c>
      <c r="U4" s="3202"/>
      <c r="V4" s="3207" t="s">
        <v>2650</v>
      </c>
      <c r="W4" s="3207"/>
      <c r="X4" s="1813"/>
      <c r="Y4" s="3201" t="s">
        <v>2652</v>
      </c>
      <c r="Z4" s="3202"/>
      <c r="AA4" s="3188" t="s">
        <v>2648</v>
      </c>
      <c r="AB4" s="3189" t="s">
        <v>2649</v>
      </c>
      <c r="AC4" s="3188" t="s">
        <v>2650</v>
      </c>
    </row>
    <row r="5" spans="1:30">
      <c r="A5" s="404"/>
      <c r="B5" s="405"/>
      <c r="C5" s="3210" t="s">
        <v>2543</v>
      </c>
      <c r="D5" s="3211"/>
      <c r="E5" s="3217" t="s">
        <v>2544</v>
      </c>
      <c r="F5" s="3218"/>
      <c r="G5" s="3210" t="s">
        <v>2545</v>
      </c>
      <c r="H5" s="3211"/>
      <c r="I5" s="3210" t="s">
        <v>2546</v>
      </c>
      <c r="J5" s="3211"/>
      <c r="K5" s="610"/>
      <c r="L5" s="1130"/>
      <c r="M5" s="1131"/>
      <c r="N5" s="1131"/>
      <c r="O5" s="1131"/>
      <c r="P5" s="3197"/>
      <c r="Q5" s="3198"/>
      <c r="R5" s="3203"/>
      <c r="S5" s="3204"/>
      <c r="T5" s="3203"/>
      <c r="U5" s="3204"/>
      <c r="V5" s="3207"/>
      <c r="W5" s="3207"/>
      <c r="X5" s="1813"/>
      <c r="Y5" s="3203"/>
      <c r="Z5" s="3204"/>
      <c r="AA5" s="3189"/>
      <c r="AB5" s="3189"/>
      <c r="AC5" s="3189"/>
    </row>
    <row r="6" spans="1:30" ht="15" thickBot="1">
      <c r="A6" s="406"/>
      <c r="B6" s="407"/>
      <c r="C6" s="3208" t="s">
        <v>2547</v>
      </c>
      <c r="D6" s="3209"/>
      <c r="E6" s="3215" t="s">
        <v>2547</v>
      </c>
      <c r="F6" s="3216"/>
      <c r="G6" s="3208" t="s">
        <v>2547</v>
      </c>
      <c r="H6" s="3209"/>
      <c r="I6" s="3208" t="s">
        <v>2547</v>
      </c>
      <c r="J6" s="3209"/>
      <c r="K6" s="610" t="s">
        <v>2548</v>
      </c>
      <c r="L6" s="1130"/>
      <c r="M6" s="1131"/>
      <c r="N6" s="1131"/>
      <c r="O6" s="1131"/>
      <c r="P6" s="3199"/>
      <c r="Q6" s="3200"/>
      <c r="R6" s="3203"/>
      <c r="S6" s="3204"/>
      <c r="T6" s="3205"/>
      <c r="U6" s="3206"/>
      <c r="V6" s="3207"/>
      <c r="W6" s="3207"/>
      <c r="X6" s="1813"/>
      <c r="Y6" s="3205"/>
      <c r="Z6" s="3206"/>
      <c r="AA6" s="3190"/>
      <c r="AB6" s="3190"/>
      <c r="AC6" s="3190"/>
    </row>
    <row r="7" spans="1:30" s="117" customFormat="1" ht="15" thickBot="1">
      <c r="A7" s="408" t="s">
        <v>2549</v>
      </c>
      <c r="B7" s="409"/>
      <c r="C7" s="410">
        <f>'数据-取费表'!B2</f>
        <v>43675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12" t="s">
        <v>2550</v>
      </c>
      <c r="Q7" s="3214"/>
      <c r="R7" s="770" t="s">
        <v>17</v>
      </c>
      <c r="S7" s="771">
        <f t="shared" ref="S7:S15" si="0">F7</f>
        <v>0</v>
      </c>
      <c r="T7" s="770" t="s">
        <v>17</v>
      </c>
      <c r="U7" s="771">
        <f t="shared" ref="U7:U15" si="1">H7</f>
        <v>0</v>
      </c>
      <c r="V7" s="770" t="s">
        <v>17</v>
      </c>
      <c r="W7" s="771">
        <f t="shared" ref="W7:W15" si="2">J7</f>
        <v>0</v>
      </c>
      <c r="X7" s="772"/>
      <c r="Y7" s="3212" t="s">
        <v>2550</v>
      </c>
      <c r="Z7" s="3213"/>
      <c r="AA7" s="773" t="e">
        <f>D7/F7</f>
        <v>#DIV/0!</v>
      </c>
      <c r="AB7" s="773" t="e">
        <f>D7/H7</f>
        <v>#DIV/0!</v>
      </c>
      <c r="AC7" s="773" t="e">
        <f>D7/J7</f>
        <v>#DIV/0!</v>
      </c>
    </row>
    <row r="8" spans="1:30" s="117" customFormat="1" ht="1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2" t="s">
        <v>2553</v>
      </c>
      <c r="Q8" s="3213"/>
      <c r="R8" s="770" t="s">
        <v>17</v>
      </c>
      <c r="S8" s="771">
        <f t="shared" si="0"/>
        <v>0</v>
      </c>
      <c r="T8" s="770" t="s">
        <v>17</v>
      </c>
      <c r="U8" s="771">
        <f t="shared" si="1"/>
        <v>0</v>
      </c>
      <c r="V8" s="770" t="s">
        <v>17</v>
      </c>
      <c r="W8" s="771">
        <f t="shared" si="2"/>
        <v>0</v>
      </c>
      <c r="X8" s="772"/>
      <c r="Y8" s="3212" t="s">
        <v>2553</v>
      </c>
      <c r="Z8" s="3213"/>
      <c r="AA8" s="773" t="e">
        <f t="shared" ref="AA8:AA45" si="3">D8/F8</f>
        <v>#DIV/0!</v>
      </c>
      <c r="AB8" s="773" t="e">
        <f t="shared" ref="AB8:AB45" si="4">D8/H8</f>
        <v>#DIV/0!</v>
      </c>
      <c r="AC8" s="773" t="e">
        <f t="shared" ref="AC8:AC45" si="5">D8/J8</f>
        <v>#DIV/0!</v>
      </c>
    </row>
    <row r="9" spans="1:30" s="117" customFormat="1" ht="14.4">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76" t="s">
        <v>2556</v>
      </c>
      <c r="Q9" s="1795" t="str">
        <f t="shared" ref="Q9:Q15" si="6">B9</f>
        <v>用途</v>
      </c>
      <c r="R9" s="770" t="s">
        <v>17</v>
      </c>
      <c r="S9" s="771">
        <f t="shared" si="0"/>
        <v>100</v>
      </c>
      <c r="T9" s="770" t="s">
        <v>17</v>
      </c>
      <c r="U9" s="771">
        <f t="shared" si="1"/>
        <v>100</v>
      </c>
      <c r="V9" s="770" t="s">
        <v>17</v>
      </c>
      <c r="W9" s="771">
        <f t="shared" si="2"/>
        <v>100</v>
      </c>
      <c r="X9" s="772"/>
      <c r="Y9" s="3001" t="s">
        <v>2557</v>
      </c>
      <c r="Z9" s="55" t="str">
        <f t="shared" ref="Z9:Z15" si="7">Q9</f>
        <v>用途</v>
      </c>
      <c r="AA9" s="773">
        <f t="shared" si="3"/>
        <v>1</v>
      </c>
      <c r="AB9" s="773">
        <f t="shared" si="4"/>
        <v>1</v>
      </c>
      <c r="AC9" s="773">
        <f t="shared" si="5"/>
        <v>1</v>
      </c>
    </row>
    <row r="10" spans="1:30" s="427" customFormat="1" ht="28.8">
      <c r="A10" s="421"/>
      <c r="B10" s="422" t="s">
        <v>2558</v>
      </c>
      <c r="C10" s="432"/>
      <c r="D10" s="136">
        <v>100</v>
      </c>
      <c r="E10" s="465"/>
      <c r="F10" s="136">
        <f>ROUND(100/'数据-取费表'!G16,0)</f>
        <v>119</v>
      </c>
      <c r="G10" s="463"/>
      <c r="H10" s="136">
        <f>ROUND(100/'数据-取费表'!G16,0)</f>
        <v>119</v>
      </c>
      <c r="I10" s="463"/>
      <c r="J10" s="136">
        <f>ROUND(100/'数据-取费表'!G16,0)</f>
        <v>119</v>
      </c>
      <c r="K10" s="672"/>
      <c r="L10" s="1135"/>
      <c r="M10" s="1136"/>
      <c r="N10" s="1136"/>
      <c r="O10" s="1137"/>
      <c r="P10" s="3176"/>
      <c r="Q10" s="1795" t="str">
        <f t="shared" si="6"/>
        <v>土地使用年限（年）</v>
      </c>
      <c r="R10" s="770" t="s">
        <v>17</v>
      </c>
      <c r="S10" s="771">
        <f t="shared" si="0"/>
        <v>119</v>
      </c>
      <c r="T10" s="770" t="s">
        <v>17</v>
      </c>
      <c r="U10" s="771">
        <f t="shared" si="1"/>
        <v>119</v>
      </c>
      <c r="V10" s="770" t="s">
        <v>17</v>
      </c>
      <c r="W10" s="771">
        <f t="shared" si="2"/>
        <v>119</v>
      </c>
      <c r="X10" s="772"/>
      <c r="Y10" s="3001"/>
      <c r="Z10" s="55" t="str">
        <f t="shared" si="7"/>
        <v>土地使用年限（年）</v>
      </c>
      <c r="AA10" s="773">
        <f t="shared" si="3"/>
        <v>0.84033613445378152</v>
      </c>
      <c r="AB10" s="773">
        <f t="shared" si="4"/>
        <v>0.84033613445378152</v>
      </c>
      <c r="AC10" s="773">
        <f t="shared" si="5"/>
        <v>0.84033613445378152</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6"/>
      <c r="Q12" s="1795"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6.6">
      <c r="A15" s="440" t="s">
        <v>2560</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8" t="s">
        <v>2561</v>
      </c>
      <c r="Q15" s="1810" t="str">
        <f t="shared" si="6"/>
        <v>居住社区成熟度</v>
      </c>
      <c r="R15" s="774" t="s">
        <v>17</v>
      </c>
      <c r="S15" s="775">
        <f t="shared" si="0"/>
        <v>100</v>
      </c>
      <c r="T15" s="774" t="s">
        <v>17</v>
      </c>
      <c r="U15" s="775">
        <f t="shared" si="1"/>
        <v>100</v>
      </c>
      <c r="V15" s="774" t="s">
        <v>17</v>
      </c>
      <c r="W15" s="775">
        <f t="shared" si="2"/>
        <v>100</v>
      </c>
      <c r="X15" s="1813"/>
      <c r="Y15" s="3178" t="s">
        <v>2561</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82.8">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9"/>
      <c r="Q17" s="1810" t="str">
        <f>B17</f>
        <v>商业繁华度</v>
      </c>
      <c r="R17" s="774" t="s">
        <v>17</v>
      </c>
      <c r="S17" s="775">
        <f>F17</f>
        <v>100</v>
      </c>
      <c r="T17" s="774" t="s">
        <v>17</v>
      </c>
      <c r="U17" s="775">
        <f>H17</f>
        <v>100</v>
      </c>
      <c r="V17" s="774" t="s">
        <v>17</v>
      </c>
      <c r="W17" s="775">
        <f>J17</f>
        <v>100</v>
      </c>
      <c r="X17" s="1813"/>
      <c r="Y17" s="3179"/>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82.8">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9"/>
      <c r="Q19" s="1810" t="str">
        <f>B19</f>
        <v>办公集聚程度</v>
      </c>
      <c r="R19" s="774" t="s">
        <v>17</v>
      </c>
      <c r="S19" s="775">
        <f>F19</f>
        <v>100</v>
      </c>
      <c r="T19" s="774" t="s">
        <v>17</v>
      </c>
      <c r="U19" s="775">
        <f>H19</f>
        <v>100</v>
      </c>
      <c r="V19" s="774" t="s">
        <v>17</v>
      </c>
      <c r="W19" s="775">
        <f>J19</f>
        <v>100</v>
      </c>
      <c r="X19" s="1813"/>
      <c r="Y19" s="3179"/>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79"/>
      <c r="Q20" s="1810"/>
      <c r="R20" s="774"/>
      <c r="S20" s="775"/>
      <c r="T20" s="774"/>
      <c r="U20" s="775"/>
      <c r="V20" s="774"/>
      <c r="W20" s="775"/>
      <c r="X20" s="1813"/>
      <c r="Y20" s="3179"/>
      <c r="Z20" s="1814"/>
      <c r="AA20" s="1811">
        <v>1</v>
      </c>
      <c r="AB20" s="1811">
        <v>1</v>
      </c>
      <c r="AC20" s="1811">
        <v>1</v>
      </c>
    </row>
    <row r="21" spans="1:29" ht="96.6">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9"/>
      <c r="Q21" s="1810" t="str">
        <f>B21</f>
        <v>交通便捷度</v>
      </c>
      <c r="R21" s="774" t="s">
        <v>17</v>
      </c>
      <c r="S21" s="775">
        <f>F21</f>
        <v>100</v>
      </c>
      <c r="T21" s="774" t="s">
        <v>17</v>
      </c>
      <c r="U21" s="775">
        <f>H21</f>
        <v>100</v>
      </c>
      <c r="V21" s="774" t="s">
        <v>17</v>
      </c>
      <c r="W21" s="775">
        <f>J21</f>
        <v>100</v>
      </c>
      <c r="X21" s="1813"/>
      <c r="Y21" s="3179"/>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ht="28.8">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9"/>
      <c r="Q23" s="1810" t="str">
        <f t="shared" ref="Q23:Q37" si="8">B23</f>
        <v>区域土地利用方向</v>
      </c>
      <c r="R23" s="774" t="s">
        <v>17</v>
      </c>
      <c r="S23" s="775">
        <f>F23</f>
        <v>100</v>
      </c>
      <c r="T23" s="774" t="s">
        <v>17</v>
      </c>
      <c r="U23" s="775">
        <f>H23</f>
        <v>100</v>
      </c>
      <c r="V23" s="774" t="s">
        <v>17</v>
      </c>
      <c r="W23" s="775">
        <f>J23</f>
        <v>100</v>
      </c>
      <c r="X23" s="1813"/>
      <c r="Y23" s="3179"/>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79"/>
      <c r="Q24" s="1810"/>
      <c r="R24" s="774"/>
      <c r="S24" s="775"/>
      <c r="T24" s="774"/>
      <c r="U24" s="775"/>
      <c r="V24" s="774"/>
      <c r="W24" s="775"/>
      <c r="X24" s="1813"/>
      <c r="Y24" s="3179"/>
      <c r="Z24" s="1814"/>
      <c r="AA24" s="1811"/>
      <c r="AB24" s="1811"/>
      <c r="AC24" s="1811"/>
    </row>
    <row r="25" spans="1:29" ht="55.2">
      <c r="A25" s="404"/>
      <c r="B25" s="1384"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9"/>
      <c r="Q25" s="1810" t="str">
        <f t="shared" si="8"/>
        <v>自然及人文环境状况</v>
      </c>
      <c r="R25" s="774" t="s">
        <v>17</v>
      </c>
      <c r="S25" s="775">
        <f>F25</f>
        <v>100</v>
      </c>
      <c r="T25" s="774" t="s">
        <v>17</v>
      </c>
      <c r="U25" s="775">
        <f>H25</f>
        <v>100</v>
      </c>
      <c r="V25" s="774" t="s">
        <v>17</v>
      </c>
      <c r="W25" s="775">
        <f>J25</f>
        <v>100</v>
      </c>
      <c r="X25" s="1813"/>
      <c r="Y25" s="3179"/>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79"/>
      <c r="Q26" s="1810"/>
      <c r="R26" s="774"/>
      <c r="S26" s="775"/>
      <c r="T26" s="774"/>
      <c r="U26" s="775"/>
      <c r="V26" s="774"/>
      <c r="W26" s="775"/>
      <c r="X26" s="1813"/>
      <c r="Y26" s="3179"/>
      <c r="Z26" s="1814"/>
      <c r="AA26" s="1811">
        <v>1</v>
      </c>
      <c r="AB26" s="1811">
        <v>1</v>
      </c>
      <c r="AC26" s="1811">
        <v>1</v>
      </c>
    </row>
    <row r="27" spans="1:29" s="117" customFormat="1" ht="41.4">
      <c r="A27" s="649"/>
      <c r="B27" s="1384"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9"/>
      <c r="Q27" s="1795" t="str">
        <f t="shared" si="8"/>
        <v>公共配套设施</v>
      </c>
      <c r="R27" s="770" t="s">
        <v>17</v>
      </c>
      <c r="S27" s="771">
        <f>F27</f>
        <v>100</v>
      </c>
      <c r="T27" s="770" t="s">
        <v>17</v>
      </c>
      <c r="U27" s="771">
        <f>H27</f>
        <v>100</v>
      </c>
      <c r="V27" s="770" t="s">
        <v>17</v>
      </c>
      <c r="W27" s="771">
        <f>J27</f>
        <v>100</v>
      </c>
      <c r="X27" s="772"/>
      <c r="Y27" s="3179"/>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79"/>
      <c r="Q28" s="1795"/>
      <c r="R28" s="770"/>
      <c r="S28" s="771"/>
      <c r="T28" s="770"/>
      <c r="U28" s="771"/>
      <c r="V28" s="770"/>
      <c r="W28" s="771"/>
      <c r="X28" s="772"/>
      <c r="Y28" s="3179"/>
      <c r="Z28" s="55"/>
      <c r="AA28" s="1811">
        <v>1</v>
      </c>
      <c r="AB28" s="1811">
        <v>1</v>
      </c>
      <c r="AC28" s="1811">
        <v>1</v>
      </c>
    </row>
    <row r="29" spans="1:29" s="117" customFormat="1" ht="41.4">
      <c r="A29" s="649"/>
      <c r="B29" s="1384"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9"/>
      <c r="Q29" s="1795"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79"/>
      <c r="Q30" s="1795"/>
      <c r="R30" s="770"/>
      <c r="S30" s="771"/>
      <c r="T30" s="770"/>
      <c r="U30" s="771"/>
      <c r="V30" s="770"/>
      <c r="W30" s="771"/>
      <c r="X30" s="772"/>
      <c r="Y30" s="3179"/>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9"/>
      <c r="Z31" s="1814" t="str">
        <f t="shared" ref="Z31:Z45" si="13">Q31</f>
        <v>临街状况</v>
      </c>
      <c r="AA31" s="1811">
        <f t="shared" si="3"/>
        <v>1</v>
      </c>
      <c r="AB31" s="1811">
        <f t="shared" si="4"/>
        <v>1</v>
      </c>
      <c r="AC31" s="1811">
        <f t="shared" si="5"/>
        <v>1</v>
      </c>
    </row>
    <row r="32" spans="1:29" ht="28.8">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9"/>
      <c r="Q32" s="1810" t="str">
        <f t="shared" si="8"/>
        <v>毗邻道路的类型与等级</v>
      </c>
      <c r="R32" s="774" t="s">
        <v>17</v>
      </c>
      <c r="S32" s="775">
        <f t="shared" si="10"/>
        <v>100</v>
      </c>
      <c r="T32" s="774" t="s">
        <v>17</v>
      </c>
      <c r="U32" s="775">
        <f t="shared" si="11"/>
        <v>100</v>
      </c>
      <c r="V32" s="774" t="s">
        <v>17</v>
      </c>
      <c r="W32" s="775">
        <f t="shared" si="12"/>
        <v>100</v>
      </c>
      <c r="X32" s="1813"/>
      <c r="Y32" s="3179"/>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79"/>
      <c r="Q33" s="1810"/>
      <c r="R33" s="774"/>
      <c r="S33" s="775"/>
      <c r="T33" s="774"/>
      <c r="U33" s="775"/>
      <c r="V33" s="774"/>
      <c r="W33" s="775"/>
      <c r="X33" s="1813"/>
      <c r="Y33" s="3179"/>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9"/>
      <c r="Q34" s="1810" t="str">
        <f t="shared" si="8"/>
        <v>土地级别</v>
      </c>
      <c r="R34" s="774" t="s">
        <v>17</v>
      </c>
      <c r="S34" s="775">
        <f t="shared" si="10"/>
        <v>100</v>
      </c>
      <c r="T34" s="774" t="s">
        <v>17</v>
      </c>
      <c r="U34" s="775">
        <f t="shared" si="11"/>
        <v>100</v>
      </c>
      <c r="V34" s="774" t="s">
        <v>17</v>
      </c>
      <c r="W34" s="775">
        <f t="shared" si="12"/>
        <v>100</v>
      </c>
      <c r="X34" s="1813"/>
      <c r="Y34" s="317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9"/>
      <c r="Q35" s="1810">
        <f t="shared" si="8"/>
        <v>111</v>
      </c>
      <c r="R35" s="774" t="s">
        <v>17</v>
      </c>
      <c r="S35" s="775">
        <f t="shared" si="10"/>
        <v>100</v>
      </c>
      <c r="T35" s="774" t="s">
        <v>17</v>
      </c>
      <c r="U35" s="775">
        <f t="shared" si="11"/>
        <v>100</v>
      </c>
      <c r="V35" s="774" t="s">
        <v>17</v>
      </c>
      <c r="W35" s="775">
        <f t="shared" si="12"/>
        <v>100</v>
      </c>
      <c r="X35" s="1813"/>
      <c r="Y35" s="317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4" t="s">
        <v>2566</v>
      </c>
      <c r="Q36" s="1810">
        <f t="shared" si="8"/>
        <v>111</v>
      </c>
      <c r="R36" s="774" t="s">
        <v>17</v>
      </c>
      <c r="S36" s="775">
        <f t="shared" si="10"/>
        <v>100</v>
      </c>
      <c r="T36" s="774" t="s">
        <v>17</v>
      </c>
      <c r="U36" s="775">
        <f t="shared" si="11"/>
        <v>100</v>
      </c>
      <c r="V36" s="774" t="s">
        <v>17</v>
      </c>
      <c r="W36" s="775">
        <f t="shared" si="12"/>
        <v>100</v>
      </c>
      <c r="X36" s="1813"/>
      <c r="Y36" s="3183" t="s">
        <v>2566</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3"/>
      <c r="Q37" s="1810">
        <f t="shared" si="8"/>
        <v>111</v>
      </c>
      <c r="R37" s="777" t="s">
        <v>17</v>
      </c>
      <c r="S37" s="778">
        <f t="shared" si="10"/>
        <v>100</v>
      </c>
      <c r="T37" s="777" t="s">
        <v>17</v>
      </c>
      <c r="U37" s="778">
        <f t="shared" si="11"/>
        <v>100</v>
      </c>
      <c r="V37" s="777" t="s">
        <v>17</v>
      </c>
      <c r="W37" s="778">
        <f t="shared" si="12"/>
        <v>100</v>
      </c>
      <c r="X37" s="779"/>
      <c r="Y37" s="3183"/>
      <c r="Z37" s="780">
        <f t="shared" si="13"/>
        <v>111</v>
      </c>
      <c r="AA37" s="1811">
        <f t="shared" si="3"/>
        <v>1</v>
      </c>
      <c r="AB37" s="1811">
        <f t="shared" si="4"/>
        <v>1</v>
      </c>
      <c r="AC37" s="1811">
        <f t="shared" si="5"/>
        <v>1</v>
      </c>
    </row>
    <row r="38" spans="1:29" ht="15.6">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3"/>
      <c r="Q38" s="1810" t="str">
        <f>B38</f>
        <v>宗地面积</v>
      </c>
      <c r="R38" s="774" t="s">
        <v>17</v>
      </c>
      <c r="S38" s="775" t="e">
        <f t="shared" si="10"/>
        <v>#N/A</v>
      </c>
      <c r="T38" s="774" t="s">
        <v>17</v>
      </c>
      <c r="U38" s="775" t="e">
        <f t="shared" si="11"/>
        <v>#N/A</v>
      </c>
      <c r="V38" s="774" t="s">
        <v>17</v>
      </c>
      <c r="W38" s="775" t="e">
        <f t="shared" si="12"/>
        <v>#N/A</v>
      </c>
      <c r="X38" s="1813"/>
      <c r="Y38" s="3183"/>
      <c r="Z38" s="1814" t="str">
        <f t="shared" si="13"/>
        <v>宗地面积</v>
      </c>
      <c r="AA38" s="1811" t="e">
        <f t="shared" si="3"/>
        <v>#N/A</v>
      </c>
      <c r="AB38" s="1811" t="e">
        <f t="shared" si="4"/>
        <v>#N/A</v>
      </c>
      <c r="AC38" s="1811"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83"/>
      <c r="Q39" s="1810" t="str">
        <f t="shared" ref="Q39:Q45" si="14">B39</f>
        <v>宗地形状</v>
      </c>
      <c r="R39" s="774" t="s">
        <v>17</v>
      </c>
      <c r="S39" s="775">
        <f t="shared" si="10"/>
        <v>100</v>
      </c>
      <c r="T39" s="774" t="s">
        <v>17</v>
      </c>
      <c r="U39" s="775">
        <f t="shared" si="11"/>
        <v>100</v>
      </c>
      <c r="V39" s="774" t="s">
        <v>17</v>
      </c>
      <c r="W39" s="775">
        <f t="shared" si="12"/>
        <v>100</v>
      </c>
      <c r="X39" s="1813"/>
      <c r="Y39" s="3183"/>
      <c r="Z39" s="1814" t="str">
        <f t="shared" si="13"/>
        <v>宗地形状</v>
      </c>
      <c r="AA39" s="1811">
        <f t="shared" si="3"/>
        <v>1</v>
      </c>
      <c r="AB39" s="1811">
        <f t="shared" si="4"/>
        <v>1</v>
      </c>
      <c r="AC39" s="1811">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83"/>
      <c r="Q40" s="1810" t="str">
        <f t="shared" si="14"/>
        <v>临街宽度及深度</v>
      </c>
      <c r="R40" s="774" t="s">
        <v>17</v>
      </c>
      <c r="S40" s="775">
        <f t="shared" si="10"/>
        <v>100</v>
      </c>
      <c r="T40" s="774" t="s">
        <v>17</v>
      </c>
      <c r="U40" s="775">
        <f t="shared" si="11"/>
        <v>100</v>
      </c>
      <c r="V40" s="774" t="s">
        <v>17</v>
      </c>
      <c r="W40" s="775">
        <f t="shared" si="12"/>
        <v>100</v>
      </c>
      <c r="X40" s="1813"/>
      <c r="Y40" s="3183"/>
      <c r="Z40" s="1814" t="str">
        <f t="shared" si="13"/>
        <v>临街宽度及深度</v>
      </c>
      <c r="AA40" s="1811">
        <f t="shared" si="3"/>
        <v>1</v>
      </c>
      <c r="AB40" s="1811">
        <f t="shared" si="4"/>
        <v>1</v>
      </c>
      <c r="AC40" s="1811">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83"/>
      <c r="Q41" s="1810" t="str">
        <f t="shared" si="14"/>
        <v>宗地开发程度</v>
      </c>
      <c r="R41" s="770" t="s">
        <v>17</v>
      </c>
      <c r="S41" s="771">
        <f t="shared" si="10"/>
        <v>100</v>
      </c>
      <c r="T41" s="770" t="s">
        <v>17</v>
      </c>
      <c r="U41" s="771">
        <f t="shared" si="11"/>
        <v>100</v>
      </c>
      <c r="V41" s="770" t="s">
        <v>17</v>
      </c>
      <c r="W41" s="771">
        <f t="shared" si="12"/>
        <v>100</v>
      </c>
      <c r="X41" s="772"/>
      <c r="Y41" s="3183"/>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83" t="s">
        <v>2566</v>
      </c>
      <c r="Q42" s="1810" t="str">
        <f t="shared" si="14"/>
        <v>工程地质条件</v>
      </c>
      <c r="R42" s="774" t="s">
        <v>17</v>
      </c>
      <c r="S42" s="775">
        <f t="shared" si="10"/>
        <v>100</v>
      </c>
      <c r="T42" s="774" t="s">
        <v>17</v>
      </c>
      <c r="U42" s="775">
        <f t="shared" si="11"/>
        <v>100</v>
      </c>
      <c r="V42" s="774" t="s">
        <v>17</v>
      </c>
      <c r="W42" s="775">
        <f t="shared" si="12"/>
        <v>100</v>
      </c>
      <c r="X42" s="1813"/>
      <c r="Y42" s="3183"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3"/>
      <c r="Q43" s="1810">
        <f t="shared" si="14"/>
        <v>111</v>
      </c>
      <c r="R43" s="774" t="s">
        <v>17</v>
      </c>
      <c r="S43" s="775">
        <f t="shared" si="10"/>
        <v>100</v>
      </c>
      <c r="T43" s="774" t="s">
        <v>17</v>
      </c>
      <c r="U43" s="775">
        <f t="shared" si="11"/>
        <v>100</v>
      </c>
      <c r="V43" s="774" t="s">
        <v>17</v>
      </c>
      <c r="W43" s="775">
        <f t="shared" si="12"/>
        <v>100</v>
      </c>
      <c r="X43" s="1813"/>
      <c r="Y43" s="318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3"/>
      <c r="Q44" s="1810">
        <f t="shared" si="14"/>
        <v>111</v>
      </c>
      <c r="R44" s="774" t="s">
        <v>17</v>
      </c>
      <c r="S44" s="775">
        <f t="shared" si="10"/>
        <v>100</v>
      </c>
      <c r="T44" s="774" t="s">
        <v>17</v>
      </c>
      <c r="U44" s="775">
        <f t="shared" si="11"/>
        <v>100</v>
      </c>
      <c r="V44" s="774" t="s">
        <v>17</v>
      </c>
      <c r="W44" s="775">
        <f t="shared" si="12"/>
        <v>100</v>
      </c>
      <c r="X44" s="1813"/>
      <c r="Y44" s="3183"/>
      <c r="Z44" s="1814">
        <f t="shared" si="13"/>
        <v>111</v>
      </c>
      <c r="AA44" s="1811">
        <f t="shared" si="3"/>
        <v>1</v>
      </c>
      <c r="AB44" s="1811">
        <f t="shared" si="4"/>
        <v>1</v>
      </c>
      <c r="AC44" s="1811">
        <f t="shared" si="5"/>
        <v>1</v>
      </c>
    </row>
    <row r="45" spans="1:29" s="471" customFormat="1" ht="15.6"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3"/>
      <c r="Q45" s="1810">
        <f t="shared" si="14"/>
        <v>111</v>
      </c>
      <c r="R45" s="777" t="s">
        <v>17</v>
      </c>
      <c r="S45" s="778">
        <f t="shared" si="10"/>
        <v>100</v>
      </c>
      <c r="T45" s="777" t="s">
        <v>17</v>
      </c>
      <c r="U45" s="778">
        <f t="shared" si="11"/>
        <v>100</v>
      </c>
      <c r="V45" s="777" t="s">
        <v>17</v>
      </c>
      <c r="W45" s="778">
        <f t="shared" si="12"/>
        <v>100</v>
      </c>
      <c r="X45" s="779"/>
      <c r="Y45" s="3183"/>
      <c r="Z45" s="780">
        <f t="shared" si="13"/>
        <v>111</v>
      </c>
      <c r="AA45" s="1811">
        <f t="shared" si="3"/>
        <v>1</v>
      </c>
      <c r="AB45" s="1811">
        <f t="shared" si="4"/>
        <v>1</v>
      </c>
      <c r="AC45" s="1811">
        <f t="shared" si="5"/>
        <v>1</v>
      </c>
    </row>
    <row r="46" spans="1:29" ht="14.4">
      <c r="A46" s="479" t="s">
        <v>2721</v>
      </c>
      <c r="B46" s="2706" t="s">
        <v>2757</v>
      </c>
      <c r="C46" s="682" t="s">
        <v>1</v>
      </c>
      <c r="D46" s="481"/>
      <c r="E46" s="482"/>
      <c r="F46" s="483"/>
      <c r="G46" s="484"/>
      <c r="H46" s="485"/>
      <c r="I46" s="482"/>
      <c r="J46" s="485"/>
      <c r="K46" s="783"/>
      <c r="L46" s="1143"/>
      <c r="M46" s="1144"/>
      <c r="N46" s="1131"/>
      <c r="O46" s="1144"/>
      <c r="P46" s="3176" t="str">
        <f>A46</f>
        <v>成交单价</v>
      </c>
      <c r="Q46" s="3176"/>
      <c r="R46" s="3207">
        <f>E46</f>
        <v>0</v>
      </c>
      <c r="S46" s="3207"/>
      <c r="T46" s="3207">
        <f>G46</f>
        <v>0</v>
      </c>
      <c r="U46" s="3207"/>
      <c r="V46" s="3207">
        <f>I46</f>
        <v>0</v>
      </c>
      <c r="W46" s="3207"/>
      <c r="X46" s="759"/>
      <c r="Y46" s="781"/>
      <c r="Z46" s="759"/>
      <c r="AA46" s="759"/>
      <c r="AB46" s="759"/>
      <c r="AC46" s="759"/>
    </row>
    <row r="47" spans="1:29" ht="1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176" t="str">
        <f>A47</f>
        <v>比较价值（元/平方米）</v>
      </c>
      <c r="Q47" s="3176"/>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 thickBot="1">
      <c r="A48" s="492" t="s">
        <v>2758</v>
      </c>
      <c r="B48" s="493"/>
      <c r="C48" s="494" t="e">
        <f>R48</f>
        <v>#DIV/0!</v>
      </c>
      <c r="D48" s="494"/>
      <c r="E48" s="494"/>
      <c r="F48" s="494"/>
      <c r="G48" s="494"/>
      <c r="H48" s="494"/>
      <c r="I48" s="494"/>
      <c r="J48" s="494"/>
      <c r="K48" s="785"/>
      <c r="L48" s="1143"/>
      <c r="M48" s="1144"/>
      <c r="N48" s="1144"/>
      <c r="O48" s="1144"/>
      <c r="P48" s="3173" t="str">
        <f>A48</f>
        <v>估价对象XX用房的比较价值（楼面单价，元/平方米）</v>
      </c>
      <c r="Q48" s="3174"/>
      <c r="R48" s="3236" t="e">
        <f>ROUND(AVERAGE(R47:V47),0)</f>
        <v>#DIV/0!</v>
      </c>
      <c r="S48" s="3236"/>
      <c r="T48" s="3236"/>
      <c r="U48" s="3236"/>
      <c r="V48" s="3236"/>
      <c r="W48" s="323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7" t="s">
        <v>2761</v>
      </c>
      <c r="D55" s="2708" t="s">
        <v>2762</v>
      </c>
      <c r="E55" s="686" t="s">
        <v>2763</v>
      </c>
      <c r="F55" s="1107" t="s">
        <v>2764</v>
      </c>
      <c r="G55" s="3191" t="s">
        <v>2765</v>
      </c>
      <c r="H55" s="3237"/>
      <c r="I55" s="144" t="s">
        <v>2766</v>
      </c>
      <c r="J55" s="2709">
        <f>项目基本情况!F35</f>
        <v>0</v>
      </c>
      <c r="K55" s="2710" t="s">
        <v>2767</v>
      </c>
      <c r="L55" s="1106"/>
      <c r="M55" s="1144"/>
      <c r="N55" s="1144"/>
      <c r="O55" s="1144"/>
    </row>
    <row r="56" spans="1:15" s="692" customFormat="1">
      <c r="A56" s="688" t="s">
        <v>2768</v>
      </c>
      <c r="B56" s="689" t="e">
        <f>C48</f>
        <v>#DIV/0!</v>
      </c>
      <c r="C56" s="690">
        <v>1</v>
      </c>
      <c r="D56" s="1163">
        <v>1</v>
      </c>
      <c r="E56" s="690">
        <f>'数据-汇总表'!E8+'数据-汇总表'!E9</f>
        <v>65354.690000000017</v>
      </c>
      <c r="F56" s="1103" t="e">
        <f t="shared" ref="F56:F65" si="15">ROUND(B56*E56/10000,0)</f>
        <v>#DIV/0!</v>
      </c>
      <c r="G56" s="3187"/>
      <c r="H56" s="3176"/>
      <c r="I56" s="1108">
        <v>1</v>
      </c>
      <c r="J56" s="1111">
        <v>1</v>
      </c>
      <c r="K56" s="1145"/>
      <c r="L56" s="941"/>
      <c r="M56" s="941"/>
      <c r="N56" s="941"/>
      <c r="O56" s="941"/>
    </row>
    <row r="57" spans="1:15" s="692" customFormat="1">
      <c r="A57" s="693" t="s">
        <v>2769</v>
      </c>
      <c r="B57" s="262" t="e">
        <f>ROUND($C$48*C57*D57,0)</f>
        <v>#DIV/0!</v>
      </c>
      <c r="C57" s="200">
        <f t="shared" ref="C57:C65" si="16">IF($C$55="北京市系数",I57,J57)</f>
        <v>0.8</v>
      </c>
      <c r="D57" s="1164">
        <v>0.25</v>
      </c>
      <c r="E57" s="694"/>
      <c r="F57" s="1103" t="e">
        <f t="shared" si="15"/>
        <v>#DIV/0!</v>
      </c>
      <c r="G57" s="3238" t="s">
        <v>2770</v>
      </c>
      <c r="H57" s="1104" t="str">
        <f>项目基本情况!B37</f>
        <v>二级</v>
      </c>
      <c r="I57" s="1108">
        <f>SUMIF(修正!A45:A56,H57,修正!B45:B56)</f>
        <v>0.8</v>
      </c>
      <c r="J57" s="1112"/>
      <c r="K57" s="1144"/>
      <c r="L57" s="941"/>
      <c r="M57" s="941"/>
      <c r="N57" s="941"/>
      <c r="O57" s="941"/>
    </row>
    <row r="58" spans="1:15" s="692" customFormat="1">
      <c r="A58" s="693" t="s">
        <v>2771</v>
      </c>
      <c r="B58" s="262" t="e">
        <f t="shared" ref="B58:B65" si="17">ROUND($C$48*C58*D58,0)</f>
        <v>#DIV/0!</v>
      </c>
      <c r="C58" s="200">
        <f t="shared" si="16"/>
        <v>0.5</v>
      </c>
      <c r="D58" s="1164">
        <v>0.25</v>
      </c>
      <c r="E58" s="694"/>
      <c r="F58" s="1103" t="e">
        <f t="shared" si="15"/>
        <v>#DIV/0!</v>
      </c>
      <c r="G58" s="3238"/>
      <c r="H58" s="1104" t="str">
        <f>项目基本情况!B37</f>
        <v>二级</v>
      </c>
      <c r="I58" s="1108">
        <f>SUMIF(修正!A45:A56,H58,修正!C45:C56)</f>
        <v>0.5</v>
      </c>
      <c r="J58" s="1112"/>
      <c r="K58" s="1145"/>
      <c r="L58" s="941"/>
      <c r="M58" s="941"/>
      <c r="N58" s="941"/>
      <c r="O58" s="941"/>
    </row>
    <row r="59" spans="1:15" s="692" customFormat="1">
      <c r="A59" s="693" t="s">
        <v>2772</v>
      </c>
      <c r="B59" s="262" t="e">
        <f t="shared" si="17"/>
        <v>#DIV/0!</v>
      </c>
      <c r="C59" s="200">
        <f t="shared" si="16"/>
        <v>0.36</v>
      </c>
      <c r="D59" s="1164">
        <v>0.25</v>
      </c>
      <c r="E59" s="694"/>
      <c r="F59" s="1103" t="e">
        <f t="shared" si="15"/>
        <v>#DIV/0!</v>
      </c>
      <c r="G59" s="3238"/>
      <c r="H59" s="1104" t="str">
        <f>项目基本情况!B37</f>
        <v>二级</v>
      </c>
      <c r="I59" s="1108">
        <f>SUMIF(修正!A45:A56,H59,修正!D45:D56)</f>
        <v>0.36</v>
      </c>
      <c r="J59" s="1112"/>
      <c r="K59" s="1144"/>
      <c r="L59" s="941"/>
      <c r="M59" s="941"/>
      <c r="N59" s="941"/>
      <c r="O59" s="941"/>
    </row>
    <row r="60" spans="1:15" s="692" customFormat="1">
      <c r="A60" s="693" t="s">
        <v>2773</v>
      </c>
      <c r="B60" s="262" t="e">
        <f t="shared" si="17"/>
        <v>#DIV/0!</v>
      </c>
      <c r="C60" s="200">
        <f t="shared" si="16"/>
        <v>0.3</v>
      </c>
      <c r="D60" s="1164">
        <v>0.25</v>
      </c>
      <c r="E60" s="694"/>
      <c r="F60" s="1103" t="e">
        <f t="shared" si="15"/>
        <v>#DIV/0!</v>
      </c>
      <c r="G60" s="3238"/>
      <c r="H60" s="1104" t="str">
        <f>项目基本情况!B37</f>
        <v>二级</v>
      </c>
      <c r="I60" s="1108">
        <f>SUMIF(修正!A45:A56,H60,修正!E45:E56)</f>
        <v>0.3</v>
      </c>
      <c r="J60" s="1112"/>
      <c r="K60" s="1145"/>
      <c r="L60" s="941"/>
      <c r="M60" s="941"/>
      <c r="N60" s="941"/>
      <c r="O60" s="941"/>
    </row>
    <row r="61" spans="1:15" s="692" customFormat="1">
      <c r="A61" s="693" t="s">
        <v>2774</v>
      </c>
      <c r="B61" s="262" t="e">
        <f t="shared" si="17"/>
        <v>#DIV/0!</v>
      </c>
      <c r="C61" s="200">
        <f t="shared" si="16"/>
        <v>0.3</v>
      </c>
      <c r="D61" s="1164">
        <v>0.25</v>
      </c>
      <c r="E61" s="261">
        <f>'数据-汇总表'!E11</f>
        <v>0</v>
      </c>
      <c r="F61" s="1103" t="e">
        <f t="shared" si="15"/>
        <v>#DIV/0!</v>
      </c>
      <c r="G61" s="2711" t="s">
        <v>2775</v>
      </c>
      <c r="H61" s="1104" t="str">
        <f>项目基本情况!C37</f>
        <v>二级</v>
      </c>
      <c r="I61" s="1108">
        <f>SUMIF(修正!A45:A56,H61,修正!F45:F56)</f>
        <v>0.3</v>
      </c>
      <c r="J61" s="1112"/>
      <c r="K61" s="1144"/>
      <c r="L61" s="941"/>
      <c r="M61" s="941"/>
      <c r="N61" s="941"/>
      <c r="O61" s="941"/>
    </row>
    <row r="62" spans="1:15" s="692" customFormat="1">
      <c r="A62" s="693" t="s">
        <v>2776</v>
      </c>
      <c r="B62" s="262" t="e">
        <f t="shared" si="17"/>
        <v>#DIV/0!</v>
      </c>
      <c r="C62" s="200">
        <f t="shared" si="16"/>
        <v>0.3</v>
      </c>
      <c r="D62" s="1164">
        <v>0.25</v>
      </c>
      <c r="E62" s="261">
        <f>'数据-汇总表'!E12</f>
        <v>0</v>
      </c>
      <c r="F62" s="1103" t="e">
        <f t="shared" si="15"/>
        <v>#DIV/0!</v>
      </c>
      <c r="G62" s="1109" t="s">
        <v>2777</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2778</v>
      </c>
      <c r="B63" s="262" t="e">
        <f t="shared" si="17"/>
        <v>#DIV/0!</v>
      </c>
      <c r="C63" s="200">
        <f t="shared" si="16"/>
        <v>0.25</v>
      </c>
      <c r="D63" s="1164">
        <v>0.25</v>
      </c>
      <c r="E63" s="261">
        <f>'数据-汇总表'!E13</f>
        <v>0</v>
      </c>
      <c r="F63" s="1103" t="e">
        <f t="shared" si="15"/>
        <v>#DIV/0!</v>
      </c>
      <c r="G63" s="1109" t="s">
        <v>2779</v>
      </c>
      <c r="H63" s="1104" t="str">
        <f>IF(G63="商业",项目基本情况!B37,IF(G63="办公",项目基本情况!C37,IF(G63="住宅",项目基本情况!D37,项目基本情况!E37)))</f>
        <v>二级</v>
      </c>
      <c r="I63" s="1108">
        <f>SUMIF(修正!A45:A56,H63,修正!H45:H56)</f>
        <v>0.25</v>
      </c>
      <c r="J63" s="1112"/>
      <c r="K63" s="1144"/>
      <c r="L63" s="941"/>
      <c r="M63" s="941"/>
      <c r="N63" s="941"/>
      <c r="O63" s="941"/>
    </row>
    <row r="64" spans="1:15" s="692" customFormat="1">
      <c r="A64" s="693" t="s">
        <v>2780</v>
      </c>
      <c r="B64" s="262" t="e">
        <f t="shared" si="17"/>
        <v>#DIV/0!</v>
      </c>
      <c r="C64" s="200">
        <f t="shared" si="16"/>
        <v>0.25</v>
      </c>
      <c r="D64" s="1164">
        <v>0.25</v>
      </c>
      <c r="E64" s="261">
        <f>'数据-汇总表'!E14</f>
        <v>0</v>
      </c>
      <c r="F64" s="1103" t="e">
        <f t="shared" si="15"/>
        <v>#DIV/0!</v>
      </c>
      <c r="G64" s="2711" t="s">
        <v>2770</v>
      </c>
      <c r="H64" s="1104" t="str">
        <f>项目基本情况!B37</f>
        <v>二级</v>
      </c>
      <c r="I64" s="1108">
        <f>SUMIF(修正!A45:A56,H64,修正!H45:H56)</f>
        <v>0.25</v>
      </c>
      <c r="J64" s="1112"/>
      <c r="K64" s="1145"/>
      <c r="L64" s="941"/>
      <c r="M64" s="941"/>
      <c r="N64" s="941"/>
      <c r="O64" s="941"/>
    </row>
    <row r="65" spans="1:17" s="692" customFormat="1" ht="14.4" thickBot="1">
      <c r="A65" s="693" t="s">
        <v>2781</v>
      </c>
      <c r="B65" s="262" t="e">
        <f t="shared" si="17"/>
        <v>#DIV/0!</v>
      </c>
      <c r="C65" s="200">
        <f t="shared" si="16"/>
        <v>0.25</v>
      </c>
      <c r="D65" s="1164">
        <v>0.25</v>
      </c>
      <c r="E65" s="261">
        <f>'数据-汇总表'!E15</f>
        <v>0</v>
      </c>
      <c r="F65" s="1103" t="e">
        <f t="shared" si="15"/>
        <v>#DIV/0!</v>
      </c>
      <c r="G65" s="2712" t="s">
        <v>2775</v>
      </c>
      <c r="H65" s="1114" t="str">
        <f>项目基本情况!C37</f>
        <v>二级</v>
      </c>
      <c r="I65" s="1110">
        <f>SUMIF(修正!A45:A56,H65,修正!H45:H56)</f>
        <v>0.25</v>
      </c>
      <c r="J65" s="1113"/>
      <c r="K65" s="1144"/>
      <c r="L65" s="941"/>
      <c r="M65" s="941"/>
      <c r="N65" s="941"/>
      <c r="O65" s="941"/>
    </row>
    <row r="66" spans="1:17" s="692" customFormat="1" thickBot="1">
      <c r="A66" s="695" t="s">
        <v>2782</v>
      </c>
      <c r="B66" s="696" t="s">
        <v>28</v>
      </c>
      <c r="C66" s="696" t="s">
        <v>29</v>
      </c>
      <c r="D66" s="696" t="s">
        <v>1026</v>
      </c>
      <c r="E66" s="696">
        <f>IF(B46="楼面地价",SUM(E56:E65),'数据-汇总表'!D3)</f>
        <v>65354.690000000017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2.2" thickBot="1">
      <c r="A69" s="763" t="s">
        <v>2675</v>
      </c>
      <c r="B69" s="759"/>
      <c r="C69" s="764"/>
      <c r="D69" s="764"/>
      <c r="E69" s="764"/>
      <c r="F69" s="765"/>
      <c r="G69" s="765"/>
      <c r="H69" s="764"/>
      <c r="I69" s="764"/>
      <c r="J69" s="1159"/>
      <c r="K69" s="1160"/>
      <c r="L69" s="1161"/>
      <c r="M69" s="1159"/>
      <c r="N69" s="1159"/>
      <c r="O69" s="1159"/>
      <c r="P69" s="503"/>
      <c r="Q69" s="504"/>
    </row>
    <row r="70" spans="1:17" s="508" customFormat="1" ht="14.4">
      <c r="A70" s="2713" t="s">
        <v>2783</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4"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 thickBot="1">
      <c r="A72" s="515" t="s">
        <v>2586</v>
      </c>
      <c r="B72" s="516"/>
      <c r="C72" s="517"/>
      <c r="D72" s="518"/>
      <c r="E72" s="518"/>
      <c r="F72" s="518"/>
      <c r="G72" s="518"/>
      <c r="H72" s="518"/>
      <c r="I72" s="518"/>
      <c r="J72" s="518"/>
      <c r="K72" s="518"/>
      <c r="L72" s="518"/>
      <c r="M72" s="519"/>
      <c r="N72" s="518"/>
      <c r="O72" s="1162"/>
      <c r="P72" s="504"/>
      <c r="Q72" s="504"/>
    </row>
    <row r="73" spans="1:17" s="117" customFormat="1" ht="14.4">
      <c r="A73" s="521" t="s">
        <v>2551</v>
      </c>
      <c r="B73" s="510"/>
      <c r="C73" s="522" t="s">
        <v>2653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2589</v>
      </c>
      <c r="B75" s="528" t="s">
        <v>2555</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2751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201" t="s">
        <v>2648</v>
      </c>
      <c r="S4" s="3202"/>
      <c r="T4" s="3201" t="s">
        <v>2649</v>
      </c>
      <c r="U4" s="3202"/>
      <c r="V4" s="3207" t="s">
        <v>2650</v>
      </c>
      <c r="W4" s="3207"/>
      <c r="X4" s="1813"/>
      <c r="Y4" s="3201" t="s">
        <v>2652</v>
      </c>
      <c r="Z4" s="3202"/>
      <c r="AA4" s="3188" t="s">
        <v>2648</v>
      </c>
      <c r="AB4" s="3189" t="s">
        <v>2649</v>
      </c>
      <c r="AC4" s="3188" t="s">
        <v>2650</v>
      </c>
    </row>
    <row r="5" spans="1:29">
      <c r="A5" s="404"/>
      <c r="B5" s="405"/>
      <c r="C5" s="3210" t="s">
        <v>2543</v>
      </c>
      <c r="D5" s="3211"/>
      <c r="E5" s="3217" t="s">
        <v>2544</v>
      </c>
      <c r="F5" s="3218"/>
      <c r="G5" s="3210" t="s">
        <v>2545</v>
      </c>
      <c r="H5" s="3211"/>
      <c r="I5" s="3210" t="s">
        <v>2546</v>
      </c>
      <c r="J5" s="3211"/>
      <c r="K5" s="610"/>
      <c r="L5" s="1130"/>
      <c r="M5" s="1131"/>
      <c r="N5" s="1131"/>
      <c r="O5" s="1131"/>
      <c r="P5" s="3197"/>
      <c r="Q5" s="3198"/>
      <c r="R5" s="3203"/>
      <c r="S5" s="3204"/>
      <c r="T5" s="3203"/>
      <c r="U5" s="3204"/>
      <c r="V5" s="3207"/>
      <c r="W5" s="3207"/>
      <c r="X5" s="1813"/>
      <c r="Y5" s="3203"/>
      <c r="Z5" s="3204"/>
      <c r="AA5" s="3189"/>
      <c r="AB5" s="3189"/>
      <c r="AC5" s="3189"/>
    </row>
    <row r="6" spans="1:29" ht="15" thickBot="1">
      <c r="A6" s="406"/>
      <c r="B6" s="407"/>
      <c r="C6" s="3239" t="s">
        <v>2798</v>
      </c>
      <c r="D6" s="3240"/>
      <c r="E6" s="3241" t="s">
        <v>2798</v>
      </c>
      <c r="F6" s="3242"/>
      <c r="G6" s="3239" t="s">
        <v>2798</v>
      </c>
      <c r="H6" s="3240"/>
      <c r="I6" s="3239" t="s">
        <v>2798</v>
      </c>
      <c r="J6" s="3240"/>
      <c r="K6" s="610" t="s">
        <v>2548</v>
      </c>
      <c r="L6" s="1130"/>
      <c r="M6" s="1131"/>
      <c r="N6" s="1131"/>
      <c r="O6" s="1131"/>
      <c r="P6" s="3199"/>
      <c r="Q6" s="3200"/>
      <c r="R6" s="3203"/>
      <c r="S6" s="3204"/>
      <c r="T6" s="3205"/>
      <c r="U6" s="3206"/>
      <c r="V6" s="3207"/>
      <c r="W6" s="3207"/>
      <c r="X6" s="1813"/>
      <c r="Y6" s="3205"/>
      <c r="Z6" s="3206"/>
      <c r="AA6" s="3190"/>
      <c r="AB6" s="3190"/>
      <c r="AC6" s="3190"/>
    </row>
    <row r="7" spans="1:29" s="117" customFormat="1" ht="15" thickBot="1">
      <c r="A7" s="408" t="s">
        <v>2549</v>
      </c>
      <c r="B7" s="409"/>
      <c r="C7" s="410">
        <f>'数据-取费表'!B2</f>
        <v>43675</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12" t="s">
        <v>2550</v>
      </c>
      <c r="Q7" s="3214"/>
      <c r="R7" s="770" t="s">
        <v>17</v>
      </c>
      <c r="S7" s="771">
        <f t="shared" ref="S7:S15" si="0">F7</f>
        <v>0</v>
      </c>
      <c r="T7" s="770" t="s">
        <v>17</v>
      </c>
      <c r="U7" s="771">
        <f t="shared" ref="U7:U15" si="1">H7</f>
        <v>0</v>
      </c>
      <c r="V7" s="770" t="s">
        <v>17</v>
      </c>
      <c r="W7" s="771">
        <f t="shared" ref="W7:W15" si="2">J7</f>
        <v>0</v>
      </c>
      <c r="X7" s="772"/>
      <c r="Y7" s="3212" t="s">
        <v>2550</v>
      </c>
      <c r="Z7" s="3213"/>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2553</v>
      </c>
      <c r="Q8" s="3213"/>
      <c r="R8" s="770" t="s">
        <v>17</v>
      </c>
      <c r="S8" s="771">
        <f t="shared" si="0"/>
        <v>0</v>
      </c>
      <c r="T8" s="770" t="s">
        <v>17</v>
      </c>
      <c r="U8" s="771">
        <f t="shared" si="1"/>
        <v>0</v>
      </c>
      <c r="V8" s="770" t="s">
        <v>17</v>
      </c>
      <c r="W8" s="771">
        <f t="shared" si="2"/>
        <v>0</v>
      </c>
      <c r="X8" s="772"/>
      <c r="Y8" s="3212" t="s">
        <v>2553</v>
      </c>
      <c r="Z8" s="3213"/>
      <c r="AA8" s="773" t="e">
        <f t="shared" ref="AA8:AA40" si="3">D8/F8</f>
        <v>#DIV/0!</v>
      </c>
      <c r="AB8" s="773" t="e">
        <f t="shared" ref="AB8:AB40" si="4">D8/H8</f>
        <v>#DIV/0!</v>
      </c>
      <c r="AC8" s="773" t="e">
        <f t="shared" ref="AC8:AC40" si="5">D8/J8</f>
        <v>#DIV/0!</v>
      </c>
    </row>
    <row r="9" spans="1:29" s="117" customFormat="1" ht="14.4">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76" t="s">
        <v>2556</v>
      </c>
      <c r="Q9" s="1795" t="str">
        <f t="shared" ref="Q9:Q15" si="6">B9</f>
        <v>用途</v>
      </c>
      <c r="R9" s="770" t="s">
        <v>17</v>
      </c>
      <c r="S9" s="771">
        <f t="shared" si="0"/>
        <v>100</v>
      </c>
      <c r="T9" s="770" t="s">
        <v>17</v>
      </c>
      <c r="U9" s="771">
        <f t="shared" si="1"/>
        <v>100</v>
      </c>
      <c r="V9" s="770" t="s">
        <v>17</v>
      </c>
      <c r="W9" s="771">
        <f t="shared" si="2"/>
        <v>100</v>
      </c>
      <c r="X9" s="772"/>
      <c r="Y9" s="3001"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119</v>
      </c>
      <c r="G10" s="432"/>
      <c r="H10" s="136">
        <f>ROUND(100/'数据-取费表'!G16,0)</f>
        <v>119</v>
      </c>
      <c r="I10" s="432"/>
      <c r="J10" s="136">
        <f>ROUND(100/'数据-取费表'!G16,0)</f>
        <v>119</v>
      </c>
      <c r="K10" s="672"/>
      <c r="L10" s="1135"/>
      <c r="M10" s="1136"/>
      <c r="N10" s="1136"/>
      <c r="O10" s="1137"/>
      <c r="P10" s="3176"/>
      <c r="Q10" s="1795" t="str">
        <f t="shared" si="6"/>
        <v>土地使用年限（年）</v>
      </c>
      <c r="R10" s="770" t="s">
        <v>17</v>
      </c>
      <c r="S10" s="771">
        <f t="shared" si="0"/>
        <v>119</v>
      </c>
      <c r="T10" s="770" t="s">
        <v>17</v>
      </c>
      <c r="U10" s="771">
        <f t="shared" si="1"/>
        <v>119</v>
      </c>
      <c r="V10" s="770" t="s">
        <v>17</v>
      </c>
      <c r="W10" s="771">
        <f t="shared" si="2"/>
        <v>119</v>
      </c>
      <c r="X10" s="772"/>
      <c r="Y10" s="3001"/>
      <c r="Z10" s="55" t="str">
        <f t="shared" si="7"/>
        <v>土地使用年限（年）</v>
      </c>
      <c r="AA10" s="773">
        <f t="shared" si="3"/>
        <v>0.84033613445378152</v>
      </c>
      <c r="AB10" s="773">
        <f t="shared" si="4"/>
        <v>0.84033613445378152</v>
      </c>
      <c r="AC10" s="773">
        <f t="shared" si="5"/>
        <v>0.84033613445378152</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69">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8" t="s">
        <v>2561</v>
      </c>
      <c r="Q15" s="1810" t="str">
        <f t="shared" si="6"/>
        <v>产业集聚程度</v>
      </c>
      <c r="R15" s="774" t="s">
        <v>17</v>
      </c>
      <c r="S15" s="775">
        <f t="shared" si="0"/>
        <v>100</v>
      </c>
      <c r="T15" s="774" t="s">
        <v>17</v>
      </c>
      <c r="U15" s="775">
        <f t="shared" si="1"/>
        <v>100</v>
      </c>
      <c r="V15" s="774" t="s">
        <v>17</v>
      </c>
      <c r="W15" s="775">
        <f t="shared" si="2"/>
        <v>100</v>
      </c>
      <c r="X15" s="1813"/>
      <c r="Y15" s="3178" t="s">
        <v>2561</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96.6">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28.8">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9"/>
      <c r="Q19" s="1810" t="str">
        <f t="shared" ref="Q19:Q33" si="8">B19</f>
        <v>区域土地利用方向</v>
      </c>
      <c r="R19" s="774" t="s">
        <v>17</v>
      </c>
      <c r="S19" s="775">
        <f>F19</f>
        <v>100</v>
      </c>
      <c r="T19" s="774" t="s">
        <v>17</v>
      </c>
      <c r="U19" s="775">
        <f>H19</f>
        <v>100</v>
      </c>
      <c r="V19" s="774" t="s">
        <v>17</v>
      </c>
      <c r="W19" s="775">
        <f>J19</f>
        <v>100</v>
      </c>
      <c r="X19" s="1813"/>
      <c r="Y19" s="3179"/>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179"/>
      <c r="Q20" s="1810"/>
      <c r="R20" s="774"/>
      <c r="S20" s="775"/>
      <c r="T20" s="774"/>
      <c r="U20" s="775"/>
      <c r="V20" s="774"/>
      <c r="W20" s="775"/>
      <c r="X20" s="1813"/>
      <c r="Y20" s="3179"/>
      <c r="Z20" s="1814"/>
      <c r="AA20" s="1811"/>
      <c r="AB20" s="1811"/>
      <c r="AC20" s="1811"/>
    </row>
    <row r="21" spans="1:29" ht="82.8">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9"/>
      <c r="Q21" s="1810" t="str">
        <f t="shared" si="8"/>
        <v>环境状况</v>
      </c>
      <c r="R21" s="774" t="s">
        <v>17</v>
      </c>
      <c r="S21" s="775">
        <f>F21</f>
        <v>100</v>
      </c>
      <c r="T21" s="774" t="s">
        <v>17</v>
      </c>
      <c r="U21" s="775">
        <f>H21</f>
        <v>100</v>
      </c>
      <c r="V21" s="774" t="s">
        <v>17</v>
      </c>
      <c r="W21" s="775">
        <f>J21</f>
        <v>100</v>
      </c>
      <c r="X21" s="1813"/>
      <c r="Y21" s="3179"/>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s="117" customFormat="1" ht="41.4">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9"/>
      <c r="Q23" s="1795" t="str">
        <f t="shared" si="8"/>
        <v>公共配套设施</v>
      </c>
      <c r="R23" s="770" t="s">
        <v>17</v>
      </c>
      <c r="S23" s="771">
        <f>F23</f>
        <v>100</v>
      </c>
      <c r="T23" s="770" t="s">
        <v>17</v>
      </c>
      <c r="U23" s="771">
        <f>H23</f>
        <v>100</v>
      </c>
      <c r="V23" s="770" t="s">
        <v>17</v>
      </c>
      <c r="W23" s="771">
        <f>J23</f>
        <v>100</v>
      </c>
      <c r="X23" s="772"/>
      <c r="Y23" s="3179"/>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179"/>
      <c r="Q24" s="1795"/>
      <c r="R24" s="770"/>
      <c r="S24" s="771"/>
      <c r="T24" s="770"/>
      <c r="U24" s="771"/>
      <c r="V24" s="770"/>
      <c r="W24" s="771"/>
      <c r="X24" s="772"/>
      <c r="Y24" s="3179"/>
      <c r="Z24" s="55"/>
      <c r="AA24" s="773">
        <v>1</v>
      </c>
      <c r="AB24" s="773">
        <v>1</v>
      </c>
      <c r="AC24" s="773">
        <v>1</v>
      </c>
    </row>
    <row r="25" spans="1:29" s="117" customFormat="1" ht="41.4">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9"/>
      <c r="Q25" s="1795"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79"/>
      <c r="Q26" s="1795"/>
      <c r="R26" s="770"/>
      <c r="S26" s="771"/>
      <c r="T26" s="770"/>
      <c r="U26" s="771"/>
      <c r="V26" s="770"/>
      <c r="W26" s="771"/>
      <c r="X26" s="772"/>
      <c r="Y26" s="317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9"/>
      <c r="Z27" s="1814" t="str">
        <f t="shared" ref="Z27:Z40" si="13">Q27</f>
        <v>临街状况</v>
      </c>
      <c r="AA27" s="1811">
        <f t="shared" si="3"/>
        <v>1</v>
      </c>
      <c r="AB27" s="1811">
        <f t="shared" si="4"/>
        <v>1</v>
      </c>
      <c r="AC27" s="1811">
        <f t="shared" si="5"/>
        <v>1</v>
      </c>
    </row>
    <row r="28" spans="1:29" ht="28.8">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9"/>
      <c r="Q28" s="1810" t="str">
        <f t="shared" si="8"/>
        <v>毗邻道路的类型与等级</v>
      </c>
      <c r="R28" s="774" t="s">
        <v>17</v>
      </c>
      <c r="S28" s="775">
        <f t="shared" si="10"/>
        <v>100</v>
      </c>
      <c r="T28" s="774" t="s">
        <v>17</v>
      </c>
      <c r="U28" s="775">
        <f t="shared" si="11"/>
        <v>100</v>
      </c>
      <c r="V28" s="774" t="s">
        <v>17</v>
      </c>
      <c r="W28" s="775">
        <f t="shared" si="12"/>
        <v>100</v>
      </c>
      <c r="X28" s="1813"/>
      <c r="Y28" s="3179"/>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179"/>
      <c r="Q29" s="1810"/>
      <c r="R29" s="774"/>
      <c r="S29" s="775"/>
      <c r="T29" s="774"/>
      <c r="U29" s="775"/>
      <c r="V29" s="774"/>
      <c r="W29" s="775"/>
      <c r="X29" s="1813"/>
      <c r="Y29" s="3179"/>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9"/>
      <c r="Q30" s="1810" t="str">
        <f t="shared" si="8"/>
        <v>土地级别</v>
      </c>
      <c r="R30" s="774" t="s">
        <v>17</v>
      </c>
      <c r="S30" s="775">
        <f t="shared" si="10"/>
        <v>100</v>
      </c>
      <c r="T30" s="774" t="s">
        <v>17</v>
      </c>
      <c r="U30" s="775">
        <f t="shared" si="11"/>
        <v>100</v>
      </c>
      <c r="V30" s="774" t="s">
        <v>17</v>
      </c>
      <c r="W30" s="775">
        <f t="shared" si="12"/>
        <v>100</v>
      </c>
      <c r="X30" s="1813"/>
      <c r="Y30" s="3179"/>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9"/>
      <c r="Q31" s="1810">
        <f t="shared" si="8"/>
        <v>111</v>
      </c>
      <c r="R31" s="774" t="s">
        <v>17</v>
      </c>
      <c r="S31" s="775">
        <f t="shared" si="10"/>
        <v>100</v>
      </c>
      <c r="T31" s="774" t="s">
        <v>17</v>
      </c>
      <c r="U31" s="775">
        <f t="shared" si="11"/>
        <v>100</v>
      </c>
      <c r="V31" s="774" t="s">
        <v>17</v>
      </c>
      <c r="W31" s="775">
        <f t="shared" si="12"/>
        <v>100</v>
      </c>
      <c r="X31" s="1813"/>
      <c r="Y31" s="3179"/>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4" t="s">
        <v>2566</v>
      </c>
      <c r="Q32" s="1810">
        <f t="shared" si="8"/>
        <v>111</v>
      </c>
      <c r="R32" s="774" t="s">
        <v>17</v>
      </c>
      <c r="S32" s="775">
        <f t="shared" si="10"/>
        <v>100</v>
      </c>
      <c r="T32" s="774" t="s">
        <v>17</v>
      </c>
      <c r="U32" s="775">
        <f t="shared" si="11"/>
        <v>100</v>
      </c>
      <c r="V32" s="774" t="s">
        <v>17</v>
      </c>
      <c r="W32" s="775">
        <f t="shared" si="12"/>
        <v>100</v>
      </c>
      <c r="X32" s="1813"/>
      <c r="Y32" s="3183" t="s">
        <v>2566</v>
      </c>
      <c r="Z32" s="1814">
        <f t="shared" si="13"/>
        <v>111</v>
      </c>
      <c r="AA32" s="1811">
        <f t="shared" si="3"/>
        <v>1</v>
      </c>
      <c r="AB32" s="1811">
        <f t="shared" si="4"/>
        <v>1</v>
      </c>
      <c r="AC32" s="1811">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3"/>
      <c r="Q33" s="1810">
        <f t="shared" si="8"/>
        <v>111</v>
      </c>
      <c r="R33" s="777" t="s">
        <v>17</v>
      </c>
      <c r="S33" s="778">
        <f t="shared" si="10"/>
        <v>100</v>
      </c>
      <c r="T33" s="777" t="s">
        <v>17</v>
      </c>
      <c r="U33" s="778">
        <f t="shared" si="11"/>
        <v>100</v>
      </c>
      <c r="V33" s="777" t="s">
        <v>17</v>
      </c>
      <c r="W33" s="778">
        <f t="shared" si="12"/>
        <v>100</v>
      </c>
      <c r="X33" s="779"/>
      <c r="Y33" s="3183"/>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3"/>
      <c r="Q34" s="1810" t="str">
        <f>B34</f>
        <v>宗地面积</v>
      </c>
      <c r="R34" s="774" t="s">
        <v>17</v>
      </c>
      <c r="S34" s="775" t="e">
        <f t="shared" si="10"/>
        <v>#N/A</v>
      </c>
      <c r="T34" s="774" t="s">
        <v>17</v>
      </c>
      <c r="U34" s="775" t="e">
        <f t="shared" si="11"/>
        <v>#N/A</v>
      </c>
      <c r="V34" s="774" t="s">
        <v>17</v>
      </c>
      <c r="W34" s="775" t="e">
        <f t="shared" si="12"/>
        <v>#N/A</v>
      </c>
      <c r="X34" s="1813"/>
      <c r="Y34" s="3183"/>
      <c r="Z34" s="1814" t="str">
        <f t="shared" si="13"/>
        <v>宗地面积</v>
      </c>
      <c r="AA34" s="1811" t="e">
        <f t="shared" si="3"/>
        <v>#N/A</v>
      </c>
      <c r="AB34" s="1811" t="e">
        <f t="shared" si="4"/>
        <v>#N/A</v>
      </c>
      <c r="AC34" s="1811"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83"/>
      <c r="Q35" s="1810" t="str">
        <f t="shared" ref="Q35:Q40" si="14">B35</f>
        <v>宗地形状</v>
      </c>
      <c r="R35" s="774" t="s">
        <v>17</v>
      </c>
      <c r="S35" s="775">
        <f t="shared" si="10"/>
        <v>100</v>
      </c>
      <c r="T35" s="774" t="s">
        <v>17</v>
      </c>
      <c r="U35" s="775">
        <f t="shared" si="11"/>
        <v>100</v>
      </c>
      <c r="V35" s="774" t="s">
        <v>17</v>
      </c>
      <c r="W35" s="775">
        <f t="shared" si="12"/>
        <v>100</v>
      </c>
      <c r="X35" s="1813"/>
      <c r="Y35" s="3183"/>
      <c r="Z35" s="1814" t="str">
        <f t="shared" si="13"/>
        <v>宗地形状</v>
      </c>
      <c r="AA35" s="1811">
        <f t="shared" si="3"/>
        <v>1</v>
      </c>
      <c r="AB35" s="1811">
        <f t="shared" si="4"/>
        <v>1</v>
      </c>
      <c r="AC35" s="1811">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83"/>
      <c r="Q36" s="1810"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83" t="s">
        <v>2566</v>
      </c>
      <c r="Q37" s="1810" t="str">
        <f t="shared" si="14"/>
        <v>工程地质条件</v>
      </c>
      <c r="R37" s="774" t="s">
        <v>17</v>
      </c>
      <c r="S37" s="775">
        <f t="shared" si="10"/>
        <v>100</v>
      </c>
      <c r="T37" s="774" t="s">
        <v>17</v>
      </c>
      <c r="U37" s="775">
        <f t="shared" si="11"/>
        <v>100</v>
      </c>
      <c r="V37" s="774" t="s">
        <v>17</v>
      </c>
      <c r="W37" s="775">
        <f t="shared" si="12"/>
        <v>100</v>
      </c>
      <c r="X37" s="1813"/>
      <c r="Y37" s="3183"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3"/>
      <c r="Q38" s="1810">
        <f t="shared" si="14"/>
        <v>111</v>
      </c>
      <c r="R38" s="774" t="s">
        <v>17</v>
      </c>
      <c r="S38" s="775">
        <f t="shared" si="10"/>
        <v>100</v>
      </c>
      <c r="T38" s="774" t="s">
        <v>17</v>
      </c>
      <c r="U38" s="775">
        <f t="shared" si="11"/>
        <v>100</v>
      </c>
      <c r="V38" s="774" t="s">
        <v>17</v>
      </c>
      <c r="W38" s="775">
        <f t="shared" si="12"/>
        <v>100</v>
      </c>
      <c r="X38" s="1813"/>
      <c r="Y38" s="318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3"/>
      <c r="Q39" s="1810">
        <f t="shared" si="14"/>
        <v>111</v>
      </c>
      <c r="R39" s="774" t="s">
        <v>17</v>
      </c>
      <c r="S39" s="775">
        <f t="shared" si="10"/>
        <v>100</v>
      </c>
      <c r="T39" s="774" t="s">
        <v>17</v>
      </c>
      <c r="U39" s="775">
        <f t="shared" si="11"/>
        <v>100</v>
      </c>
      <c r="V39" s="774" t="s">
        <v>17</v>
      </c>
      <c r="W39" s="775">
        <f t="shared" si="12"/>
        <v>100</v>
      </c>
      <c r="X39" s="1813"/>
      <c r="Y39" s="3183"/>
      <c r="Z39" s="1814">
        <f t="shared" si="13"/>
        <v>111</v>
      </c>
      <c r="AA39" s="1811">
        <f t="shared" si="3"/>
        <v>1</v>
      </c>
      <c r="AB39" s="1811">
        <f t="shared" si="4"/>
        <v>1</v>
      </c>
      <c r="AC39" s="1811">
        <f t="shared" si="5"/>
        <v>1</v>
      </c>
    </row>
    <row r="40" spans="1:29" s="471" customFormat="1" ht="15.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3"/>
      <c r="Q40" s="1810">
        <f t="shared" si="14"/>
        <v>111</v>
      </c>
      <c r="R40" s="777" t="s">
        <v>17</v>
      </c>
      <c r="S40" s="778">
        <f t="shared" si="10"/>
        <v>100</v>
      </c>
      <c r="T40" s="777" t="s">
        <v>17</v>
      </c>
      <c r="U40" s="778">
        <f t="shared" si="11"/>
        <v>100</v>
      </c>
      <c r="V40" s="777" t="s">
        <v>17</v>
      </c>
      <c r="W40" s="778">
        <f t="shared" si="12"/>
        <v>100</v>
      </c>
      <c r="X40" s="779"/>
      <c r="Y40" s="3183"/>
      <c r="Z40" s="780">
        <f t="shared" si="13"/>
        <v>111</v>
      </c>
      <c r="AA40" s="1811">
        <f t="shared" si="3"/>
        <v>1</v>
      </c>
      <c r="AB40" s="1811">
        <f t="shared" si="4"/>
        <v>1</v>
      </c>
      <c r="AC40" s="1811">
        <f t="shared" si="5"/>
        <v>1</v>
      </c>
    </row>
    <row r="41" spans="1:29" ht="14.4">
      <c r="A41" s="479" t="s">
        <v>2721</v>
      </c>
      <c r="B41" s="2706" t="s">
        <v>2801</v>
      </c>
      <c r="C41" s="682" t="s">
        <v>1</v>
      </c>
      <c r="D41" s="481"/>
      <c r="E41" s="482"/>
      <c r="F41" s="483"/>
      <c r="G41" s="484"/>
      <c r="H41" s="485"/>
      <c r="I41" s="482"/>
      <c r="J41" s="485"/>
      <c r="K41" s="783"/>
      <c r="L41" s="1143"/>
      <c r="M41" s="1131"/>
      <c r="N41" s="1131"/>
      <c r="O41" s="1144"/>
      <c r="P41" s="3176" t="str">
        <f>A41</f>
        <v>成交单价</v>
      </c>
      <c r="Q41" s="3176"/>
      <c r="R41" s="3207">
        <f>E41</f>
        <v>0</v>
      </c>
      <c r="S41" s="3207"/>
      <c r="T41" s="3207">
        <f>G41</f>
        <v>0</v>
      </c>
      <c r="U41" s="3207"/>
      <c r="V41" s="3207">
        <f>I41</f>
        <v>0</v>
      </c>
      <c r="W41" s="3207"/>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76" t="str">
        <f>A42</f>
        <v>比较价值（元/平方米）</v>
      </c>
      <c r="Q42" s="3176"/>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3"/>
      <c r="M43" s="1131"/>
      <c r="N43" s="1131"/>
      <c r="O43" s="1144"/>
      <c r="P43" s="3173" t="str">
        <f>A43</f>
        <v>估价对象XX用房的比较价值（楼面单价，元/平方米）</v>
      </c>
      <c r="Q43" s="3174"/>
      <c r="R43" s="3236" t="e">
        <f>ROUND(AVERAGE(R42:V42),0)</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2759</v>
      </c>
      <c r="B50" s="685" t="s">
        <v>2760</v>
      </c>
      <c r="C50" s="2707" t="s">
        <v>2761</v>
      </c>
      <c r="D50" s="2708" t="s">
        <v>2762</v>
      </c>
      <c r="E50" s="686" t="s">
        <v>2763</v>
      </c>
      <c r="F50" s="687" t="s">
        <v>2764</v>
      </c>
      <c r="G50" s="3191" t="s">
        <v>2765</v>
      </c>
      <c r="H50" s="3237"/>
      <c r="I50" s="1814" t="s">
        <v>2802</v>
      </c>
      <c r="J50" s="1814">
        <f>项目基本情况!F35</f>
        <v>0</v>
      </c>
      <c r="K50" s="2710" t="s">
        <v>2767</v>
      </c>
      <c r="L50" s="1106"/>
      <c r="M50" s="1144"/>
      <c r="N50" s="1144"/>
      <c r="O50" s="1144"/>
    </row>
    <row r="51" spans="1:17" s="692" customFormat="1">
      <c r="A51" s="688" t="s">
        <v>2768</v>
      </c>
      <c r="B51" s="689" t="e">
        <f>C43</f>
        <v>#DIV/0!</v>
      </c>
      <c r="C51" s="690">
        <v>1</v>
      </c>
      <c r="D51" s="1163">
        <v>1</v>
      </c>
      <c r="E51" s="690">
        <f>'数据-汇总表'!E8+'数据-汇总表'!E9</f>
        <v>65354.690000000017</v>
      </c>
      <c r="F51" s="691" t="e">
        <f t="shared" ref="F51:F60" si="15">ROUND(B51*E51/10000,0)</f>
        <v>#DIV/0!</v>
      </c>
      <c r="G51" s="3187"/>
      <c r="H51" s="3176"/>
      <c r="I51" s="942">
        <v>1</v>
      </c>
      <c r="J51" s="942">
        <v>1</v>
      </c>
      <c r="K51" s="1145"/>
      <c r="L51" s="941"/>
      <c r="M51" s="941"/>
      <c r="N51" s="941"/>
      <c r="O51" s="941"/>
    </row>
    <row r="52" spans="1:17" s="692" customFormat="1">
      <c r="A52" s="693" t="s">
        <v>2769</v>
      </c>
      <c r="B52" s="262" t="e">
        <f>ROUND($C$43*C52*D52,0)</f>
        <v>#DIV/0!</v>
      </c>
      <c r="C52" s="200">
        <f t="shared" ref="C52:C60" si="16">IF($C$50="北京市系数",I52,J52)</f>
        <v>0.8</v>
      </c>
      <c r="D52" s="1164">
        <v>0.25</v>
      </c>
      <c r="E52" s="694"/>
      <c r="F52" s="691" t="e">
        <f t="shared" si="15"/>
        <v>#DIV/0!</v>
      </c>
      <c r="G52" s="3238" t="s">
        <v>2770</v>
      </c>
      <c r="H52" s="1104" t="str">
        <f>项目基本情况!B37</f>
        <v>二级</v>
      </c>
      <c r="I52" s="942">
        <f>SUMIF(修正!A45:A56,H52,修正!B45:B56)</f>
        <v>0.8</v>
      </c>
      <c r="J52" s="943"/>
      <c r="K52" s="1144"/>
      <c r="L52" s="941"/>
      <c r="M52" s="941"/>
      <c r="N52" s="941"/>
      <c r="O52" s="941"/>
    </row>
    <row r="53" spans="1:17" s="692" customFormat="1">
      <c r="A53" s="693" t="s">
        <v>2771</v>
      </c>
      <c r="B53" s="262" t="e">
        <f t="shared" ref="B53:B60" si="17">ROUND($C$43*C53*D53,0)</f>
        <v>#DIV/0!</v>
      </c>
      <c r="C53" s="200">
        <f t="shared" si="16"/>
        <v>0.5</v>
      </c>
      <c r="D53" s="1164">
        <v>0.25</v>
      </c>
      <c r="E53" s="694"/>
      <c r="F53" s="691" t="e">
        <f t="shared" si="15"/>
        <v>#DIV/0!</v>
      </c>
      <c r="G53" s="3238"/>
      <c r="H53" s="1104" t="str">
        <f>项目基本情况!B37</f>
        <v>二级</v>
      </c>
      <c r="I53" s="942">
        <f>SUMIF(修正!A45:A56,H53,修正!C45:C56)</f>
        <v>0.5</v>
      </c>
      <c r="J53" s="943"/>
      <c r="K53" s="1145"/>
      <c r="L53" s="941"/>
      <c r="M53" s="941"/>
      <c r="N53" s="941"/>
      <c r="O53" s="941"/>
    </row>
    <row r="54" spans="1:17" s="692" customFormat="1">
      <c r="A54" s="693" t="s">
        <v>2772</v>
      </c>
      <c r="B54" s="262" t="e">
        <f t="shared" si="17"/>
        <v>#DIV/0!</v>
      </c>
      <c r="C54" s="200">
        <f t="shared" si="16"/>
        <v>0.36</v>
      </c>
      <c r="D54" s="1164">
        <v>0.25</v>
      </c>
      <c r="E54" s="694"/>
      <c r="F54" s="691" t="e">
        <f t="shared" si="15"/>
        <v>#DIV/0!</v>
      </c>
      <c r="G54" s="3238"/>
      <c r="H54" s="1104" t="str">
        <f>项目基本情况!B37</f>
        <v>二级</v>
      </c>
      <c r="I54" s="942">
        <f>SUMIF(修正!A45:A56,H54,修正!D45:D56)</f>
        <v>0.36</v>
      </c>
      <c r="J54" s="943"/>
      <c r="K54" s="1144"/>
      <c r="L54" s="941"/>
      <c r="M54" s="941"/>
      <c r="N54" s="941"/>
      <c r="O54" s="941"/>
    </row>
    <row r="55" spans="1:17" s="692" customFormat="1">
      <c r="A55" s="693" t="s">
        <v>2773</v>
      </c>
      <c r="B55" s="262" t="e">
        <f t="shared" si="17"/>
        <v>#DIV/0!</v>
      </c>
      <c r="C55" s="200">
        <f t="shared" si="16"/>
        <v>0.3</v>
      </c>
      <c r="D55" s="1164">
        <v>0.25</v>
      </c>
      <c r="E55" s="694"/>
      <c r="F55" s="691" t="e">
        <f t="shared" si="15"/>
        <v>#DIV/0!</v>
      </c>
      <c r="G55" s="3238"/>
      <c r="H55" s="1104" t="str">
        <f>项目基本情况!B37</f>
        <v>二级</v>
      </c>
      <c r="I55" s="942">
        <f>SUMIF(修正!A45:A56,H55,修正!E45:E56)</f>
        <v>0.3</v>
      </c>
      <c r="J55" s="943"/>
      <c r="K55" s="1145"/>
      <c r="L55" s="941"/>
      <c r="M55" s="941"/>
      <c r="N55" s="941"/>
      <c r="O55" s="941"/>
    </row>
    <row r="56" spans="1:17" s="692" customFormat="1">
      <c r="A56" s="693" t="s">
        <v>2774</v>
      </c>
      <c r="B56" s="262" t="e">
        <f t="shared" si="17"/>
        <v>#DIV/0!</v>
      </c>
      <c r="C56" s="200">
        <f t="shared" si="16"/>
        <v>0.3</v>
      </c>
      <c r="D56" s="1164">
        <v>0.25</v>
      </c>
      <c r="E56" s="261">
        <f>'数据-汇总表'!E11</f>
        <v>0</v>
      </c>
      <c r="F56" s="691" t="e">
        <f t="shared" si="15"/>
        <v>#DIV/0!</v>
      </c>
      <c r="G56" s="2711" t="s">
        <v>2775</v>
      </c>
      <c r="H56" s="1104" t="str">
        <f>项目基本情况!C37</f>
        <v>二级</v>
      </c>
      <c r="I56" s="942">
        <f>SUMIF(修正!A45:A56,H56,修正!F45:F56)</f>
        <v>0.3</v>
      </c>
      <c r="J56" s="943"/>
      <c r="K56" s="1144"/>
      <c r="L56" s="941"/>
      <c r="M56" s="941"/>
      <c r="N56" s="941"/>
      <c r="O56" s="941"/>
    </row>
    <row r="57" spans="1:17" s="692" customFormat="1">
      <c r="A57" s="693" t="s">
        <v>2776</v>
      </c>
      <c r="B57" s="262" t="e">
        <f t="shared" si="17"/>
        <v>#DIV/0!</v>
      </c>
      <c r="C57" s="200">
        <f t="shared" si="16"/>
        <v>0.3</v>
      </c>
      <c r="D57" s="1164">
        <v>0.25</v>
      </c>
      <c r="E57" s="261">
        <f>'数据-汇总表'!E12</f>
        <v>0</v>
      </c>
      <c r="F57" s="691" t="e">
        <f t="shared" si="15"/>
        <v>#DIV/0!</v>
      </c>
      <c r="G57" s="1109" t="s">
        <v>2777</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2778</v>
      </c>
      <c r="B58" s="262" t="e">
        <f t="shared" si="17"/>
        <v>#DIV/0!</v>
      </c>
      <c r="C58" s="200">
        <f t="shared" si="16"/>
        <v>0.25</v>
      </c>
      <c r="D58" s="1164">
        <v>0.25</v>
      </c>
      <c r="E58" s="261">
        <f>'数据-汇总表'!E13</f>
        <v>0</v>
      </c>
      <c r="F58" s="691" t="e">
        <f t="shared" si="15"/>
        <v>#DIV/0!</v>
      </c>
      <c r="G58" s="1109" t="s">
        <v>2779</v>
      </c>
      <c r="H58" s="1104" t="str">
        <f>IF(G58="商业",项目基本情况!B37,IF(G58="办公",项目基本情况!C37,IF(G58="住宅",项目基本情况!D37,项目基本情况!E37)))</f>
        <v>二级</v>
      </c>
      <c r="I58" s="942">
        <f>SUMIF(修正!A45:A56,H58,修正!H45:H56)</f>
        <v>0.25</v>
      </c>
      <c r="J58" s="943"/>
      <c r="K58" s="1144"/>
      <c r="L58" s="941"/>
      <c r="M58" s="941"/>
      <c r="N58" s="941"/>
      <c r="O58" s="941"/>
    </row>
    <row r="59" spans="1:17" s="692" customFormat="1">
      <c r="A59" s="693" t="s">
        <v>2780</v>
      </c>
      <c r="B59" s="262" t="e">
        <f t="shared" si="17"/>
        <v>#DIV/0!</v>
      </c>
      <c r="C59" s="200">
        <f t="shared" si="16"/>
        <v>0.25</v>
      </c>
      <c r="D59" s="1164">
        <v>0.25</v>
      </c>
      <c r="E59" s="261">
        <f>'数据-汇总表'!E14</f>
        <v>0</v>
      </c>
      <c r="F59" s="691" t="e">
        <f t="shared" si="15"/>
        <v>#DIV/0!</v>
      </c>
      <c r="G59" s="2711" t="s">
        <v>2770</v>
      </c>
      <c r="H59" s="1104" t="str">
        <f>项目基本情况!B37</f>
        <v>二级</v>
      </c>
      <c r="I59" s="942">
        <f>SUMIF(修正!A45:A56,H59,修正!H45:H56)</f>
        <v>0.25</v>
      </c>
      <c r="J59" s="943"/>
      <c r="K59" s="1145"/>
      <c r="L59" s="941"/>
      <c r="M59" s="941"/>
      <c r="N59" s="941"/>
      <c r="O59" s="941"/>
    </row>
    <row r="60" spans="1:17" s="692" customFormat="1" ht="14.4" thickBot="1">
      <c r="A60" s="693" t="s">
        <v>2781</v>
      </c>
      <c r="B60" s="262" t="e">
        <f t="shared" si="17"/>
        <v>#DIV/0!</v>
      </c>
      <c r="C60" s="200">
        <f t="shared" si="16"/>
        <v>0.25</v>
      </c>
      <c r="D60" s="1164">
        <v>0.25</v>
      </c>
      <c r="E60" s="261">
        <f>'数据-汇总表'!E15</f>
        <v>0</v>
      </c>
      <c r="F60" s="691" t="e">
        <f t="shared" si="15"/>
        <v>#DIV/0!</v>
      </c>
      <c r="G60" s="2712" t="s">
        <v>2775</v>
      </c>
      <c r="H60" s="1114" t="str">
        <f>项目基本情况!C37</f>
        <v>二级</v>
      </c>
      <c r="I60" s="942">
        <f>SUMIF(修正!A45:A56,H60,修正!H45:H56)</f>
        <v>0.25</v>
      </c>
      <c r="J60" s="943"/>
      <c r="K60" s="1144"/>
      <c r="L60" s="941"/>
      <c r="M60" s="941"/>
      <c r="N60" s="941"/>
      <c r="O60" s="941"/>
    </row>
    <row r="61" spans="1:17" s="692" customFormat="1" ht="14.4" thickBot="1">
      <c r="A61" s="695" t="s">
        <v>2782</v>
      </c>
      <c r="B61" s="696" t="s">
        <v>28</v>
      </c>
      <c r="C61" s="696" t="s">
        <v>29</v>
      </c>
      <c r="D61" s="696" t="s">
        <v>1026</v>
      </c>
      <c r="E61" s="696">
        <f>IF(B41="楼面地价",SUM(E51:E60),'数据-汇总表'!D3)</f>
        <v>18463.54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2.2" thickBot="1">
      <c r="A64" s="763" t="s">
        <v>2675</v>
      </c>
      <c r="B64" s="759"/>
      <c r="C64" s="764"/>
      <c r="D64" s="764"/>
      <c r="E64" s="764"/>
      <c r="F64" s="765"/>
      <c r="G64" s="765"/>
      <c r="H64" s="764"/>
      <c r="I64" s="764"/>
      <c r="J64" s="764"/>
      <c r="K64" s="766"/>
      <c r="L64" s="767"/>
      <c r="M64" s="764"/>
      <c r="N64" s="764"/>
      <c r="O64" s="1159"/>
      <c r="P64" s="503"/>
      <c r="Q64" s="504"/>
    </row>
    <row r="65" spans="1:17" s="508" customFormat="1" ht="14.4">
      <c r="A65" s="2713" t="s">
        <v>2783</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2589</v>
      </c>
      <c r="B70" s="528" t="s">
        <v>2555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3" sqref="E3"/>
    </sheetView>
  </sheetViews>
  <sheetFormatPr defaultColWidth="12" defaultRowHeight="13.2"/>
  <cols>
    <col min="1" max="1" width="9.77734375" style="2790" customWidth="1"/>
    <col min="2" max="2" width="19.21875" style="2896" customWidth="1"/>
    <col min="3" max="4" width="12" style="2722"/>
    <col min="5" max="5" width="14.6640625" style="2722" customWidth="1"/>
    <col min="6" max="8" width="12" style="2722"/>
    <col min="9" max="9" width="12.21875" style="2722" bestFit="1" customWidth="1"/>
    <col min="10" max="10" width="12" style="2722"/>
    <col min="11" max="11" width="8.109375" style="2785" customWidth="1"/>
    <col min="12" max="12" width="12" style="2722"/>
    <col min="13" max="13" width="8.44140625" style="2722" customWidth="1"/>
    <col min="14" max="14" width="9.77734375" style="2722" customWidth="1"/>
    <col min="15" max="25" width="12" style="2722"/>
    <col min="26" max="26" width="9.33203125" style="2790" customWidth="1"/>
    <col min="27" max="32" width="9.33203125" style="1372" customWidth="1"/>
    <col min="33" max="36" width="9.33203125" style="2790" customWidth="1"/>
    <col min="37" max="38" width="9.33203125" style="2722" customWidth="1"/>
    <col min="39" max="16384" width="12" style="2722"/>
  </cols>
  <sheetData>
    <row r="1" spans="1:36" ht="31.2">
      <c r="A1" s="240" t="s">
        <v>2805</v>
      </c>
      <c r="B1" s="241"/>
      <c r="C1" s="245" t="s">
        <v>2806</v>
      </c>
      <c r="D1" s="388">
        <f>SUM(D29:D30,D33:D39)</f>
        <v>65354.690000000017</v>
      </c>
      <c r="E1" s="2719"/>
      <c r="F1" s="2719"/>
      <c r="G1" s="2719"/>
      <c r="H1" s="2719"/>
      <c r="I1" s="2719"/>
      <c r="J1" s="2719"/>
      <c r="K1" s="1370"/>
      <c r="L1" s="2720" t="s">
        <v>2807</v>
      </c>
      <c r="M1" s="1080">
        <f>SUMPRODUCT((区片价!B5:B9=I2)*(区片价!C3:F3=E2)*(区片价!C5:F9))</f>
        <v>0</v>
      </c>
      <c r="N1" s="1083">
        <f>SUMPRODUCT((因素修正幅度!B5:B9=I2)*(因素修正幅度!C3:F3=E2)*(因素修正幅度!C5:F9))</f>
        <v>0</v>
      </c>
      <c r="O1" s="2721"/>
      <c r="P1" s="2721"/>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6">
      <c r="A2" s="245" t="s">
        <v>2813</v>
      </c>
      <c r="B2" s="248">
        <f ca="1">C26</f>
        <v>235133</v>
      </c>
      <c r="C2" s="2723" t="s">
        <v>2814</v>
      </c>
      <c r="D2" s="2724" t="s">
        <v>2815</v>
      </c>
      <c r="E2" s="2725" t="s">
        <v>27</v>
      </c>
      <c r="F2" s="2724" t="s">
        <v>2816</v>
      </c>
      <c r="G2" s="2726" t="str">
        <f>IF(E2="商业",项目基本情况!B37,IF(E2="办公",项目基本情况!C37,IF(E2="住宅",项目基本情况!D37,项目基本情况!E37)))</f>
        <v>二级</v>
      </c>
      <c r="H2" s="2724" t="s">
        <v>2817</v>
      </c>
      <c r="I2" s="2726" t="str">
        <f>IF(E2="商业",项目基本情况!B38,IF(E2="办公",项目基本情况!C38,IF(E2="住宅",项目基本情况!D38,项目基本情况!E38)))</f>
        <v>Ⅱ—16</v>
      </c>
      <c r="J2" s="2727"/>
      <c r="K2" s="1370"/>
      <c r="L2" s="2728" t="s">
        <v>2818</v>
      </c>
      <c r="M2" s="1081">
        <f>SUMPRODUCT((区片价!B10:B28=I2)*(区片价!C3:F3=E2)*(区片价!C10:F28))</f>
        <v>25850</v>
      </c>
      <c r="N2" s="1083">
        <f>SUMPRODUCT((因素修正幅度!B10:B28=I2)*(因素修正幅度!C3:F3=E2)*(因素修正幅度!C10:F28))</f>
        <v>0.1</v>
      </c>
      <c r="O2" s="1370"/>
      <c r="P2" s="1370"/>
      <c r="Q2" s="1370"/>
      <c r="R2" s="1602">
        <v>1</v>
      </c>
      <c r="S2" s="1602">
        <f>ROUND(IF(G3&gt;1,IF(R2&lt;7,SUMPRODUCT((B93:B98=R2)*(C92:N92=G2)*(C93:N98)),SUMIF(C92:N92,G2,C100:N100)),IF(R2&lt;7,SUMPRODUCT((B102:B107=R2)*(C92:N92=G2)*(C102:N107)),SUMIF(C92:N92,G2,C109:N109))),4)</f>
        <v>1.9361999999999999</v>
      </c>
      <c r="T2" s="1602">
        <f ca="1">ROUND($C$5*$C$18*$C$19*$C$20*S2*$C$24,0)</f>
        <v>70258</v>
      </c>
      <c r="U2" s="1603"/>
      <c r="V2" s="1602">
        <f ca="1">ROUND(T2*U2/10000,0)</f>
        <v>0</v>
      </c>
      <c r="W2" s="1606"/>
      <c r="X2" s="1606"/>
      <c r="Y2" s="1606"/>
      <c r="Z2" s="1606"/>
      <c r="AA2" s="1606"/>
      <c r="AB2" s="1606"/>
      <c r="AC2" s="1607"/>
      <c r="AD2" s="1608"/>
      <c r="AE2" s="1608"/>
      <c r="AF2" s="1608"/>
      <c r="AG2" s="1608"/>
      <c r="AH2" s="1608"/>
      <c r="AI2" s="1608"/>
      <c r="AJ2" s="1609"/>
    </row>
    <row r="3" spans="1:36" ht="26.4">
      <c r="A3" s="247" t="s">
        <v>2819</v>
      </c>
      <c r="B3" s="248">
        <f ca="1">ROUND(B2*10000/D1,0)</f>
        <v>35978</v>
      </c>
      <c r="C3" s="2723" t="s">
        <v>2820</v>
      </c>
      <c r="D3" s="2724" t="s">
        <v>2821</v>
      </c>
      <c r="E3" s="2729" t="s">
        <v>3248</v>
      </c>
      <c r="F3" s="2730" t="s">
        <v>2822</v>
      </c>
      <c r="G3" s="916">
        <f>IF(F3="宗地容积率",'数据-汇总表'!I4,IF(F3="估价对象容积率",'数据-汇总表'!I6,'数据-汇总表'!I7))</f>
        <v>3.61</v>
      </c>
      <c r="H3" s="198" t="s">
        <v>2823</v>
      </c>
      <c r="I3" s="944"/>
      <c r="J3" s="2727" t="s">
        <v>2824</v>
      </c>
      <c r="K3" s="1370"/>
      <c r="L3" s="2728"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51519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246"/>
      <c r="B4" s="3247"/>
      <c r="C4" s="3247"/>
      <c r="D4" s="3248"/>
      <c r="E4" s="3248"/>
      <c r="F4" s="3248"/>
      <c r="G4" s="3248"/>
      <c r="H4" s="3248"/>
      <c r="I4" s="3248"/>
      <c r="J4" s="3249"/>
      <c r="K4" s="1370"/>
      <c r="L4" s="2728"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42070</v>
      </c>
      <c r="U4" s="1603"/>
      <c r="V4" s="1602">
        <f t="shared" ca="1" si="1"/>
        <v>0</v>
      </c>
      <c r="W4" s="1606"/>
      <c r="X4" s="1606"/>
      <c r="Y4" s="1606"/>
      <c r="Z4" s="1606"/>
      <c r="AA4" s="1606"/>
      <c r="AB4" s="1606"/>
      <c r="AC4" s="1607"/>
      <c r="AD4" s="1608"/>
      <c r="AE4" s="1608"/>
      <c r="AF4" s="1608"/>
      <c r="AG4" s="1608"/>
      <c r="AH4" s="1608"/>
      <c r="AI4" s="1608"/>
      <c r="AJ4" s="1609"/>
    </row>
    <row r="5" spans="1:36" s="2740" customFormat="1" ht="15.6" thickBot="1">
      <c r="A5" s="2731" t="s">
        <v>807</v>
      </c>
      <c r="B5" s="2732" t="s">
        <v>2827</v>
      </c>
      <c r="C5" s="917">
        <f>ROUND(IF(E2="商业",C6*C7+C16,(IF(E2="住宅",C6*C12+C16,C6+C16))),0)</f>
        <v>25833</v>
      </c>
      <c r="D5" s="1787">
        <f>ROUND(C6+C16,0)</f>
        <v>25833</v>
      </c>
      <c r="E5" s="1787"/>
      <c r="F5" s="2733"/>
      <c r="G5" s="2734"/>
      <c r="H5" s="2734"/>
      <c r="I5" s="2734"/>
      <c r="J5" s="2735"/>
      <c r="K5" s="2736"/>
      <c r="L5" s="2728"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34915</v>
      </c>
      <c r="U5" s="1603"/>
      <c r="V5" s="1602">
        <f t="shared" ca="1" si="1"/>
        <v>0</v>
      </c>
      <c r="W5" s="1606"/>
      <c r="X5" s="1606"/>
      <c r="Y5" s="1606"/>
      <c r="Z5" s="1606"/>
      <c r="AA5" s="1606"/>
      <c r="AB5" s="1606"/>
      <c r="AC5" s="2737"/>
      <c r="AD5" s="2738"/>
      <c r="AE5" s="2738"/>
      <c r="AF5" s="2738"/>
      <c r="AG5" s="2738"/>
      <c r="AH5" s="2738"/>
      <c r="AI5" s="2738"/>
      <c r="AJ5" s="2739"/>
    </row>
    <row r="6" spans="1:36" ht="15.6" thickBot="1">
      <c r="A6" s="2741" t="s">
        <v>2829</v>
      </c>
      <c r="B6" s="2742" t="s">
        <v>2830</v>
      </c>
      <c r="C6" s="918">
        <f>SUMIF(L1:L12,G2,M1:M12)</f>
        <v>25850</v>
      </c>
      <c r="D6" s="2743" t="s">
        <v>2831</v>
      </c>
      <c r="E6" s="2744"/>
      <c r="F6" s="2744"/>
      <c r="G6" s="2745"/>
      <c r="H6" s="2745"/>
      <c r="I6" s="2745"/>
      <c r="J6" s="2746"/>
      <c r="K6" s="1842"/>
      <c r="L6" s="2728"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30542</v>
      </c>
      <c r="U6" s="1603"/>
      <c r="V6" s="1602">
        <f t="shared" ca="1" si="1"/>
        <v>0</v>
      </c>
      <c r="W6" s="1606"/>
      <c r="X6" s="1606"/>
      <c r="Y6" s="1606"/>
      <c r="Z6" s="1606"/>
      <c r="AA6" s="1606"/>
      <c r="AB6" s="1606"/>
      <c r="AC6" s="2737"/>
      <c r="AD6" s="2738"/>
      <c r="AE6" s="2738"/>
      <c r="AF6" s="2738"/>
      <c r="AG6" s="2738"/>
      <c r="AH6" s="2738"/>
      <c r="AI6" s="2738"/>
      <c r="AJ6" s="2739"/>
    </row>
    <row r="7" spans="1:36" ht="24">
      <c r="A7" s="3250" t="str">
        <f>IF(E2="商业",IF(C8="不临58条商业街","",2),"")</f>
        <v/>
      </c>
      <c r="B7" s="2747" t="s">
        <v>2833</v>
      </c>
      <c r="C7" s="919" t="e">
        <f>IF(C8="不临58条商业街",1,ROUND(1+(1.6*E8+1.2*E9+0.8*E10+0.4*E11)*C9,4))</f>
        <v>#DIV/0!</v>
      </c>
      <c r="D7" s="2748" t="s">
        <v>2834</v>
      </c>
      <c r="E7" s="945"/>
      <c r="F7" s="2749"/>
      <c r="G7" s="2750"/>
      <c r="H7" s="2750"/>
      <c r="I7" s="2750"/>
      <c r="J7" s="2751"/>
      <c r="K7" s="1842"/>
      <c r="L7" s="2728"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27607</v>
      </c>
      <c r="U7" s="1603"/>
      <c r="V7" s="1602">
        <f t="shared" ca="1" si="1"/>
        <v>0</v>
      </c>
      <c r="W7" s="1816" t="s">
        <v>2836</v>
      </c>
      <c r="X7" s="1604" t="str">
        <f>G2</f>
        <v>二级</v>
      </c>
      <c r="Y7" s="1604" t="s">
        <v>2837</v>
      </c>
      <c r="Z7" s="1605">
        <f>G3</f>
        <v>3.61</v>
      </c>
      <c r="AA7" s="1606"/>
      <c r="AB7" s="1606"/>
      <c r="AC7" s="1607"/>
      <c r="AD7" s="1608"/>
      <c r="AE7" s="1608"/>
      <c r="AF7" s="1608"/>
      <c r="AG7" s="1608"/>
      <c r="AH7" s="1608"/>
      <c r="AI7" s="1608"/>
      <c r="AJ7" s="1609"/>
    </row>
    <row r="8" spans="1:36" ht="15">
      <c r="A8" s="3251"/>
      <c r="B8" s="198" t="s">
        <v>2838</v>
      </c>
      <c r="C8" s="2752"/>
      <c r="D8" s="920" t="s">
        <v>139</v>
      </c>
      <c r="E8" s="921" t="e">
        <f>ROUND(C11/E7,4)</f>
        <v>#DIV/0!</v>
      </c>
      <c r="F8" s="2753" t="s">
        <v>2839</v>
      </c>
      <c r="G8" s="2754"/>
      <c r="H8" s="2754"/>
      <c r="I8" s="2754"/>
      <c r="J8" s="2755"/>
      <c r="K8" s="1370"/>
      <c r="L8" s="2728"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3" t="s">
        <v>2841</v>
      </c>
      <c r="X8" s="3244"/>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51"/>
      <c r="B9" s="198" t="s">
        <v>2854</v>
      </c>
      <c r="C9" s="922">
        <f>SUMIF(修正!C59:C119,C8,修正!E59:E119)</f>
        <v>0</v>
      </c>
      <c r="D9" s="200" t="s">
        <v>140</v>
      </c>
      <c r="E9" s="200" t="e">
        <f>ROUND(C11/E7,4)</f>
        <v>#DIV/0!</v>
      </c>
      <c r="F9" s="2753" t="s">
        <v>2855</v>
      </c>
      <c r="G9" s="2754"/>
      <c r="H9" s="2754"/>
      <c r="I9" s="2754"/>
      <c r="J9" s="2755"/>
      <c r="K9" s="1370"/>
      <c r="L9" s="2728"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5"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1"/>
      <c r="B10" s="198" t="s">
        <v>2859</v>
      </c>
      <c r="C10" s="200">
        <f>SUMIF(修正!C59:C119,C8,修正!F59:F119)</f>
        <v>0</v>
      </c>
      <c r="D10" s="200" t="s">
        <v>141</v>
      </c>
      <c r="E10" s="200" t="e">
        <f>ROUND(C11/E7,4)</f>
        <v>#DIV/0!</v>
      </c>
      <c r="F10" s="2753" t="s">
        <v>2860</v>
      </c>
      <c r="G10" s="2754"/>
      <c r="H10" s="2754"/>
      <c r="I10" s="2754"/>
      <c r="J10" s="2755"/>
      <c r="K10" s="1370"/>
      <c r="L10" s="2728"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51"/>
      <c r="B11" s="2756" t="s">
        <v>2862</v>
      </c>
      <c r="C11" s="923">
        <f>C10/4</f>
        <v>0</v>
      </c>
      <c r="D11" s="923" t="s">
        <v>142</v>
      </c>
      <c r="E11" s="923" t="e">
        <f>ROUND(C11/E7,4)</f>
        <v>#DIV/0!</v>
      </c>
      <c r="F11" s="2757" t="s">
        <v>2863</v>
      </c>
      <c r="G11" s="2758"/>
      <c r="H11" s="2758"/>
      <c r="I11" s="2758"/>
      <c r="J11" s="2759"/>
      <c r="K11" s="1370"/>
      <c r="L11" s="2728"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5" t="s">
        <v>2865</v>
      </c>
      <c r="X11" s="1614" t="s">
        <v>2866</v>
      </c>
      <c r="Y11" s="1615">
        <f>$G$3</f>
        <v>3.61</v>
      </c>
      <c r="Z11" s="1615">
        <f t="shared" ref="Z11:AJ11" si="3">$G$3</f>
        <v>3.61</v>
      </c>
      <c r="AA11" s="1615">
        <f t="shared" si="3"/>
        <v>3.61</v>
      </c>
      <c r="AB11" s="1615">
        <f t="shared" si="3"/>
        <v>3.61</v>
      </c>
      <c r="AC11" s="1615">
        <f t="shared" si="3"/>
        <v>3.61</v>
      </c>
      <c r="AD11" s="1615">
        <f t="shared" si="3"/>
        <v>3.61</v>
      </c>
      <c r="AE11" s="1615">
        <f t="shared" si="3"/>
        <v>3.61</v>
      </c>
      <c r="AF11" s="1615">
        <f t="shared" si="3"/>
        <v>3.61</v>
      </c>
      <c r="AG11" s="1615">
        <f t="shared" si="3"/>
        <v>3.61</v>
      </c>
      <c r="AH11" s="1615">
        <f t="shared" si="3"/>
        <v>3.61</v>
      </c>
      <c r="AI11" s="1615">
        <f t="shared" si="3"/>
        <v>3.61</v>
      </c>
      <c r="AJ11" s="1615">
        <f t="shared" si="3"/>
        <v>3.61</v>
      </c>
    </row>
    <row r="12" spans="1:36" ht="25.8" thickBot="1">
      <c r="A12" s="3250" t="s">
        <v>2867</v>
      </c>
      <c r="B12" s="2760" t="s">
        <v>2868</v>
      </c>
      <c r="C12" s="919">
        <f>ROUND(C15*D15*E15*F15*G15*H15*I15*J15,4)</f>
        <v>1</v>
      </c>
      <c r="D12" s="2761" t="s">
        <v>2869</v>
      </c>
      <c r="E12" s="2762"/>
      <c r="F12" s="2762"/>
      <c r="G12" s="2763"/>
      <c r="H12" s="2763"/>
      <c r="I12" s="2763"/>
      <c r="J12" s="2764"/>
      <c r="K12" s="1370"/>
      <c r="L12" s="2765"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5"/>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2"/>
      <c r="B13" s="2766" t="s">
        <v>2872</v>
      </c>
      <c r="C13" s="2767" t="s">
        <v>2873</v>
      </c>
      <c r="D13" s="1808" t="s">
        <v>2874</v>
      </c>
      <c r="E13" s="1808" t="s">
        <v>2875</v>
      </c>
      <c r="F13" s="30" t="s">
        <v>2876</v>
      </c>
      <c r="G13" s="2768" t="s">
        <v>2877</v>
      </c>
      <c r="H13" s="2768" t="s">
        <v>2877</v>
      </c>
      <c r="I13" s="2768" t="s">
        <v>2877</v>
      </c>
      <c r="J13" s="2769" t="s">
        <v>2877</v>
      </c>
      <c r="K13" s="1370"/>
      <c r="L13" s="1370"/>
      <c r="M13" s="1370"/>
      <c r="N13" s="1370"/>
      <c r="O13" s="1370"/>
      <c r="P13" s="1370"/>
      <c r="Q13" s="1370"/>
      <c r="R13" s="1602">
        <v>12</v>
      </c>
      <c r="S13" s="1603"/>
      <c r="T13" s="1602">
        <f t="shared" ca="1" si="0"/>
        <v>0</v>
      </c>
      <c r="U13" s="1603"/>
      <c r="V13" s="1602">
        <f t="shared" ca="1" si="1"/>
        <v>0</v>
      </c>
      <c r="W13" s="3245"/>
      <c r="X13" s="1616"/>
      <c r="Y13" s="1613">
        <f>(-0.163*(Y12^2)-0.59*Y12+7617)*(10^(-4))/Y11</f>
        <v>0.21099722991689754</v>
      </c>
      <c r="Z13" s="1613">
        <f t="shared" ref="Z13:AJ13" si="5">(-0.163*(Z12^2)-0.59*Z12+7617)*(10^(-4))/Z11</f>
        <v>0.21099722991689754</v>
      </c>
      <c r="AA13" s="1613">
        <f t="shared" si="5"/>
        <v>0.21099722991689754</v>
      </c>
      <c r="AB13" s="1613">
        <f t="shared" si="5"/>
        <v>0.21099722991689754</v>
      </c>
      <c r="AC13" s="1613">
        <f t="shared" si="5"/>
        <v>0.21099722991689754</v>
      </c>
      <c r="AD13" s="1613">
        <f t="shared" si="5"/>
        <v>0.21099722991689754</v>
      </c>
      <c r="AE13" s="1613">
        <f t="shared" si="5"/>
        <v>0.21099722991689754</v>
      </c>
      <c r="AF13" s="1613">
        <f t="shared" si="5"/>
        <v>0.21099722991689754</v>
      </c>
      <c r="AG13" s="1613">
        <f t="shared" si="5"/>
        <v>0.21099722991689754</v>
      </c>
      <c r="AH13" s="1613">
        <f t="shared" si="5"/>
        <v>0.21099722991689754</v>
      </c>
      <c r="AI13" s="1613">
        <f t="shared" si="5"/>
        <v>0.21099722991689754</v>
      </c>
      <c r="AJ13" s="1613">
        <f t="shared" si="5"/>
        <v>0.21099722991689754</v>
      </c>
    </row>
    <row r="14" spans="1:36" ht="15">
      <c r="A14" s="3252"/>
      <c r="B14" s="2770"/>
      <c r="C14" s="2771"/>
      <c r="D14" s="2772"/>
      <c r="E14" s="2772"/>
      <c r="F14" s="2773"/>
      <c r="G14" s="2774" t="s">
        <v>2878</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253"/>
      <c r="B15" s="2778"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0" t="s">
        <v>2884</v>
      </c>
      <c r="B16" s="2747" t="s">
        <v>2885</v>
      </c>
      <c r="C16" s="2934">
        <f>ROUND(IF(F17="与级别开发程度一致",0,(G17-E17)/C17),0)</f>
        <v>-17</v>
      </c>
      <c r="D16" s="3264" t="s">
        <v>2889</v>
      </c>
      <c r="E16" s="3265"/>
      <c r="F16" s="3264" t="s">
        <v>2886</v>
      </c>
      <c r="G16" s="3265"/>
      <c r="H16" s="2781" t="s">
        <v>3065</v>
      </c>
      <c r="I16" s="2781" t="s">
        <v>3066</v>
      </c>
      <c r="J16" s="2938" t="s">
        <v>3067</v>
      </c>
      <c r="K16" s="2781" t="s">
        <v>3068</v>
      </c>
      <c r="L16" s="2781" t="s">
        <v>3069</v>
      </c>
      <c r="M16" s="2781" t="s">
        <v>3070</v>
      </c>
      <c r="N16" s="2781" t="s">
        <v>3071</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254"/>
      <c r="B17" s="2945" t="s">
        <v>2888</v>
      </c>
      <c r="C17" s="2946">
        <f>SUMPRODUCT((修正!A2:A5=E2)*(修正!B1:M1=G2)*(修正!B2:M5))</f>
        <v>3.5</v>
      </c>
      <c r="D17" s="229" t="str">
        <f>IF(OR(G2="八级",G2="九级",G2="十级",G2="十一级",G2="十二级"),"五通一平","七通一平")</f>
        <v>七通一平</v>
      </c>
      <c r="E17" s="2935">
        <f>SUMPRODUCT((修正!B1:M1=G2)*(修正!B15:M15))</f>
        <v>375</v>
      </c>
      <c r="F17" s="2936" t="s">
        <v>3072</v>
      </c>
      <c r="G17" s="2937">
        <f>SUM(H17:O17)</f>
        <v>315</v>
      </c>
      <c r="H17" s="2946">
        <f>SUMPRODUCT((七通一平=H16)*(修正!B1:M1=G2)*(修正!B6:M14))</f>
        <v>80</v>
      </c>
      <c r="I17" s="2946">
        <f>SUMPRODUCT((七通一平=I16)*(修正!B1:M1=G2)*(修正!B6:M14))</f>
        <v>70</v>
      </c>
      <c r="J17" s="2947">
        <f>SUMPRODUCT((七通一平=J16)*(修正!B1:M1=G2)*(修正!B6:M14))</f>
        <v>20</v>
      </c>
      <c r="K17" s="2946">
        <f>SUMPRODUCT((七通一平=K16)*(修正!B1:M1=G2)*(修正!B6:M14))</f>
        <v>30</v>
      </c>
      <c r="L17" s="2946">
        <f>SUMPRODUCT((七通一平=L16)*(修正!B1:M1=G2)*(修正!B6:M14))</f>
        <v>45</v>
      </c>
      <c r="M17" s="2946">
        <f>SUMPRODUCT((七通一平=M16)*(修正!B1:M1=G2)*(修正!B6:M14))</f>
        <v>50</v>
      </c>
      <c r="N17" s="2946">
        <f>SUMPRODUCT((七通一平=N16)*(修正!B1:M1=G2)*(修正!B6:M14))</f>
        <v>20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 thickBot="1">
      <c r="A18" s="2939" t="s">
        <v>808</v>
      </c>
      <c r="B18" s="2940" t="s">
        <v>2891</v>
      </c>
      <c r="C18" s="2941">
        <f>SUMIF(修正!C18:C39,E3,修正!E18:E39)</f>
        <v>1.1000000000000001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4" thickBot="1">
      <c r="A19" s="2786" t="s">
        <v>809</v>
      </c>
      <c r="B19" s="2787" t="s">
        <v>2892</v>
      </c>
      <c r="C19" s="924">
        <f>ROUND(IF(H19="按公示增长率计算",SUMPRODUCT((地价!A3:A27=YEAR(G19)&amp;"-"&amp;ROUNDUP(MONTH(G19)/3,0))*(地价!X2:AB2=E2)*(地价!X3:AB27)),IF(H19="地价指数",M20/M19,(1+I19)^O19)),4)</f>
        <v>1.3557999999999999</v>
      </c>
      <c r="D19" s="2791" t="s">
        <v>2893</v>
      </c>
      <c r="E19" s="925">
        <v>41640</v>
      </c>
      <c r="F19" s="2791" t="s">
        <v>2894</v>
      </c>
      <c r="G19" s="926">
        <f>'数据-取费表'!B2</f>
        <v>43675</v>
      </c>
      <c r="H19" s="2792" t="s">
        <v>3073</v>
      </c>
      <c r="I19" s="927" t="str">
        <f>IF(H19="季度增幅（自定义）",SUMIF(N21:N24,E2,O21:O24),"")</f>
        <v/>
      </c>
      <c r="J19" s="2789"/>
      <c r="K19" s="1377"/>
      <c r="L19" s="2793" t="s">
        <v>2895</v>
      </c>
      <c r="M19" s="1734">
        <f>ROUND(SUMIF(地价!B2:F2,E2,地价!B27:F27),0)</f>
        <v>258</v>
      </c>
      <c r="N19" s="2794" t="s">
        <v>2896</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9.4" thickBot="1">
      <c r="A20" s="2798" t="s">
        <v>810</v>
      </c>
      <c r="B20" s="2799" t="s">
        <v>2897</v>
      </c>
      <c r="C20" s="929">
        <f ca="1">ROUND(POWER(1+G20,J20-I20)*(POWER(1+G20,I20)-1)/(POWER(1+G20,J20)-1),4)</f>
        <v>0.89190000000000003</v>
      </c>
      <c r="D20" s="2800" t="s">
        <v>2898</v>
      </c>
      <c r="E20" s="1768">
        <f ca="1">存贷款利率!D4/100</f>
        <v>4.3499999999999997E-2</v>
      </c>
      <c r="F20" s="2800" t="s">
        <v>2890</v>
      </c>
      <c r="G20" s="934">
        <f ca="1">SUMIF(M26:P26,E2,M28:P28)</f>
        <v>5.1999999999999998E-2</v>
      </c>
      <c r="H20" s="2800" t="s">
        <v>2899</v>
      </c>
      <c r="I20" s="935">
        <f>SUMIF('数据-取费表'!C6:C15,E2,'数据-取费表'!F6:F15)/COUNTIF('数据-取费表'!C6:C15,E2)</f>
        <v>33.96</v>
      </c>
      <c r="J20" s="936">
        <f>IF(E2="住宅",70,IF(E2="商业",40,50))</f>
        <v>50</v>
      </c>
      <c r="K20" s="1377"/>
      <c r="L20" s="2801" t="s">
        <v>2900</v>
      </c>
      <c r="M20" s="1735">
        <f>ROUND(SUMPRODUCT((地价!A4:A27=YEAR(G19)&amp;"-"&amp;ROUNDUP(MONTH(G19)/3,0))*(地价!B2:F2=E2)*(地价!B4:F27)),0)</f>
        <v>350</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4.4">
      <c r="A21" s="2805" t="s">
        <v>811</v>
      </c>
      <c r="B21" s="2806" t="s">
        <v>3074</v>
      </c>
      <c r="C21" s="937">
        <f>IF(B21="容积率修正",IF(G3&lt;=10,D22,J22),C23)</f>
        <v>0.99150000000000005</v>
      </c>
      <c r="D21" s="2807"/>
      <c r="E21" s="2807"/>
      <c r="F21" s="2807"/>
      <c r="G21" s="2807"/>
      <c r="H21" s="2807"/>
      <c r="I21" s="2807"/>
      <c r="J21" s="2808"/>
      <c r="K21" s="1377"/>
      <c r="N21" s="2809" t="s">
        <v>2904</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4">
      <c r="A22" s="2666" t="s">
        <v>2905</v>
      </c>
      <c r="B22" s="2810" t="s">
        <v>2906</v>
      </c>
      <c r="C22" s="1810" t="s">
        <v>2907</v>
      </c>
      <c r="D22" s="1810">
        <f>IF(E22=G22,F22,IF(G3&lt;=10,ROUND(F22+(H22-F22)*(G3-E22)/(G22-E22),4),"——"))</f>
        <v>0.99150000000000005</v>
      </c>
      <c r="E22" s="916">
        <f>ROUNDDOWN(G3,1)</f>
        <v>3.6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0.99219999999999997</v>
      </c>
      <c r="G22" s="916">
        <f>ROUNDUP(G3,1)</f>
        <v>3.7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0.98480000000000001</v>
      </c>
      <c r="I22" s="1810" t="s">
        <v>155</v>
      </c>
      <c r="J22" s="938" t="str">
        <f>IF(G3&gt;10,D113,"——")</f>
        <v>——</v>
      </c>
      <c r="K22" s="1377"/>
      <c r="N22" s="2809" t="s">
        <v>2908</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66" t="s">
        <v>2909</v>
      </c>
      <c r="B23" s="2811" t="s">
        <v>2910</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2911</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 thickBot="1">
      <c r="A24" s="2798" t="s">
        <v>812</v>
      </c>
      <c r="B24" s="2787" t="s">
        <v>2912</v>
      </c>
      <c r="C24" s="924">
        <f>SUMIF(A45:A88,E2,B45:B88)</f>
        <v>1.056</v>
      </c>
      <c r="D24" s="2788"/>
      <c r="E24" s="2817"/>
      <c r="F24" s="2817"/>
      <c r="G24" s="2817"/>
      <c r="H24" s="2817"/>
      <c r="I24" s="2817"/>
      <c r="J24" s="2818"/>
      <c r="K24" s="1377"/>
      <c r="N24" s="2819" t="s">
        <v>2913</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8" t="s">
        <v>813</v>
      </c>
      <c r="B25" s="2820" t="s">
        <v>2914</v>
      </c>
      <c r="C25" s="930"/>
      <c r="D25" s="2750"/>
      <c r="E25" s="2750"/>
      <c r="F25" s="2821"/>
      <c r="G25" s="2750"/>
      <c r="H25" s="2750"/>
      <c r="I25" s="2750"/>
      <c r="J25" s="2751"/>
      <c r="K25" s="1370"/>
      <c r="N25" s="2822" t="s">
        <v>2915</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23"/>
      <c r="B26" s="2810" t="s">
        <v>2916</v>
      </c>
      <c r="C26" s="206">
        <f ca="1">E29+SUM(E33:E39)</f>
        <v>235133</v>
      </c>
      <c r="D26" s="2824"/>
      <c r="E26" s="2775"/>
      <c r="F26" s="2825"/>
      <c r="G26" s="2775"/>
      <c r="H26" s="2775"/>
      <c r="I26" s="2775"/>
      <c r="J26" s="2826"/>
      <c r="K26" s="1370"/>
      <c r="L26" s="2779" t="s">
        <v>2815</v>
      </c>
      <c r="M26" s="920" t="s">
        <v>2880</v>
      </c>
      <c r="N26" s="920" t="s">
        <v>2881</v>
      </c>
      <c r="O26" s="920" t="s">
        <v>2882</v>
      </c>
      <c r="P26" s="2780" t="s">
        <v>2883</v>
      </c>
      <c r="R26" s="1376"/>
      <c r="S26" s="1376"/>
      <c r="T26" s="1371"/>
      <c r="U26" s="1371"/>
      <c r="V26" s="1371"/>
      <c r="W26" s="1370"/>
      <c r="X26" s="1370"/>
      <c r="Y26" s="1370"/>
      <c r="Z26" s="1377"/>
      <c r="AA26" s="1378"/>
      <c r="AB26" s="1378"/>
      <c r="AC26" s="1378"/>
      <c r="AD26" s="1378"/>
    </row>
    <row r="27" spans="1:37" ht="15" thickBot="1">
      <c r="A27" s="2823"/>
      <c r="B27" s="2827" t="s">
        <v>2917</v>
      </c>
      <c r="C27" s="931">
        <f ca="1">E30+SUM(I33:I39)</f>
        <v>0</v>
      </c>
      <c r="D27" s="2828"/>
      <c r="E27" s="2829"/>
      <c r="F27" s="2830"/>
      <c r="G27" s="2829"/>
      <c r="H27" s="2829"/>
      <c r="I27" s="2829"/>
      <c r="J27" s="2831"/>
      <c r="K27" s="1370"/>
      <c r="L27" s="2783"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2"/>
      <c r="B28" s="2833" t="s">
        <v>2918</v>
      </c>
      <c r="C28" s="2834" t="s">
        <v>2919</v>
      </c>
      <c r="D28" s="2834" t="s">
        <v>2920</v>
      </c>
      <c r="E28" s="2835" t="s">
        <v>2921</v>
      </c>
      <c r="F28" s="2836"/>
      <c r="G28" s="2763"/>
      <c r="H28" s="2763"/>
      <c r="I28" s="2763"/>
      <c r="J28" s="2764"/>
      <c r="K28" s="1370"/>
      <c r="L28" s="2784"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f ca="1">ROUND(C5*C18*C19*C20*C21*C24,0)</f>
        <v>35978</v>
      </c>
      <c r="D29" s="2839">
        <f>'数据-汇总表'!F27</f>
        <v>65354.690000000017</v>
      </c>
      <c r="E29" s="942">
        <f ca="1">ROUND(C29*D29/10000,0)</f>
        <v>235133</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8" thickBot="1">
      <c r="A30" s="2843"/>
      <c r="B30" s="2844" t="s">
        <v>2924</v>
      </c>
      <c r="C30" s="229">
        <f ca="1">ROUND(IF(E2="工业",C29*M39,C29*M38),0)</f>
        <v>8995</v>
      </c>
      <c r="D30" s="2845"/>
      <c r="E30" s="942">
        <f ca="1">ROUND(C30*D30/10000,0)</f>
        <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3.8">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36">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61" t="s">
        <v>2930</v>
      </c>
      <c r="B33" s="2855" t="s">
        <v>2931</v>
      </c>
      <c r="C33" s="206">
        <f ca="1">ROUND(D5*C19*C20*C24*F33,0)</f>
        <v>26390</v>
      </c>
      <c r="D33" s="2839"/>
      <c r="E33" s="200">
        <f ca="1">ROUND(C33*D33/10000,0)</f>
        <v>0</v>
      </c>
      <c r="F33" s="200">
        <f>SUMIF(修正!A45:A56,G2,修正!B45:B56)</f>
        <v>0.8</v>
      </c>
      <c r="G33" s="200">
        <f t="shared" ref="G33" ca="1" si="6">ROUND(IF(E2="工业",C33*$M$39,C33*$M$38),0)</f>
        <v>6598</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62"/>
      <c r="B34" s="2767" t="s">
        <v>2932</v>
      </c>
      <c r="C34" s="206">
        <f ca="1">ROUND(D5*C19*C20*C24*F34,0)</f>
        <v>16494</v>
      </c>
      <c r="D34" s="2839"/>
      <c r="E34" s="200">
        <f t="shared" ref="E34:E39" ca="1" si="7">ROUND(C34*D34/10000,0)</f>
        <v>0</v>
      </c>
      <c r="F34" s="200">
        <f>SUMIF(修正!A45:A56,G2,修正!C45:C56)</f>
        <v>0.5</v>
      </c>
      <c r="G34" s="200">
        <f ca="1">ROUND(IF(E2="工业",C34*$M$39,C34*$M$38),0)</f>
        <v>4124</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7" t="s">
        <v>2933</v>
      </c>
      <c r="C35" s="206">
        <f ca="1">ROUND(D5*C19*C20*C24*F35,0)</f>
        <v>11876</v>
      </c>
      <c r="D35" s="2839"/>
      <c r="E35" s="200">
        <f t="shared" ca="1" si="7"/>
        <v>0</v>
      </c>
      <c r="F35" s="200">
        <f>SUMIF(修正!A45:A56,G2,修正!D45:D56)</f>
        <v>0.36</v>
      </c>
      <c r="G35" s="200">
        <f ca="1">ROUND(IF(E2="工业",C35*$M$39,C35*$M$38),0)</f>
        <v>2969</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8" thickBot="1">
      <c r="A36" s="3263"/>
      <c r="B36" s="2767" t="s">
        <v>2934</v>
      </c>
      <c r="C36" s="206">
        <f ca="1">ROUND(D5*C19*C20*C24*F36,0)</f>
        <v>9896</v>
      </c>
      <c r="D36" s="2839"/>
      <c r="E36" s="200">
        <f t="shared" ca="1" si="7"/>
        <v>0</v>
      </c>
      <c r="F36" s="200">
        <f>SUMIF(修正!A45:A56,G2,修正!E45:E56)</f>
        <v>0.3</v>
      </c>
      <c r="G36" s="200">
        <f ca="1">ROUND(IF(E2="工业",C36*$M$39,C36*$M$38),0)</f>
        <v>2474</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f ca="1">ROUND(D5*C19*C20*C24*F37,0)</f>
        <v>9896</v>
      </c>
      <c r="D37" s="2839"/>
      <c r="E37" s="200">
        <f t="shared" ca="1" si="7"/>
        <v>0</v>
      </c>
      <c r="F37" s="206">
        <f>SUMIF(修正!A45:A56,G2,修正!F45:F56)</f>
        <v>0.3</v>
      </c>
      <c r="G37" s="200">
        <f ca="1">ROUND(IF(E2="工业",C37*$M$39,C37*$M$38),0)</f>
        <v>2474</v>
      </c>
      <c r="H37" s="200">
        <f t="shared" si="8"/>
        <v>0</v>
      </c>
      <c r="I37" s="200">
        <f t="shared" ca="1" si="9"/>
        <v>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f ca="1">ROUND(D5*C19*C41*C24*F38,0)</f>
        <v>0</v>
      </c>
      <c r="D38" s="2839"/>
      <c r="E38" s="200">
        <f t="shared" ca="1" si="7"/>
        <v>0</v>
      </c>
      <c r="F38" s="206">
        <f>SUMIF(修正!A45:A56,G2,修正!G45:G56)</f>
        <v>0.3</v>
      </c>
      <c r="G38" s="200">
        <f ca="1">ROUND(IF(E2="工业",C38*$M$39,C38*$M$38),0)</f>
        <v>0</v>
      </c>
      <c r="H38" s="200">
        <f t="shared" si="8"/>
        <v>0</v>
      </c>
      <c r="I38" s="200">
        <f t="shared" ca="1" si="9"/>
        <v>0</v>
      </c>
      <c r="J38" s="2856"/>
      <c r="K38" s="1370"/>
      <c r="L38" s="1887" t="s">
        <v>2938</v>
      </c>
      <c r="M38" s="2860">
        <v>0.25</v>
      </c>
      <c r="N38" s="1370"/>
      <c r="O38" s="1370"/>
      <c r="P38" s="1370"/>
      <c r="Q38" s="1370"/>
      <c r="R38" s="1370"/>
      <c r="S38" s="1370"/>
      <c r="T38" s="1370"/>
      <c r="U38" s="1370"/>
      <c r="V38" s="1370"/>
      <c r="W38" s="1370"/>
      <c r="X38" s="1370"/>
      <c r="Y38" s="1370"/>
      <c r="Z38" s="1371"/>
    </row>
    <row r="39" spans="1:37" ht="13.8" thickBot="1">
      <c r="A39" s="2843"/>
      <c r="B39" s="2861" t="s">
        <v>2939</v>
      </c>
      <c r="C39" s="229">
        <f ca="1">ROUND(D5*C19*C41*C24*F39,0)</f>
        <v>0</v>
      </c>
      <c r="D39" s="2845"/>
      <c r="E39" s="229">
        <f t="shared" ca="1" si="7"/>
        <v>0</v>
      </c>
      <c r="F39" s="932">
        <f>SUMIF(修正!A45:A56,G2,修正!H45:H56)</f>
        <v>0.25</v>
      </c>
      <c r="G39" s="229">
        <f ca="1">ROUND(IF(E2="工业",C39*$M$39,C39*$M$38),0)</f>
        <v>0</v>
      </c>
      <c r="H39" s="229">
        <f t="shared" si="8"/>
        <v>0</v>
      </c>
      <c r="I39" s="229">
        <f t="shared" ca="1" si="9"/>
        <v>0</v>
      </c>
      <c r="J39" s="2862"/>
      <c r="K39" s="1370"/>
      <c r="L39" s="2863" t="s">
        <v>2883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2" t="s">
        <v>3049</v>
      </c>
      <c r="C41" s="388">
        <f ca="1">ROUND(POWER(1+E41,H41-G41)*(POWER(1+E41,G41)-1)/(POWER(1+E41,H41)-1),4)</f>
        <v>0</v>
      </c>
      <c r="D41" s="200" t="s">
        <v>2890</v>
      </c>
      <c r="E41" s="2931">
        <f ca="1">G20</f>
        <v>5.1999999999999998E-2</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4">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5.2">
      <c r="A47" s="2872" t="s">
        <v>2942</v>
      </c>
      <c r="B47" s="1809" t="s">
        <v>2943</v>
      </c>
      <c r="C47" s="1809" t="s">
        <v>2944</v>
      </c>
      <c r="D47" s="1809" t="s">
        <v>2945</v>
      </c>
      <c r="E47" s="819" t="s">
        <v>2946</v>
      </c>
      <c r="F47" s="2873" t="s">
        <v>2947</v>
      </c>
      <c r="G47" s="1809" t="s">
        <v>754</v>
      </c>
      <c r="H47" s="2874" t="s">
        <v>2948</v>
      </c>
      <c r="I47" s="1809" t="s">
        <v>2949</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2.8">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2" t="s">
        <v>2951</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2" t="s">
        <v>2953</v>
      </c>
      <c r="B51" s="2877" t="s">
        <v>2954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2" t="s">
        <v>2956</v>
      </c>
      <c r="B53" s="2878" t="s">
        <v>2957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9" t="s">
        <v>2958</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9" t="s">
        <v>2959</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0" t="s">
        <v>2960</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8" t="s">
        <v>2961</v>
      </c>
      <c r="B57" s="2869">
        <f>1+E59</f>
        <v>1.056</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2" t="s">
        <v>2942</v>
      </c>
      <c r="B58" s="1809"/>
      <c r="C58" s="1809" t="s">
        <v>2944</v>
      </c>
      <c r="D58" s="1809" t="s">
        <v>2945</v>
      </c>
      <c r="E58" s="819" t="s">
        <v>2946</v>
      </c>
      <c r="F58" s="2873" t="s">
        <v>2962</v>
      </c>
      <c r="G58" s="1809" t="s">
        <v>754</v>
      </c>
      <c r="H58" s="2874" t="s">
        <v>2948</v>
      </c>
      <c r="I58" s="1809" t="s">
        <v>2949</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52.8">
      <c r="A59" s="2872" t="s">
        <v>2963</v>
      </c>
      <c r="B59" s="2875" t="str">
        <f>估价对象房地状况!C17</f>
        <v>估价对象位于XX商圈，周边办公楼项目较多，入驻率高，办公集聚程度较好</v>
      </c>
      <c r="C59" s="2772" t="s">
        <v>3075</v>
      </c>
      <c r="D59" s="1286">
        <f t="shared" ref="D59:D67" si="15">SUMIF($J$58:$N$58,C59,J59:N59)</f>
        <v>1.2E-2</v>
      </c>
      <c r="E59" s="821">
        <f>ROUND(SUM(D59:D67),4)</f>
        <v>5.6000000000000001E-2</v>
      </c>
      <c r="F59" s="2503">
        <f>IF(E2="办公",SUMIF(L1:L12,G2,N1:N12),"——")</f>
        <v>0.1</v>
      </c>
      <c r="G59" s="1284">
        <v>1.2E-2</v>
      </c>
      <c r="H59" s="1288">
        <f t="shared" ref="H59:H67" si="16">IFERROR(ROUNDDOWN($F$59*I59/2,4),"——")</f>
        <v>1.2E-2</v>
      </c>
      <c r="I59" s="820">
        <v>0.24</v>
      </c>
      <c r="J59" s="1285">
        <f t="shared" ref="J59:J67" si="17">K59+$G59</f>
        <v>2.4E-2</v>
      </c>
      <c r="K59" s="1285">
        <f t="shared" ref="K59:K67" si="18">$L59+$G59</f>
        <v>1.2E-2</v>
      </c>
      <c r="L59" s="1285">
        <v>0</v>
      </c>
      <c r="M59" s="1285">
        <f t="shared" ref="M59:N67" si="19">L59-$G59</f>
        <v>-1.2E-2</v>
      </c>
      <c r="N59" s="1285">
        <f t="shared" si="19"/>
        <v>-2.4E-2</v>
      </c>
      <c r="AA59" s="1371"/>
      <c r="AB59" s="1371"/>
      <c r="AC59" s="1371"/>
      <c r="AD59" s="1371"/>
      <c r="AE59" s="1371"/>
      <c r="AF59" s="1371"/>
      <c r="AG59" s="1371"/>
      <c r="AH59" s="1371"/>
      <c r="AI59" s="1371"/>
      <c r="AJ59" s="1371"/>
      <c r="AK59" s="1371"/>
    </row>
    <row r="60" spans="1:37" s="1370" customFormat="1" ht="66">
      <c r="A60" s="2872" t="s">
        <v>2951</v>
      </c>
      <c r="B60" s="2876" t="str">
        <f>估价对象房地状况!C18</f>
        <v>估价对象周边道路状况、公共交通通达情况、停车便捷程度，综合评价交通便捷度较好</v>
      </c>
      <c r="C60" s="2772" t="s">
        <v>3075</v>
      </c>
      <c r="D60" s="1286">
        <f t="shared" si="15"/>
        <v>1.4999999999999999E-2</v>
      </c>
      <c r="E60" s="822"/>
      <c r="F60" s="2503"/>
      <c r="G60" s="1284">
        <v>1.4999999999999999E-2</v>
      </c>
      <c r="H60" s="1288">
        <f t="shared" si="16"/>
        <v>1.4999999999999999E-2</v>
      </c>
      <c r="I60" s="820">
        <v>0.3</v>
      </c>
      <c r="J60" s="1285">
        <f t="shared" si="17"/>
        <v>0.03</v>
      </c>
      <c r="K60" s="1285">
        <f t="shared" si="18"/>
        <v>1.4999999999999999E-2</v>
      </c>
      <c r="L60" s="1285">
        <v>0</v>
      </c>
      <c r="M60" s="1285">
        <f t="shared" si="19"/>
        <v>-1.4999999999999999E-2</v>
      </c>
      <c r="N60" s="1285">
        <f t="shared" si="19"/>
        <v>-0.03</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t="s">
        <v>3075</v>
      </c>
      <c r="D61" s="1286">
        <f t="shared" si="15"/>
        <v>4.0000000000000001E-3</v>
      </c>
      <c r="E61" s="822"/>
      <c r="F61" s="2503"/>
      <c r="G61" s="1284">
        <v>4.0000000000000001E-3</v>
      </c>
      <c r="H61" s="1288">
        <f t="shared" si="16"/>
        <v>4.0000000000000001E-3</v>
      </c>
      <c r="I61" s="820">
        <v>0.08</v>
      </c>
      <c r="J61" s="1285">
        <f t="shared" si="17"/>
        <v>8.0000000000000002E-3</v>
      </c>
      <c r="K61" s="1285">
        <f t="shared" si="18"/>
        <v>4.0000000000000001E-3</v>
      </c>
      <c r="L61" s="1285">
        <v>0</v>
      </c>
      <c r="M61" s="1285">
        <f t="shared" si="19"/>
        <v>-4.0000000000000001E-3</v>
      </c>
      <c r="N61" s="1285">
        <f t="shared" si="19"/>
        <v>-8.0000000000000002E-3</v>
      </c>
      <c r="AA61" s="1371"/>
      <c r="AB61" s="1371"/>
      <c r="AC61" s="1371"/>
      <c r="AD61" s="1371"/>
      <c r="AE61" s="1371"/>
      <c r="AF61" s="1371"/>
      <c r="AG61" s="1371"/>
      <c r="AH61" s="1371"/>
      <c r="AI61" s="1371"/>
      <c r="AJ61" s="1371"/>
      <c r="AK61" s="1371"/>
    </row>
    <row r="62" spans="1:37" s="1370" customFormat="1" ht="50.4">
      <c r="A62" s="2872" t="s">
        <v>2953</v>
      </c>
      <c r="B62" s="2877" t="s">
        <v>2954</v>
      </c>
      <c r="C62" s="2772" t="s">
        <v>3075</v>
      </c>
      <c r="D62" s="1286">
        <f t="shared" si="15"/>
        <v>2E-3</v>
      </c>
      <c r="E62" s="822"/>
      <c r="F62" s="2503"/>
      <c r="G62" s="1284">
        <v>2E-3</v>
      </c>
      <c r="H62" s="1288">
        <f t="shared" si="16"/>
        <v>2E-3</v>
      </c>
      <c r="I62" s="820">
        <v>0.04</v>
      </c>
      <c r="J62" s="1285">
        <f t="shared" si="17"/>
        <v>4.0000000000000001E-3</v>
      </c>
      <c r="K62" s="1285">
        <f t="shared" si="18"/>
        <v>2E-3</v>
      </c>
      <c r="L62" s="1285">
        <v>0</v>
      </c>
      <c r="M62" s="1285">
        <f t="shared" si="19"/>
        <v>-2E-3</v>
      </c>
      <c r="N62" s="1285">
        <f t="shared" si="19"/>
        <v>-4.0000000000000001E-3</v>
      </c>
      <c r="AA62" s="1371"/>
      <c r="AB62" s="1371"/>
      <c r="AC62" s="1371"/>
      <c r="AD62" s="1371"/>
      <c r="AE62" s="1371"/>
      <c r="AF62" s="1371"/>
      <c r="AG62" s="1371"/>
      <c r="AH62" s="1371"/>
      <c r="AI62" s="1371"/>
      <c r="AJ62" s="1371"/>
      <c r="AK62" s="1371"/>
    </row>
    <row r="63" spans="1:37" s="1370" customFormat="1" ht="24">
      <c r="A63" s="2872" t="s">
        <v>2955</v>
      </c>
      <c r="B63" s="2876">
        <f>估价对象房地状况!C24</f>
        <v>0</v>
      </c>
      <c r="C63" s="2772" t="s">
        <v>3075</v>
      </c>
      <c r="D63" s="1286">
        <f t="shared" si="15"/>
        <v>2.5000000000000001E-3</v>
      </c>
      <c r="E63" s="822"/>
      <c r="F63" s="2503"/>
      <c r="G63" s="1284">
        <v>2.5000000000000001E-3</v>
      </c>
      <c r="H63" s="1288">
        <f t="shared" si="16"/>
        <v>2.5000000000000001E-3</v>
      </c>
      <c r="I63" s="820">
        <v>0.05</v>
      </c>
      <c r="J63" s="1285">
        <f t="shared" si="17"/>
        <v>5.0000000000000001E-3</v>
      </c>
      <c r="K63" s="1285">
        <f t="shared" si="18"/>
        <v>2.5000000000000001E-3</v>
      </c>
      <c r="L63" s="1285">
        <v>0</v>
      </c>
      <c r="M63" s="1285">
        <f t="shared" si="19"/>
        <v>-2.5000000000000001E-3</v>
      </c>
      <c r="N63" s="1285">
        <f t="shared" si="19"/>
        <v>-5.0000000000000001E-3</v>
      </c>
      <c r="AA63" s="1371"/>
      <c r="AB63" s="1371"/>
      <c r="AC63" s="1371"/>
      <c r="AD63" s="1371"/>
      <c r="AE63" s="1371"/>
      <c r="AF63" s="1371"/>
      <c r="AG63" s="1371"/>
      <c r="AH63" s="1371"/>
      <c r="AI63" s="1371"/>
      <c r="AJ63" s="1371"/>
      <c r="AK63" s="1371"/>
    </row>
    <row r="64" spans="1:37" s="1370" customFormat="1" ht="36">
      <c r="A64" s="2872" t="s">
        <v>2956</v>
      </c>
      <c r="B64" s="2878" t="s">
        <v>2957</v>
      </c>
      <c r="C64" s="2772" t="s">
        <v>3075</v>
      </c>
      <c r="D64" s="1286">
        <f t="shared" si="15"/>
        <v>2.5000000000000001E-3</v>
      </c>
      <c r="E64" s="822"/>
      <c r="F64" s="2503"/>
      <c r="G64" s="1284">
        <v>2.5000000000000001E-3</v>
      </c>
      <c r="H64" s="1288">
        <f t="shared" si="16"/>
        <v>2.5000000000000001E-3</v>
      </c>
      <c r="I64" s="820">
        <v>0.05</v>
      </c>
      <c r="J64" s="1285">
        <f t="shared" si="17"/>
        <v>5.0000000000000001E-3</v>
      </c>
      <c r="K64" s="1285">
        <f t="shared" si="18"/>
        <v>2.5000000000000001E-3</v>
      </c>
      <c r="L64" s="1285">
        <v>0</v>
      </c>
      <c r="M64" s="1285">
        <f t="shared" si="19"/>
        <v>-2.5000000000000001E-3</v>
      </c>
      <c r="N64" s="1285">
        <f t="shared" si="19"/>
        <v>-5.0000000000000001E-3</v>
      </c>
      <c r="AA64" s="1371"/>
      <c r="AB64" s="1371"/>
      <c r="AC64" s="1371"/>
      <c r="AD64" s="1371"/>
      <c r="AE64" s="1371"/>
      <c r="AF64" s="1371"/>
      <c r="AG64" s="1371"/>
      <c r="AH64" s="1371"/>
      <c r="AI64" s="1371"/>
      <c r="AJ64" s="1371"/>
      <c r="AK64" s="1371"/>
    </row>
    <row r="65" spans="1:37" s="1370" customFormat="1" ht="26.4">
      <c r="A65" s="2872" t="s">
        <v>2958</v>
      </c>
      <c r="B65" s="1725" t="str">
        <f>估价对象房地状况!C21</f>
        <v>估价对象所在区域公共配套设施齐备情况</v>
      </c>
      <c r="C65" s="2772" t="s">
        <v>3075</v>
      </c>
      <c r="D65" s="1286">
        <f t="shared" si="15"/>
        <v>3.0000000000000001E-3</v>
      </c>
      <c r="E65" s="822"/>
      <c r="F65" s="2503"/>
      <c r="G65" s="1284">
        <v>3.0000000000000001E-3</v>
      </c>
      <c r="H65" s="1288">
        <f t="shared" si="16"/>
        <v>3.0000000000000001E-3</v>
      </c>
      <c r="I65" s="820">
        <v>0.06</v>
      </c>
      <c r="J65" s="1285">
        <f t="shared" si="17"/>
        <v>6.0000000000000001E-3</v>
      </c>
      <c r="K65" s="1285">
        <f t="shared" si="18"/>
        <v>3.0000000000000001E-3</v>
      </c>
      <c r="L65" s="1285">
        <v>0</v>
      </c>
      <c r="M65" s="1285">
        <f t="shared" si="19"/>
        <v>-3.0000000000000001E-3</v>
      </c>
      <c r="N65" s="1285">
        <f t="shared" si="19"/>
        <v>-6.0000000000000001E-3</v>
      </c>
      <c r="AA65" s="1371"/>
      <c r="AB65" s="1371"/>
      <c r="AC65" s="1371"/>
      <c r="AD65" s="1371"/>
      <c r="AE65" s="1371"/>
      <c r="AF65" s="1371"/>
      <c r="AG65" s="1371"/>
      <c r="AH65" s="1371"/>
      <c r="AI65" s="1371"/>
      <c r="AJ65" s="1371"/>
      <c r="AK65" s="1371"/>
    </row>
    <row r="66" spans="1:37" s="1370" customFormat="1" ht="26.4">
      <c r="A66" s="2872" t="s">
        <v>2959</v>
      </c>
      <c r="B66" s="1725" t="str">
        <f>估价对象房地状况!C22</f>
        <v>估价对象所在区域基础设施水平</v>
      </c>
      <c r="C66" s="2772" t="s">
        <v>3076</v>
      </c>
      <c r="D66" s="1286">
        <f t="shared" si="15"/>
        <v>1.2E-2</v>
      </c>
      <c r="E66" s="822"/>
      <c r="F66" s="2503"/>
      <c r="G66" s="1284">
        <v>6.0000000000000001E-3</v>
      </c>
      <c r="H66" s="1288">
        <f t="shared" si="16"/>
        <v>6.0000000000000001E-3</v>
      </c>
      <c r="I66" s="820">
        <v>0.12</v>
      </c>
      <c r="J66" s="1285">
        <f t="shared" si="17"/>
        <v>1.2E-2</v>
      </c>
      <c r="K66" s="1285">
        <f t="shared" si="18"/>
        <v>6.0000000000000001E-3</v>
      </c>
      <c r="L66" s="1285">
        <v>0</v>
      </c>
      <c r="M66" s="1285">
        <f t="shared" si="19"/>
        <v>-6.0000000000000001E-3</v>
      </c>
      <c r="N66" s="1285">
        <f t="shared" si="19"/>
        <v>-1.2E-2</v>
      </c>
      <c r="AA66" s="1371"/>
      <c r="AB66" s="1371"/>
      <c r="AC66" s="1371"/>
      <c r="AD66" s="1371"/>
      <c r="AE66" s="1371"/>
      <c r="AF66" s="1371"/>
      <c r="AG66" s="1371"/>
      <c r="AH66" s="1371"/>
      <c r="AI66" s="1371"/>
      <c r="AJ66" s="1371"/>
      <c r="AK66" s="1371"/>
    </row>
    <row r="67" spans="1:37" s="1370" customFormat="1" ht="40.200000000000003" thickBot="1">
      <c r="A67" s="2880" t="s">
        <v>2960</v>
      </c>
      <c r="B67" s="2882" t="str">
        <f>估价对象房地状况!C20</f>
        <v>区域自然环境：；人文环境；综合评价环境状况一般</v>
      </c>
      <c r="C67" s="2772" t="s">
        <v>3075</v>
      </c>
      <c r="D67" s="1286">
        <f t="shared" si="15"/>
        <v>3.0000000000000001E-3</v>
      </c>
      <c r="E67" s="825"/>
      <c r="F67" s="2503"/>
      <c r="G67" s="1284">
        <v>3.0000000000000001E-3</v>
      </c>
      <c r="H67" s="1288">
        <f t="shared" si="16"/>
        <v>3.0000000000000001E-3</v>
      </c>
      <c r="I67" s="824">
        <v>0.06</v>
      </c>
      <c r="J67" s="1285">
        <f t="shared" si="17"/>
        <v>6.0000000000000001E-3</v>
      </c>
      <c r="K67" s="1285">
        <f t="shared" si="18"/>
        <v>3.0000000000000001E-3</v>
      </c>
      <c r="L67" s="1285">
        <v>0</v>
      </c>
      <c r="M67" s="1285">
        <f t="shared" si="19"/>
        <v>-3.0000000000000001E-3</v>
      </c>
      <c r="N67" s="1285">
        <f t="shared" si="19"/>
        <v>-6.0000000000000001E-3</v>
      </c>
      <c r="AA67" s="1371"/>
      <c r="AB67" s="1371"/>
      <c r="AC67" s="1371"/>
      <c r="AD67" s="1371"/>
      <c r="AE67" s="1371"/>
      <c r="AF67" s="1371"/>
      <c r="AG67" s="1371"/>
      <c r="AH67" s="1371"/>
      <c r="AI67" s="1371"/>
      <c r="AJ67" s="1371"/>
      <c r="AK67" s="1371"/>
    </row>
    <row r="68" spans="1:37" s="1370" customFormat="1" ht="14.4">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2" t="s">
        <v>2942</v>
      </c>
      <c r="B69" s="1809"/>
      <c r="C69" s="1809" t="s">
        <v>2944</v>
      </c>
      <c r="D69" s="1809" t="s">
        <v>2945</v>
      </c>
      <c r="E69" s="819" t="s">
        <v>2946</v>
      </c>
      <c r="F69" s="2873" t="s">
        <v>2962</v>
      </c>
      <c r="G69" s="1809" t="s">
        <v>754</v>
      </c>
      <c r="H69" s="2874" t="s">
        <v>2948</v>
      </c>
      <c r="I69" s="1809" t="s">
        <v>2949</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66">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2" t="s">
        <v>2951</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2" t="s">
        <v>2966</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2" t="s">
        <v>2958</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2" t="s">
        <v>2959</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36">
      <c r="A76" s="2872" t="s">
        <v>2956</v>
      </c>
      <c r="B76" s="2878" t="s">
        <v>2957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9.6">
      <c r="A77" s="2872" t="s">
        <v>2960</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36.6" thickBot="1">
      <c r="A78" s="2880" t="s">
        <v>2967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4.4">
      <c r="A79" s="2868" t="s">
        <v>2968</v>
      </c>
      <c r="B79" s="2869">
        <f>1+E81</f>
        <v>1</v>
      </c>
      <c r="C79" s="814"/>
      <c r="D79" s="814"/>
      <c r="E79" s="815"/>
      <c r="F79" s="2871"/>
      <c r="G79" s="6"/>
      <c r="H79" s="6"/>
      <c r="I79" s="6"/>
      <c r="J79" s="7"/>
      <c r="K79" s="7"/>
      <c r="L79" s="7"/>
      <c r="M79" s="7"/>
      <c r="N79" s="7"/>
      <c r="Z79" s="2722"/>
      <c r="AA79" s="2790"/>
      <c r="AG79" s="1372"/>
      <c r="AK79" s="2790"/>
    </row>
    <row r="80" spans="1:37" ht="25.2">
      <c r="A80" s="2872" t="s">
        <v>2942</v>
      </c>
      <c r="B80" s="1809"/>
      <c r="C80" s="1809" t="s">
        <v>2944</v>
      </c>
      <c r="D80" s="1809" t="s">
        <v>2945</v>
      </c>
      <c r="E80" s="819" t="s">
        <v>2946</v>
      </c>
      <c r="F80" s="2873" t="s">
        <v>2962</v>
      </c>
      <c r="G80" s="1809" t="s">
        <v>754</v>
      </c>
      <c r="H80" s="2874" t="s">
        <v>2948</v>
      </c>
      <c r="I80" s="1809" t="s">
        <v>2949</v>
      </c>
      <c r="J80" s="603" t="s">
        <v>2598</v>
      </c>
      <c r="K80" s="603" t="s">
        <v>2599</v>
      </c>
      <c r="L80" s="603" t="s">
        <v>2600</v>
      </c>
      <c r="M80" s="603" t="s">
        <v>2601</v>
      </c>
      <c r="N80" s="603" t="s">
        <v>2602</v>
      </c>
      <c r="Z80" s="2722"/>
      <c r="AA80" s="2790"/>
      <c r="AG80" s="1372"/>
      <c r="AK80" s="2790"/>
    </row>
    <row r="81" spans="1:37" ht="39.6">
      <c r="A81" s="2872" t="s">
        <v>2969</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66">
      <c r="A82" s="2872" t="s">
        <v>2951</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3.8">
      <c r="A84" s="2872" t="s">
        <v>2966</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6.4">
      <c r="A85" s="2872" t="s">
        <v>2958</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6.4">
      <c r="A86" s="2872" t="s">
        <v>2959</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36">
      <c r="A87" s="2872" t="s">
        <v>2956</v>
      </c>
      <c r="B87" s="2878" t="s">
        <v>2970</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53.4" thickBot="1">
      <c r="A88" s="2880" t="s">
        <v>2971</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55" t="s">
        <v>2972</v>
      </c>
      <c r="B90" s="3255"/>
      <c r="C90" s="3255"/>
      <c r="D90" s="3255"/>
      <c r="E90" s="3255"/>
      <c r="F90" s="3255"/>
      <c r="G90" s="3255"/>
      <c r="H90" s="3255"/>
      <c r="I90" s="3255"/>
      <c r="J90" s="3255"/>
      <c r="K90" s="2886"/>
      <c r="L90" s="2886"/>
      <c r="M90" s="2886"/>
      <c r="N90" s="2886"/>
    </row>
    <row r="91" spans="1:37">
      <c r="A91" s="3257" t="s">
        <v>2973</v>
      </c>
      <c r="B91" s="3257" t="s">
        <v>2974</v>
      </c>
      <c r="C91" s="2840" t="s">
        <v>2975</v>
      </c>
      <c r="D91" s="2841"/>
      <c r="E91" s="2841"/>
      <c r="F91" s="2841"/>
      <c r="G91" s="2841"/>
      <c r="H91" s="2841"/>
      <c r="I91" s="2841"/>
      <c r="J91" s="2887"/>
      <c r="K91" s="2888"/>
      <c r="L91" s="2888"/>
      <c r="M91" s="2888"/>
      <c r="N91" s="2888"/>
    </row>
    <row r="92" spans="1:37">
      <c r="A92" s="3257"/>
      <c r="B92" s="3257"/>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58"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9"/>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9"/>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9"/>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9"/>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9"/>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9"/>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60"/>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58" t="s">
        <v>2977</v>
      </c>
      <c r="B101" s="2893" t="s">
        <v>2978</v>
      </c>
      <c r="C101" s="2894">
        <f>$G$3</f>
        <v>3.61</v>
      </c>
      <c r="D101" s="2894">
        <f t="shared" ref="D101:N101" si="31">$G$3</f>
        <v>3.61</v>
      </c>
      <c r="E101" s="2894">
        <f t="shared" si="31"/>
        <v>3.61</v>
      </c>
      <c r="F101" s="2894">
        <f t="shared" si="31"/>
        <v>3.61</v>
      </c>
      <c r="G101" s="2894">
        <f t="shared" si="31"/>
        <v>3.61</v>
      </c>
      <c r="H101" s="2894">
        <f t="shared" si="31"/>
        <v>3.61</v>
      </c>
      <c r="I101" s="2894">
        <f t="shared" si="31"/>
        <v>3.61</v>
      </c>
      <c r="J101" s="2894">
        <f t="shared" si="31"/>
        <v>3.61</v>
      </c>
      <c r="K101" s="2894">
        <f t="shared" si="31"/>
        <v>3.61</v>
      </c>
      <c r="L101" s="2894">
        <f t="shared" si="31"/>
        <v>3.61</v>
      </c>
      <c r="M101" s="2894">
        <f t="shared" si="31"/>
        <v>3.61</v>
      </c>
      <c r="N101" s="2894">
        <f t="shared" si="31"/>
        <v>3.61</v>
      </c>
    </row>
    <row r="102" spans="1:14">
      <c r="A102" s="3259"/>
      <c r="B102" s="2889">
        <v>1</v>
      </c>
      <c r="C102" s="2890">
        <f>1.9362/C101</f>
        <v>0.53634349030470918</v>
      </c>
      <c r="D102" s="2890">
        <f>1.9362/D101</f>
        <v>0.53634349030470918</v>
      </c>
      <c r="E102" s="2890">
        <f>1.8629/E101</f>
        <v>0.51603878116343493</v>
      </c>
      <c r="F102" s="2890">
        <f>1.8629/F101</f>
        <v>0.51603878116343493</v>
      </c>
      <c r="G102" s="2890">
        <f>1.8629/G101</f>
        <v>0.51603878116343493</v>
      </c>
      <c r="H102" s="2890">
        <f>1.8629/H101</f>
        <v>0.51603878116343493</v>
      </c>
      <c r="I102" s="2890">
        <f>1.8629/I101</f>
        <v>0.51603878116343493</v>
      </c>
      <c r="J102" s="2890">
        <f>1.942/J101</f>
        <v>0.53795013850415518</v>
      </c>
      <c r="K102" s="2890">
        <f>1.942/K101</f>
        <v>0.53795013850415518</v>
      </c>
      <c r="L102" s="2890">
        <f>1.942/L101</f>
        <v>0.53795013850415518</v>
      </c>
      <c r="M102" s="2890">
        <f>1.942/M101</f>
        <v>0.53795013850415518</v>
      </c>
      <c r="N102" s="2890">
        <f>1.942/N101</f>
        <v>0.53795013850415518</v>
      </c>
    </row>
    <row r="103" spans="1:14">
      <c r="A103" s="3259"/>
      <c r="B103" s="2889">
        <v>2</v>
      </c>
      <c r="C103" s="2890">
        <f>1.4198/C101</f>
        <v>0.39329639889196677</v>
      </c>
      <c r="D103" s="2890">
        <f>1.4198/D101</f>
        <v>0.39329639889196677</v>
      </c>
      <c r="E103" s="2890">
        <f>1.3372/E101</f>
        <v>0.37041551246537396</v>
      </c>
      <c r="F103" s="2890">
        <f>1.3372/F101</f>
        <v>0.37041551246537396</v>
      </c>
      <c r="G103" s="2890">
        <f>1.3372/G101</f>
        <v>0.37041551246537396</v>
      </c>
      <c r="H103" s="2890">
        <f>1.3372/H101</f>
        <v>0.37041551246537396</v>
      </c>
      <c r="I103" s="2890">
        <f>1.3372/I101</f>
        <v>0.37041551246537396</v>
      </c>
      <c r="J103" s="2890">
        <f>1.2799/J101</f>
        <v>0.35454293628808864</v>
      </c>
      <c r="K103" s="2890">
        <f>1.2799/K101</f>
        <v>0.35454293628808864</v>
      </c>
      <c r="L103" s="2890">
        <f>1.2799/L101</f>
        <v>0.35454293628808864</v>
      </c>
      <c r="M103" s="2890">
        <f>1.2799/M101</f>
        <v>0.35454293628808864</v>
      </c>
      <c r="N103" s="2890">
        <f>1.2799/N101</f>
        <v>0.35454293628808864</v>
      </c>
    </row>
    <row r="104" spans="1:14">
      <c r="A104" s="3259"/>
      <c r="B104" s="2889">
        <v>3</v>
      </c>
      <c r="C104" s="2890">
        <f>1.1594/C101</f>
        <v>0.32116343490304711</v>
      </c>
      <c r="D104" s="2890">
        <f>1.1594/D101</f>
        <v>0.32116343490304711</v>
      </c>
      <c r="E104" s="2890">
        <f>1.0788/E101</f>
        <v>0.29883656509695289</v>
      </c>
      <c r="F104" s="2890">
        <f>1.0788/F101</f>
        <v>0.29883656509695289</v>
      </c>
      <c r="G104" s="2890">
        <f>1.0788/G101</f>
        <v>0.29883656509695289</v>
      </c>
      <c r="H104" s="2890">
        <f>1.0788/H101</f>
        <v>0.29883656509695289</v>
      </c>
      <c r="I104" s="2890">
        <f>1.0788/I101</f>
        <v>0.29883656509695289</v>
      </c>
      <c r="J104" s="2890">
        <f>1.0072/J101</f>
        <v>0.27900277008310254</v>
      </c>
      <c r="K104" s="2890">
        <f>1.0072/K101</f>
        <v>0.27900277008310254</v>
      </c>
      <c r="L104" s="2890">
        <f>1.0072/L101</f>
        <v>0.27900277008310254</v>
      </c>
      <c r="M104" s="2890">
        <f>1.0072/M101</f>
        <v>0.27900277008310254</v>
      </c>
      <c r="N104" s="2890">
        <f>1.0072/N101</f>
        <v>0.27900277008310254</v>
      </c>
    </row>
    <row r="105" spans="1:14">
      <c r="A105" s="3259"/>
      <c r="B105" s="2889">
        <v>4</v>
      </c>
      <c r="C105" s="2890">
        <f>0.9622/C101</f>
        <v>0.26653739612188371</v>
      </c>
      <c r="D105" s="2890">
        <f>0.9622/D101</f>
        <v>0.26653739612188371</v>
      </c>
      <c r="E105" s="2890">
        <f>0.8656/E101</f>
        <v>0.23977839335180057</v>
      </c>
      <c r="F105" s="2890">
        <f>0.8656/F101</f>
        <v>0.23977839335180057</v>
      </c>
      <c r="G105" s="2890">
        <f>0.8656/G101</f>
        <v>0.23977839335180057</v>
      </c>
      <c r="H105" s="2890">
        <f>0.8656/H101</f>
        <v>0.23977839335180057</v>
      </c>
      <c r="I105" s="2890">
        <f>0.8656/I101</f>
        <v>0.23977839335180057</v>
      </c>
      <c r="J105" s="2890">
        <f>0.7525/J101</f>
        <v>0.20844875346260386</v>
      </c>
      <c r="K105" s="2890">
        <f>0.7525/K101</f>
        <v>0.20844875346260386</v>
      </c>
      <c r="L105" s="2890">
        <f>0.7525/L101</f>
        <v>0.20844875346260386</v>
      </c>
      <c r="M105" s="2890">
        <f>0.7525/M101</f>
        <v>0.20844875346260386</v>
      </c>
      <c r="N105" s="2890">
        <f>0.7525/N101</f>
        <v>0.20844875346260386</v>
      </c>
    </row>
    <row r="106" spans="1:14">
      <c r="A106" s="3259"/>
      <c r="B106" s="2889">
        <v>5</v>
      </c>
      <c r="C106" s="2890">
        <f>0.8417/C101</f>
        <v>0.23315789473684212</v>
      </c>
      <c r="D106" s="2890">
        <f>0.8417/D101</f>
        <v>0.23315789473684212</v>
      </c>
      <c r="E106" s="2890">
        <f>0.7371/E101</f>
        <v>0.20418282548476455</v>
      </c>
      <c r="F106" s="2890">
        <f>0.7371/F101</f>
        <v>0.20418282548476455</v>
      </c>
      <c r="G106" s="2890">
        <f>0.7371/G101</f>
        <v>0.20418282548476455</v>
      </c>
      <c r="H106" s="2890">
        <f>0.7371/H101</f>
        <v>0.20418282548476455</v>
      </c>
      <c r="I106" s="2890">
        <f>0.7371/I101</f>
        <v>0.20418282548476455</v>
      </c>
      <c r="J106" s="2890">
        <f>0.5659/J101</f>
        <v>0.15675900277008309</v>
      </c>
      <c r="K106" s="2890">
        <f>0.5659/K101</f>
        <v>0.15675900277008309</v>
      </c>
      <c r="L106" s="2890">
        <f>0.5659/L101</f>
        <v>0.15675900277008309</v>
      </c>
      <c r="M106" s="2890">
        <f>0.5659/M101</f>
        <v>0.15675900277008309</v>
      </c>
      <c r="N106" s="2890">
        <f>0.5659/N101</f>
        <v>0.15675900277008309</v>
      </c>
    </row>
    <row r="107" spans="1:14">
      <c r="A107" s="3259"/>
      <c r="B107" s="2889">
        <v>6</v>
      </c>
      <c r="C107" s="2890">
        <f>0.7608/C101</f>
        <v>0.21074792243767315</v>
      </c>
      <c r="D107" s="2890">
        <f>0.7608/D101</f>
        <v>0.21074792243767315</v>
      </c>
      <c r="E107" s="2890">
        <f>0.6482/E101</f>
        <v>0.17955678670360112</v>
      </c>
      <c r="F107" s="2890">
        <f>0.6482/F101</f>
        <v>0.17955678670360112</v>
      </c>
      <c r="G107" s="2890">
        <f>0.6482/G101</f>
        <v>0.17955678670360112</v>
      </c>
      <c r="H107" s="2890">
        <f>0.6482/H101</f>
        <v>0.17955678670360112</v>
      </c>
      <c r="I107" s="2890">
        <f>0.6482/I101</f>
        <v>0.17955678670360112</v>
      </c>
      <c r="J107" s="2890">
        <f>0.4525/J101</f>
        <v>0.12534626038781163</v>
      </c>
      <c r="K107" s="2890">
        <f>0.4525/K101</f>
        <v>0.12534626038781163</v>
      </c>
      <c r="L107" s="2890">
        <f>0.4525/L101</f>
        <v>0.12534626038781163</v>
      </c>
      <c r="M107" s="2890">
        <f>0.4525/M101</f>
        <v>0.12534626038781163</v>
      </c>
      <c r="N107" s="2890">
        <f>0.4525/N101</f>
        <v>0.12534626038781163</v>
      </c>
    </row>
    <row r="108" spans="1:14">
      <c r="A108" s="3259"/>
      <c r="B108" s="3116"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60"/>
      <c r="B109" s="3117"/>
      <c r="C109" s="2892">
        <f>(-0.163*(C108^2)-0.59*C108+7617)*(10^(-4))/C101</f>
        <v>0.21099722991689754</v>
      </c>
      <c r="D109" s="2892">
        <f>(-0.163*(D108^2)-0.59*D108+7617)*(10^(-4))/D101</f>
        <v>0.21099722991689754</v>
      </c>
      <c r="E109" s="2892">
        <f>(-0.161*(E108^2)-7.509*E108+6533)*(10^(-4))/E101</f>
        <v>0.18096952908587258</v>
      </c>
      <c r="F109" s="2892">
        <f>(-0.161*(F108^2)-7.509*F108+6533)*(10^(-4))/F101</f>
        <v>0.18096952908587258</v>
      </c>
      <c r="G109" s="2892">
        <f>(-0.161*(G108^2)-7.509*G108+6533)*(10^(-4))/G101</f>
        <v>0.18096952908587258</v>
      </c>
      <c r="H109" s="2892">
        <f>(-0.161*(H108^2)-7.509*H108+6533)*(10^(-4))/H101</f>
        <v>0.18096952908587258</v>
      </c>
      <c r="I109" s="2892">
        <f>(-0.161*(I108^2)-7.509*I108+6533)*(10^(-4))/I101</f>
        <v>0.18096952908587258</v>
      </c>
      <c r="J109" s="2892">
        <f>(-0.214*(J108^2)-21.991*J108+4665)*(10^(-4))/J101</f>
        <v>0.12922437673130194</v>
      </c>
      <c r="K109" s="2892">
        <f>(-0.214*(K108^2)-21.991*K108+4665)*(10^(-4))/K101</f>
        <v>0.12922437673130194</v>
      </c>
      <c r="L109" s="2892">
        <f>(-0.214*(L108^2)-21.991*L108+4665)*(10^(-4))/L101</f>
        <v>0.12922437673130194</v>
      </c>
      <c r="M109" s="2892">
        <f>(-0.214*(M108^2)-21.991*M108+4665)*(10^(-4))/M101</f>
        <v>0.12922437673130194</v>
      </c>
      <c r="N109" s="2892">
        <f>(-0.214*(N108^2)-21.991*N108+4665)*(10^(-4))/N101</f>
        <v>0.12922437673130194</v>
      </c>
    </row>
    <row r="110" spans="1:14">
      <c r="A110" s="3256" t="s">
        <v>2980</v>
      </c>
      <c r="B110" s="3256"/>
      <c r="C110" s="3256"/>
      <c r="D110" s="3256"/>
      <c r="E110" s="3256"/>
      <c r="F110" s="3256"/>
      <c r="G110" s="3256"/>
      <c r="H110" s="3256"/>
      <c r="I110" s="3256"/>
      <c r="J110" s="3256"/>
      <c r="K110" s="2895"/>
      <c r="L110" s="2895"/>
      <c r="M110" s="2895"/>
      <c r="N110" s="2895"/>
    </row>
    <row r="112" spans="1:14" ht="13.8" thickBot="1"/>
    <row r="113" spans="1:13" ht="25.8" thickBot="1">
      <c r="A113" s="903" t="s">
        <v>2981</v>
      </c>
      <c r="B113" s="1287">
        <f>G3</f>
        <v>3.61</v>
      </c>
      <c r="C113" s="904" t="s">
        <v>2982</v>
      </c>
      <c r="D113" s="905">
        <f>SUMPRODUCT((A115:A118=F113)*(B114:M114=H113)*B115:M118)</f>
        <v>0.90569999999999995</v>
      </c>
      <c r="E113" s="2726" t="s">
        <v>2815</v>
      </c>
      <c r="F113" s="2897" t="str">
        <f>E2</f>
        <v>办公</v>
      </c>
      <c r="G113" s="2726" t="s">
        <v>2816</v>
      </c>
      <c r="H113" s="2897" t="str">
        <f>G2</f>
        <v>二级</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2880</v>
      </c>
      <c r="B115" s="910">
        <f>ROUND(0.9335-0.0094*B113,4)</f>
        <v>0.89959999999999996</v>
      </c>
      <c r="C115" s="910">
        <f>B115</f>
        <v>0.89959999999999996</v>
      </c>
      <c r="D115" s="910">
        <f>ROUND(0.8331-0.0109*B113,4)</f>
        <v>0.79379999999999995</v>
      </c>
      <c r="E115" s="910">
        <f>D115</f>
        <v>0.79379999999999995</v>
      </c>
      <c r="F115" s="910">
        <f>E115</f>
        <v>0.79379999999999995</v>
      </c>
      <c r="G115" s="910">
        <f>F115</f>
        <v>0.79379999999999995</v>
      </c>
      <c r="H115" s="910">
        <f>G115</f>
        <v>0.79379999999999995</v>
      </c>
      <c r="I115" s="910">
        <f>ROUND(0.689-0.0155*B113,4)</f>
        <v>0.63300000000000001</v>
      </c>
      <c r="J115" s="910">
        <f t="shared" ref="J115:M118" si="33">I115</f>
        <v>0.63300000000000001</v>
      </c>
      <c r="K115" s="910">
        <f t="shared" si="33"/>
        <v>0.63300000000000001</v>
      </c>
      <c r="L115" s="910">
        <f t="shared" si="33"/>
        <v>0.63300000000000001</v>
      </c>
      <c r="M115" s="911">
        <f t="shared" si="33"/>
        <v>0.63300000000000001</v>
      </c>
    </row>
    <row r="116" spans="1:13">
      <c r="A116" s="909" t="s">
        <v>2881</v>
      </c>
      <c r="B116" s="910">
        <f>ROUND(0.949-0.012*B113,4)</f>
        <v>0.90569999999999995</v>
      </c>
      <c r="C116" s="910">
        <f>B116</f>
        <v>0.90569999999999995</v>
      </c>
      <c r="D116" s="910">
        <f>ROUND(0.8567-0.013*B113,4)</f>
        <v>0.80979999999999996</v>
      </c>
      <c r="E116" s="910">
        <f t="shared" ref="E116:H117" si="34">D116</f>
        <v>0.80979999999999996</v>
      </c>
      <c r="F116" s="910">
        <f t="shared" si="34"/>
        <v>0.80979999999999996</v>
      </c>
      <c r="G116" s="910">
        <f t="shared" si="34"/>
        <v>0.80979999999999996</v>
      </c>
      <c r="H116" s="910">
        <f t="shared" si="34"/>
        <v>0.80979999999999996</v>
      </c>
      <c r="I116" s="910">
        <f>ROUND(0.7694-0.014*B113,4)</f>
        <v>0.71889999999999998</v>
      </c>
      <c r="J116" s="910">
        <f t="shared" si="33"/>
        <v>0.71889999999999998</v>
      </c>
      <c r="K116" s="910">
        <f t="shared" si="33"/>
        <v>0.71889999999999998</v>
      </c>
      <c r="L116" s="910">
        <f t="shared" si="33"/>
        <v>0.71889999999999998</v>
      </c>
      <c r="M116" s="911">
        <f t="shared" si="33"/>
        <v>0.71889999999999998</v>
      </c>
    </row>
    <row r="117" spans="1:13">
      <c r="A117" s="909" t="s">
        <v>2882</v>
      </c>
      <c r="B117" s="910">
        <f>ROUND(0.8808-0.006*B113,4)</f>
        <v>0.85909999999999997</v>
      </c>
      <c r="C117" s="910">
        <f>B117</f>
        <v>0.85909999999999997</v>
      </c>
      <c r="D117" s="910">
        <f>ROUND(0.8748-0.008*B113,4)</f>
        <v>0.84589999999999999</v>
      </c>
      <c r="E117" s="910">
        <f t="shared" si="34"/>
        <v>0.84589999999999999</v>
      </c>
      <c r="F117" s="910">
        <f t="shared" si="34"/>
        <v>0.84589999999999999</v>
      </c>
      <c r="G117" s="910">
        <f t="shared" si="34"/>
        <v>0.84589999999999999</v>
      </c>
      <c r="H117" s="910">
        <f t="shared" si="34"/>
        <v>0.84589999999999999</v>
      </c>
      <c r="I117" s="910">
        <f>ROUND(0.7412-0.0095*B113,4)</f>
        <v>0.70689999999999997</v>
      </c>
      <c r="J117" s="910">
        <f t="shared" si="33"/>
        <v>0.70689999999999997</v>
      </c>
      <c r="K117" s="910">
        <f t="shared" si="33"/>
        <v>0.70689999999999997</v>
      </c>
      <c r="L117" s="910">
        <f t="shared" si="33"/>
        <v>0.70689999999999997</v>
      </c>
      <c r="M117" s="911">
        <f t="shared" si="33"/>
        <v>0.70689999999999997</v>
      </c>
    </row>
    <row r="118" spans="1:13" ht="13.8" thickBot="1">
      <c r="A118" s="714" t="s">
        <v>2883</v>
      </c>
      <c r="B118" s="912">
        <f>ROUND(0.7275-0.01*B113,4)</f>
        <v>0.69140000000000001</v>
      </c>
      <c r="C118" s="912">
        <f>B118</f>
        <v>0.69140000000000001</v>
      </c>
      <c r="D118" s="912">
        <f>ROUND(0.7043-0.012*B113,4)</f>
        <v>0.66100000000000003</v>
      </c>
      <c r="E118" s="912">
        <f>D118</f>
        <v>0.66100000000000003</v>
      </c>
      <c r="F118" s="912">
        <f>E118</f>
        <v>0.66100000000000003</v>
      </c>
      <c r="G118" s="912">
        <f>ROUND(0.6299-0.0122*B113,4)</f>
        <v>0.58589999999999998</v>
      </c>
      <c r="H118" s="912">
        <f>G118</f>
        <v>0.58589999999999998</v>
      </c>
      <c r="I118" s="912">
        <f>ROUND(0.5667-0.0136*B113,4)</f>
        <v>0.51759999999999995</v>
      </c>
      <c r="J118" s="912">
        <f t="shared" si="33"/>
        <v>0.51759999999999995</v>
      </c>
      <c r="K118" s="912">
        <f t="shared" si="33"/>
        <v>0.51759999999999995</v>
      </c>
      <c r="L118" s="912">
        <f t="shared" si="33"/>
        <v>0.51759999999999995</v>
      </c>
      <c r="M118" s="913">
        <f t="shared" si="33"/>
        <v>0.51759999999999995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6" t="s">
        <v>614</v>
      </c>
      <c r="C61" s="818" t="s">
        <v>615</v>
      </c>
      <c r="D61" s="818" t="s">
        <v>616</v>
      </c>
      <c r="E61" s="895">
        <v>0.5</v>
      </c>
      <c r="F61" s="882">
        <v>80</v>
      </c>
    </row>
    <row r="62" spans="1:8" s="878" customFormat="1" ht="36">
      <c r="A62" s="882">
        <v>2</v>
      </c>
      <c r="B62" s="3266"/>
      <c r="C62" s="818" t="s">
        <v>617</v>
      </c>
      <c r="D62" s="818" t="s">
        <v>618</v>
      </c>
      <c r="E62" s="895">
        <v>0.5</v>
      </c>
      <c r="F62" s="882">
        <v>80</v>
      </c>
    </row>
    <row r="63" spans="1:8" s="878" customFormat="1" ht="48">
      <c r="A63" s="882">
        <v>3</v>
      </c>
      <c r="B63" s="3266"/>
      <c r="C63" s="818" t="s">
        <v>619</v>
      </c>
      <c r="D63" s="818" t="s">
        <v>620</v>
      </c>
      <c r="E63" s="895">
        <v>0.5</v>
      </c>
      <c r="F63" s="882">
        <v>80</v>
      </c>
    </row>
    <row r="64" spans="1:8" s="878" customFormat="1" ht="48">
      <c r="A64" s="882">
        <v>4</v>
      </c>
      <c r="B64" s="3266"/>
      <c r="C64" s="818" t="s">
        <v>621</v>
      </c>
      <c r="D64" s="818" t="s">
        <v>622</v>
      </c>
      <c r="E64" s="895">
        <v>0.4</v>
      </c>
      <c r="F64" s="882">
        <v>60</v>
      </c>
    </row>
    <row r="65" spans="1:6" s="878" customFormat="1" ht="48">
      <c r="A65" s="882">
        <v>5</v>
      </c>
      <c r="B65" s="3266"/>
      <c r="C65" s="818" t="s">
        <v>623</v>
      </c>
      <c r="D65" s="818" t="s">
        <v>624</v>
      </c>
      <c r="E65" s="895">
        <v>0.2</v>
      </c>
      <c r="F65" s="882">
        <v>30</v>
      </c>
    </row>
    <row r="66" spans="1:6" s="878" customFormat="1" ht="48">
      <c r="A66" s="882">
        <v>6</v>
      </c>
      <c r="B66" s="3266"/>
      <c r="C66" s="818" t="s">
        <v>625</v>
      </c>
      <c r="D66" s="818" t="s">
        <v>626</v>
      </c>
      <c r="E66" s="895">
        <v>0.3</v>
      </c>
      <c r="F66" s="882">
        <v>50</v>
      </c>
    </row>
    <row r="67" spans="1:6" s="878" customFormat="1" ht="48">
      <c r="A67" s="882">
        <v>7</v>
      </c>
      <c r="B67" s="3266"/>
      <c r="C67" s="818" t="s">
        <v>627</v>
      </c>
      <c r="D67" s="818" t="s">
        <v>628</v>
      </c>
      <c r="E67" s="895">
        <v>0.2</v>
      </c>
      <c r="F67" s="882">
        <v>30</v>
      </c>
    </row>
    <row r="68" spans="1:6" s="878" customFormat="1" ht="48">
      <c r="A68" s="882">
        <v>8</v>
      </c>
      <c r="B68" s="3266"/>
      <c r="C68" s="818" t="s">
        <v>629</v>
      </c>
      <c r="D68" s="818" t="s">
        <v>630</v>
      </c>
      <c r="E68" s="895">
        <v>0.2</v>
      </c>
      <c r="F68" s="882">
        <v>30</v>
      </c>
    </row>
    <row r="69" spans="1:6" s="878" customFormat="1" ht="48">
      <c r="A69" s="882">
        <v>9</v>
      </c>
      <c r="B69" s="3266"/>
      <c r="C69" s="818" t="s">
        <v>631</v>
      </c>
      <c r="D69" s="818" t="s">
        <v>632</v>
      </c>
      <c r="E69" s="895">
        <v>0.2</v>
      </c>
      <c r="F69" s="882">
        <v>30</v>
      </c>
    </row>
    <row r="70" spans="1:6" s="878" customFormat="1" ht="60">
      <c r="A70" s="882">
        <v>10</v>
      </c>
      <c r="B70" s="3266"/>
      <c r="C70" s="818" t="s">
        <v>633</v>
      </c>
      <c r="D70" s="818" t="s">
        <v>634</v>
      </c>
      <c r="E70" s="895">
        <v>0.2</v>
      </c>
      <c r="F70" s="882">
        <v>30</v>
      </c>
    </row>
    <row r="71" spans="1:6" s="878" customFormat="1" ht="60">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36">
      <c r="A73" s="882">
        <v>13</v>
      </c>
      <c r="B73" s="3266"/>
      <c r="C73" s="818" t="s">
        <v>639</v>
      </c>
      <c r="D73" s="818" t="s">
        <v>640</v>
      </c>
      <c r="E73" s="895">
        <v>0.4</v>
      </c>
      <c r="F73" s="882">
        <v>60</v>
      </c>
    </row>
    <row r="74" spans="1:6" s="878" customFormat="1" ht="36">
      <c r="A74" s="882">
        <v>14</v>
      </c>
      <c r="B74" s="3266"/>
      <c r="C74" s="818" t="s">
        <v>641</v>
      </c>
      <c r="D74" s="818" t="s">
        <v>642</v>
      </c>
      <c r="E74" s="895">
        <v>0.2</v>
      </c>
      <c r="F74" s="882">
        <v>30</v>
      </c>
    </row>
    <row r="75" spans="1:6" s="878" customFormat="1" ht="36">
      <c r="A75" s="882">
        <v>15</v>
      </c>
      <c r="B75" s="3266"/>
      <c r="C75" s="818" t="s">
        <v>643</v>
      </c>
      <c r="D75" s="818" t="s">
        <v>644</v>
      </c>
      <c r="E75" s="895">
        <v>0.2</v>
      </c>
      <c r="F75" s="882">
        <v>30</v>
      </c>
    </row>
    <row r="76" spans="1:6" s="878" customFormat="1" ht="36">
      <c r="A76" s="882">
        <v>16</v>
      </c>
      <c r="B76" s="3266" t="s">
        <v>645</v>
      </c>
      <c r="C76" s="818" t="s">
        <v>646</v>
      </c>
      <c r="D76" s="818" t="s">
        <v>647</v>
      </c>
      <c r="E76" s="895">
        <v>0.5</v>
      </c>
      <c r="F76" s="882">
        <v>80</v>
      </c>
    </row>
    <row r="77" spans="1:6" s="878" customFormat="1" ht="36">
      <c r="A77" s="882">
        <v>17</v>
      </c>
      <c r="B77" s="3266"/>
      <c r="C77" s="818" t="s">
        <v>648</v>
      </c>
      <c r="D77" s="818" t="s">
        <v>649</v>
      </c>
      <c r="E77" s="895">
        <v>0.5</v>
      </c>
      <c r="F77" s="882">
        <v>80</v>
      </c>
    </row>
    <row r="78" spans="1:6" s="878" customFormat="1" ht="36">
      <c r="A78" s="882">
        <v>18</v>
      </c>
      <c r="B78" s="3266"/>
      <c r="C78" s="818" t="s">
        <v>650</v>
      </c>
      <c r="D78" s="818" t="s">
        <v>651</v>
      </c>
      <c r="E78" s="895">
        <v>0.2</v>
      </c>
      <c r="F78" s="882">
        <v>30</v>
      </c>
    </row>
    <row r="79" spans="1:6" s="878" customFormat="1" ht="36">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60">
      <c r="A82" s="882">
        <v>22</v>
      </c>
      <c r="B82" s="3266"/>
      <c r="C82" s="818" t="s">
        <v>658</v>
      </c>
      <c r="D82" s="818" t="s">
        <v>659</v>
      </c>
      <c r="E82" s="895">
        <v>0.2</v>
      </c>
      <c r="F82" s="882">
        <v>30</v>
      </c>
    </row>
    <row r="83" spans="1:6" s="878" customFormat="1" ht="60">
      <c r="A83" s="882">
        <v>23</v>
      </c>
      <c r="B83" s="3266"/>
      <c r="C83" s="818" t="s">
        <v>660</v>
      </c>
      <c r="D83" s="818" t="s">
        <v>661</v>
      </c>
      <c r="E83" s="895">
        <v>0.2</v>
      </c>
      <c r="F83" s="882">
        <v>30</v>
      </c>
    </row>
    <row r="84" spans="1:6" s="878" customFormat="1" ht="48">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36">
      <c r="A89" s="882">
        <v>29</v>
      </c>
      <c r="B89" s="3266"/>
      <c r="C89" s="818" t="s">
        <v>672</v>
      </c>
      <c r="D89" s="818" t="s">
        <v>673</v>
      </c>
      <c r="E89" s="895">
        <v>0.2</v>
      </c>
      <c r="F89" s="882">
        <v>30</v>
      </c>
    </row>
    <row r="90" spans="1:6" s="878" customFormat="1" ht="36">
      <c r="A90" s="882">
        <v>30</v>
      </c>
      <c r="B90" s="3266"/>
      <c r="C90" s="818" t="s">
        <v>674</v>
      </c>
      <c r="D90" s="818" t="s">
        <v>675</v>
      </c>
      <c r="E90" s="895">
        <v>0.2</v>
      </c>
      <c r="F90" s="882">
        <v>30</v>
      </c>
    </row>
    <row r="91" spans="1:6" s="878" customFormat="1" ht="48">
      <c r="A91" s="882">
        <v>31</v>
      </c>
      <c r="B91" s="3266"/>
      <c r="C91" s="818" t="s">
        <v>676</v>
      </c>
      <c r="D91" s="818" t="s">
        <v>677</v>
      </c>
      <c r="E91" s="895">
        <v>0.2</v>
      </c>
      <c r="F91" s="882">
        <v>30</v>
      </c>
    </row>
    <row r="92" spans="1:6" s="878" customFormat="1" ht="36">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60">
      <c r="A94" s="882">
        <v>34</v>
      </c>
      <c r="B94" s="3266"/>
      <c r="C94" s="882" t="s">
        <v>683</v>
      </c>
      <c r="D94" s="818" t="s">
        <v>684</v>
      </c>
      <c r="E94" s="895">
        <v>0.2</v>
      </c>
      <c r="F94" s="882">
        <v>30</v>
      </c>
    </row>
    <row r="95" spans="1:6" s="878" customFormat="1" ht="48">
      <c r="A95" s="882">
        <v>35</v>
      </c>
      <c r="B95" s="3266"/>
      <c r="C95" s="882" t="s">
        <v>685</v>
      </c>
      <c r="D95" s="818" t="s">
        <v>686</v>
      </c>
      <c r="E95" s="895">
        <v>0.2</v>
      </c>
      <c r="F95" s="882">
        <v>30</v>
      </c>
    </row>
    <row r="96" spans="1:6" s="878" customFormat="1" ht="72">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36">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6" t="s">
        <v>708</v>
      </c>
      <c r="C105" s="882" t="s">
        <v>709</v>
      </c>
      <c r="D105" s="818" t="s">
        <v>710</v>
      </c>
      <c r="E105" s="895">
        <v>0.2</v>
      </c>
      <c r="F105" s="882">
        <v>30</v>
      </c>
    </row>
    <row r="106" spans="1:6" s="878" customFormat="1" ht="48">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48">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6" t="s">
        <v>724</v>
      </c>
      <c r="C111" s="882" t="s">
        <v>725</v>
      </c>
      <c r="D111" s="818" t="s">
        <v>726</v>
      </c>
      <c r="E111" s="895">
        <v>0.2</v>
      </c>
      <c r="F111" s="882">
        <v>30</v>
      </c>
    </row>
    <row r="112" spans="1:6" s="878" customFormat="1" ht="36">
      <c r="A112" s="882">
        <v>52</v>
      </c>
      <c r="B112" s="3266"/>
      <c r="C112" s="882" t="s">
        <v>727</v>
      </c>
      <c r="D112" s="818" t="s">
        <v>728</v>
      </c>
      <c r="E112" s="895">
        <v>0.2</v>
      </c>
      <c r="F112" s="882">
        <v>30</v>
      </c>
    </row>
    <row r="113" spans="1:6" s="878" customFormat="1" ht="36">
      <c r="A113" s="882">
        <v>53</v>
      </c>
      <c r="B113" s="3266"/>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0.99219999999999997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7.399999999999999">
      <c r="A3" s="2963" t="str">
        <f>IF(项目基本情况!B9="房地产市场价值","估价结果一览表（市场价值不需“结果表-1”）","估价结果一览表")</f>
        <v>估价结果一览表</v>
      </c>
      <c r="B3" s="2963"/>
      <c r="C3" s="2963"/>
      <c r="D3" s="2963"/>
      <c r="E3" s="2963"/>
    </row>
    <row r="4" spans="1:5" ht="18" thickBot="1">
      <c r="A4" s="1960"/>
      <c r="B4" s="2961" t="s">
        <v>1625</v>
      </c>
      <c r="C4" s="2961"/>
      <c r="D4" s="2961"/>
      <c r="E4" s="1960"/>
    </row>
    <row r="5" spans="1:5" ht="16.2" thickTop="1">
      <c r="A5" s="1958"/>
      <c r="B5" s="2959" t="s">
        <v>1617</v>
      </c>
      <c r="C5" s="1961" t="s">
        <v>1618</v>
      </c>
      <c r="D5" s="1040" t="e">
        <f ca="1">结果表!H101</f>
        <v>#REF!</v>
      </c>
      <c r="E5" s="1958"/>
    </row>
    <row r="6" spans="1:5" ht="15.6">
      <c r="A6" s="1958"/>
      <c r="B6" s="2959"/>
      <c r="C6" s="1961" t="s">
        <v>1619</v>
      </c>
      <c r="D6" s="1040" t="e">
        <f ca="1">NUMBERSTRING(INT(D5*10000),2)&amp;"元整"</f>
        <v>#REF!</v>
      </c>
      <c r="E6" s="1958"/>
    </row>
    <row r="7" spans="1:5" ht="15.6">
      <c r="A7" s="1958"/>
      <c r="B7" s="2964"/>
      <c r="C7" s="1962" t="s">
        <v>1620</v>
      </c>
      <c r="D7" s="1041" t="e">
        <f ca="1">结果表!H102</f>
        <v>#REF!</v>
      </c>
      <c r="E7" s="1958"/>
    </row>
    <row r="8" spans="1:5" ht="15.6">
      <c r="A8" s="1958"/>
      <c r="B8" s="2965" t="str">
        <f>结果表!E103</f>
        <v>2.估价师知悉的法定优先受偿款</v>
      </c>
      <c r="C8" s="1963" t="s">
        <v>1621</v>
      </c>
      <c r="D8" s="1041">
        <f>结果表!H103</f>
        <v>0</v>
      </c>
      <c r="E8" s="1958"/>
    </row>
    <row r="9" spans="1:5" ht="15.6">
      <c r="A9" s="1958"/>
      <c r="B9" s="2967"/>
      <c r="C9" s="1961" t="s">
        <v>1619</v>
      </c>
      <c r="D9" s="1040" t="str">
        <f>NUMBERSTRING(INT(D8*10000),2)&amp;"元整"</f>
        <v>零元整</v>
      </c>
      <c r="E9" s="1958"/>
    </row>
    <row r="10" spans="1:5" ht="15.6">
      <c r="A10" s="1958"/>
      <c r="B10" s="1964" t="s">
        <v>1624</v>
      </c>
      <c r="C10" s="1965" t="s">
        <v>1622</v>
      </c>
      <c r="D10" s="1042">
        <f>结果表!H104</f>
        <v>0</v>
      </c>
      <c r="E10" s="1958"/>
    </row>
    <row r="11" spans="1:5" ht="15.6">
      <c r="A11" s="1958"/>
      <c r="B11" s="1964" t="s">
        <v>1626</v>
      </c>
      <c r="C11" s="1965" t="s">
        <v>1627</v>
      </c>
      <c r="D11" s="1042">
        <f>结果表!H105</f>
        <v>0</v>
      </c>
      <c r="E11" s="1958"/>
    </row>
    <row r="12" spans="1:5" ht="15.6">
      <c r="A12" s="1958"/>
      <c r="B12" s="1964" t="s">
        <v>1628</v>
      </c>
      <c r="C12" s="1965" t="s">
        <v>1627</v>
      </c>
      <c r="D12" s="1042">
        <f>结果表!H106</f>
        <v>0</v>
      </c>
      <c r="E12" s="1958"/>
    </row>
    <row r="13" spans="1:5" ht="15.6">
      <c r="A13" s="1958"/>
      <c r="B13" s="2958" t="str">
        <f>结果表!E107</f>
        <v>3.房地产抵押价值</v>
      </c>
      <c r="C13" s="1966" t="s">
        <v>1618</v>
      </c>
      <c r="D13" s="1043" t="e">
        <f ca="1">结果表!H107</f>
        <v>#REF!</v>
      </c>
      <c r="E13" s="1958"/>
    </row>
    <row r="14" spans="1:5" ht="15.6">
      <c r="A14" s="1958"/>
      <c r="B14" s="2959"/>
      <c r="C14" s="1961" t="s">
        <v>1619</v>
      </c>
      <c r="D14" s="1040" t="e">
        <f ca="1">NUMBERSTRING(INT(D13*10000),2)&amp;"元整"</f>
        <v>#REF!</v>
      </c>
      <c r="E14" s="1958"/>
    </row>
    <row r="15" spans="1:5" ht="15.6">
      <c r="A15" s="1958"/>
      <c r="B15" s="2964"/>
      <c r="C15" s="1962" t="s">
        <v>1629</v>
      </c>
      <c r="D15" s="1052" t="e">
        <f ca="1">结果表!H108</f>
        <v>#REF!</v>
      </c>
      <c r="E15" s="1958"/>
    </row>
    <row r="16" spans="1:5" ht="15.6">
      <c r="A16" s="1958"/>
      <c r="B16" s="2965" t="str">
        <f>结果表!E109</f>
        <v>——</v>
      </c>
      <c r="C16" s="1966" t="s">
        <v>1630</v>
      </c>
      <c r="D16" s="1967" t="str">
        <f>结果表!H109</f>
        <v>——</v>
      </c>
      <c r="E16" s="1958"/>
    </row>
    <row r="17" spans="1:5" ht="15.6">
      <c r="A17" s="1958"/>
      <c r="B17" s="2966"/>
      <c r="C17" s="1961" t="s">
        <v>1631</v>
      </c>
      <c r="D17" s="1040" t="e">
        <f>NUMBERSTRING(INT(D16*10000),2)&amp;"元整"</f>
        <v>#VALUE!</v>
      </c>
      <c r="E17" s="1958"/>
    </row>
    <row r="18" spans="1:5" ht="15.6">
      <c r="A18" s="1958"/>
      <c r="B18" s="2967"/>
      <c r="C18" s="1962" t="s">
        <v>1620</v>
      </c>
      <c r="D18" s="1052" t="str">
        <f>结果表!H110</f>
        <v>——</v>
      </c>
      <c r="E18" s="1958"/>
    </row>
    <row r="19" spans="1:5" ht="15.6">
      <c r="A19" s="1958"/>
      <c r="B19" s="2958" t="str">
        <f>结果表!E111</f>
        <v>——</v>
      </c>
      <c r="C19" s="1966" t="s">
        <v>1618</v>
      </c>
      <c r="D19" s="1041" t="str">
        <f>结果表!H111</f>
        <v>——</v>
      </c>
      <c r="E19" s="1958"/>
    </row>
    <row r="20" spans="1:5" ht="15.6">
      <c r="A20" s="1958"/>
      <c r="B20" s="2959"/>
      <c r="C20" s="1961" t="s">
        <v>1631</v>
      </c>
      <c r="D20" s="1040" t="e">
        <f>NUMBERSTRING(INT(D19*10000),2)&amp;"元整"</f>
        <v>#VALUE!</v>
      </c>
      <c r="E20" s="1958"/>
    </row>
    <row r="21" spans="1:5" ht="16.2" thickBot="1">
      <c r="A21" s="1958"/>
      <c r="B21" s="2960"/>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3" t="s">
        <v>3003</v>
      </c>
    </row>
    <row r="2" spans="1:5" ht="15.6">
      <c r="A2" s="2904" t="s">
        <v>2995</v>
      </c>
      <c r="B2" s="2905">
        <f ca="1">SUMIF(B6:B13,"&lt;&gt;#ref!",B6:B13)</f>
        <v>235133</v>
      </c>
      <c r="C2" s="2904" t="s">
        <v>2996</v>
      </c>
      <c r="D2" s="2904" t="s">
        <v>2997</v>
      </c>
      <c r="E2" s="2905">
        <f ca="1">SUMIF(E6:E13,"&lt;&gt;#ref!",E6:E13)</f>
        <v>65354.690000000017</v>
      </c>
    </row>
    <row r="3" spans="1:5" ht="15.6">
      <c r="A3" s="2904" t="s">
        <v>2998</v>
      </c>
      <c r="B3" s="2905">
        <f ca="1">ROUND(B2*10000/E2,0)</f>
        <v>35978</v>
      </c>
      <c r="C3" s="2904" t="s">
        <v>3004</v>
      </c>
      <c r="D3" s="2906"/>
      <c r="E3" s="2906"/>
    </row>
    <row r="4" spans="1:5" ht="15.6">
      <c r="A4" s="2907"/>
      <c r="B4" s="2906"/>
      <c r="C4" s="2906"/>
      <c r="D4" s="2906"/>
      <c r="E4" s="2906"/>
    </row>
    <row r="5" spans="1:5" ht="31.2">
      <c r="A5" s="2908" t="s">
        <v>2999</v>
      </c>
      <c r="B5" s="2904" t="s">
        <v>3000</v>
      </c>
      <c r="C5" s="2905"/>
      <c r="D5" s="2906"/>
      <c r="E5" s="2904" t="s">
        <v>3001</v>
      </c>
    </row>
    <row r="6" spans="1:5" ht="15.6">
      <c r="A6" s="2909" t="s">
        <v>3002</v>
      </c>
      <c r="B6" s="2905">
        <f ca="1">SUMIF(INDIRECT("'"&amp;A6&amp;"'"&amp;"!A:A"),"总价",INDIRECT("'"&amp;A6&amp;"'"&amp;"!B:B"))</f>
        <v>235133</v>
      </c>
      <c r="C6" s="2904" t="s">
        <v>2996</v>
      </c>
      <c r="D6" s="2906"/>
      <c r="E6" s="2577">
        <f ca="1">SUMIF(INDIRECT("'"&amp;A6&amp;"'"&amp;"!C:C"),"建筑面积",INDIRECT("'"&amp;A6&amp;"'"&amp;"!D:D"))</f>
        <v>65354.690000000017</v>
      </c>
    </row>
    <row r="7" spans="1:5" ht="15.6">
      <c r="A7" s="2909"/>
      <c r="B7" s="2905" t="e">
        <f ca="1">SUMIF(INDIRECT("'"&amp;A7&amp;"'"&amp;"!A:A"),"总价",INDIRECT("'"&amp;A7&amp;"'"&amp;"!B:B"))</f>
        <v>#REF!</v>
      </c>
      <c r="C7" s="2904" t="s">
        <v>2996</v>
      </c>
      <c r="D7" s="2906"/>
      <c r="E7" s="2577" t="e">
        <f t="shared" ref="E7:E13" ca="1" si="0">SUMIF(INDIRECT("'"&amp;A7&amp;"'"&amp;"!C:C"),"建筑面积",INDIRECT("'"&amp;A7&amp;"'"&amp;"!D:D"))</f>
        <v>#REF!</v>
      </c>
    </row>
    <row r="8" spans="1:5" ht="15.6">
      <c r="A8" s="2909"/>
      <c r="B8" s="2905" t="e">
        <f t="shared" ref="B8:B13" ca="1" si="1">SUMIF(INDIRECT("'"&amp;A8&amp;"'"&amp;"!A:A"),"总价",INDIRECT("'"&amp;A8&amp;"'"&amp;"!B:B"))</f>
        <v>#REF!</v>
      </c>
      <c r="C8" s="2904" t="s">
        <v>2996</v>
      </c>
      <c r="D8" s="2906"/>
      <c r="E8" s="2577" t="e">
        <f t="shared" ca="1" si="0"/>
        <v>#REF!</v>
      </c>
    </row>
    <row r="9" spans="1:5" ht="15.6">
      <c r="A9" s="2909"/>
      <c r="B9" s="2905" t="e">
        <f t="shared" ca="1" si="1"/>
        <v>#REF!</v>
      </c>
      <c r="C9" s="2904" t="s">
        <v>2996</v>
      </c>
      <c r="D9" s="2906"/>
      <c r="E9" s="2577" t="e">
        <f t="shared" ca="1" si="0"/>
        <v>#REF!</v>
      </c>
    </row>
    <row r="10" spans="1:5" ht="15.6">
      <c r="A10" s="2909"/>
      <c r="B10" s="2905" t="e">
        <f t="shared" ca="1" si="1"/>
        <v>#REF!</v>
      </c>
      <c r="C10" s="2904" t="s">
        <v>2996</v>
      </c>
      <c r="D10" s="2906"/>
      <c r="E10" s="2577" t="e">
        <f t="shared" ca="1" si="0"/>
        <v>#REF!</v>
      </c>
    </row>
    <row r="11" spans="1:5" ht="15.6">
      <c r="A11" s="2909"/>
      <c r="B11" s="2905" t="e">
        <f t="shared" ca="1" si="1"/>
        <v>#REF!</v>
      </c>
      <c r="C11" s="2904" t="s">
        <v>2996</v>
      </c>
      <c r="D11" s="2906"/>
      <c r="E11" s="2577" t="e">
        <f t="shared" ca="1" si="0"/>
        <v>#REF!</v>
      </c>
    </row>
    <row r="12" spans="1:5" ht="15.6">
      <c r="A12" s="2909"/>
      <c r="B12" s="2905" t="e">
        <f t="shared" ca="1" si="1"/>
        <v>#REF!</v>
      </c>
      <c r="C12" s="2904" t="s">
        <v>2996</v>
      </c>
      <c r="D12" s="2906"/>
      <c r="E12" s="2577" t="e">
        <f t="shared" ca="1" si="0"/>
        <v>#REF!</v>
      </c>
    </row>
    <row r="13" spans="1:5" ht="15.6">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3" sqref="B3"/>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72" t="s">
        <v>1146</v>
      </c>
      <c r="C1" s="3272"/>
      <c r="D1" s="3272"/>
      <c r="E1" s="3272"/>
      <c r="F1" s="3272"/>
      <c r="G1" s="3271" t="s">
        <v>1147</v>
      </c>
      <c r="H1" s="3271"/>
      <c r="I1" s="3271"/>
      <c r="J1" s="3271"/>
      <c r="K1" s="3271"/>
      <c r="L1" s="3271"/>
      <c r="N1" s="3271" t="s">
        <v>1148</v>
      </c>
      <c r="O1" s="3271"/>
      <c r="P1" s="3271"/>
      <c r="Q1" s="3271"/>
      <c r="R1" s="1446"/>
      <c r="S1" s="3271" t="s">
        <v>1149</v>
      </c>
      <c r="T1" s="3271"/>
      <c r="U1" s="3271"/>
      <c r="V1" s="3271"/>
      <c r="X1" s="3270" t="s">
        <v>1150</v>
      </c>
      <c r="Y1" s="3271"/>
      <c r="Z1" s="3271"/>
      <c r="AA1" s="3271"/>
      <c r="AB1" s="3271"/>
      <c r="AD1" s="3270" t="s">
        <v>1151</v>
      </c>
      <c r="AE1" s="3271"/>
      <c r="AF1" s="3271"/>
      <c r="AG1" s="3271"/>
      <c r="AH1" s="3271"/>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4">
      <c r="A3" s="2929" t="s">
        <v>3037</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9">
        <v>2019</v>
      </c>
      <c r="H5" s="1730">
        <v>3</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2953">
        <v>1.53</v>
      </c>
      <c r="J6" s="2953">
        <v>1.01</v>
      </c>
      <c r="K6" s="2953">
        <v>1.62</v>
      </c>
      <c r="L6" s="2954">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8"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268">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8"/>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8"/>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7"/>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273">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8"/>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68"/>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7"/>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3">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8"/>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8"/>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69"/>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267">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8"/>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8"/>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69"/>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267">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8"/>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8"/>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69"/>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8" thickBot="1">
      <c r="A28" s="1461" t="s">
        <v>1159</v>
      </c>
      <c r="B28" s="1469">
        <v>299</v>
      </c>
      <c r="C28" s="1469">
        <v>252</v>
      </c>
      <c r="D28" s="1469">
        <f t="shared" si="97"/>
        <v>252</v>
      </c>
      <c r="E28" s="1469">
        <v>409</v>
      </c>
      <c r="F28" s="1470">
        <v>227</v>
      </c>
      <c r="G28" s="3274">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5"/>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5"/>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6"/>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267">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68"/>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68"/>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269"/>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267">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8">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68">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69">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267">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8">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68">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69">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267">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8">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68">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69">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267">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8">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68">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69">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267">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8">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68">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69">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267">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8">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68">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69">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267">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8">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68">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69">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267">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8">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68">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69">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267">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68">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68">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269">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267">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68">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68">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269">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1" sqref="V31"/>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6.777343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79" t="s">
        <v>3006</v>
      </c>
      <c r="D1" s="3280"/>
      <c r="E1" s="3280"/>
      <c r="F1" s="3280"/>
      <c r="G1" s="3280"/>
      <c r="H1" s="3280"/>
      <c r="I1" s="3280"/>
      <c r="J1" s="3280"/>
      <c r="K1" s="3280"/>
      <c r="L1" s="3280"/>
      <c r="M1" s="3280"/>
      <c r="N1" s="3280"/>
      <c r="O1" s="3280"/>
      <c r="P1" s="3280"/>
      <c r="Q1" s="3280"/>
      <c r="R1" s="3280"/>
      <c r="S1" s="3281"/>
      <c r="T1" s="1204" t="s">
        <v>3007</v>
      </c>
    </row>
    <row r="2" spans="1:45" s="707" customFormat="1">
      <c r="A2" s="1205"/>
      <c r="B2" s="703" t="s">
        <v>3008</v>
      </c>
      <c r="C2" s="704" t="str">
        <f t="shared" ref="C2:L2" si="0">C3&amp;"(含)"&amp;"-"&amp;D3</f>
        <v>0(含)-2000</v>
      </c>
      <c r="D2" s="705" t="str">
        <f t="shared" si="0"/>
        <v>2000(含)-4000</v>
      </c>
      <c r="E2" s="705" t="str">
        <f t="shared" si="0"/>
        <v>4000(含)-6000</v>
      </c>
      <c r="F2" s="705" t="str">
        <f t="shared" si="0"/>
        <v>6000(含)-8000</v>
      </c>
      <c r="G2" s="705" t="str">
        <f t="shared" si="0"/>
        <v>8000(含)-10000</v>
      </c>
      <c r="H2" s="705" t="str">
        <f t="shared" si="0"/>
        <v>10000(含)-12000</v>
      </c>
      <c r="I2" s="705" t="str">
        <f t="shared" si="0"/>
        <v>12000(含)-14000</v>
      </c>
      <c r="J2" s="705" t="str">
        <f t="shared" si="0"/>
        <v>14000(含)-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f>C3+2000</f>
        <v>2000</v>
      </c>
      <c r="E3" s="710">
        <f t="shared" ref="E3:J3" si="7">D3+2000</f>
        <v>4000</v>
      </c>
      <c r="F3" s="710">
        <f t="shared" si="7"/>
        <v>6000</v>
      </c>
      <c r="G3" s="710">
        <f t="shared" si="7"/>
        <v>8000</v>
      </c>
      <c r="H3" s="710">
        <f t="shared" si="7"/>
        <v>10000</v>
      </c>
      <c r="I3" s="710">
        <f t="shared" si="7"/>
        <v>12000</v>
      </c>
      <c r="J3" s="710">
        <f t="shared" si="7"/>
        <v>14000</v>
      </c>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100</v>
      </c>
      <c r="D4" s="1211">
        <f>C4-1</f>
        <v>99</v>
      </c>
      <c r="E4" s="1211">
        <f t="shared" ref="E4:J4" si="8">D4-1</f>
        <v>98</v>
      </c>
      <c r="F4" s="1211">
        <f t="shared" si="8"/>
        <v>97</v>
      </c>
      <c r="G4" s="1211">
        <f t="shared" si="8"/>
        <v>96</v>
      </c>
      <c r="H4" s="1211">
        <f t="shared" si="8"/>
        <v>95</v>
      </c>
      <c r="I4" s="1211">
        <f t="shared" si="8"/>
        <v>94</v>
      </c>
      <c r="J4" s="1211">
        <f t="shared" si="8"/>
        <v>93</v>
      </c>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9">D6-$T5</f>
        <v>100</v>
      </c>
      <c r="F6" s="1715">
        <f t="shared" si="9"/>
        <v>100</v>
      </c>
      <c r="G6" s="1715">
        <f t="shared" si="9"/>
        <v>100</v>
      </c>
      <c r="H6" s="1715">
        <f t="shared" si="9"/>
        <v>100</v>
      </c>
      <c r="I6" s="1715">
        <f t="shared" si="9"/>
        <v>100</v>
      </c>
      <c r="J6" s="1715">
        <f t="shared" si="9"/>
        <v>100</v>
      </c>
      <c r="K6" s="1715">
        <f t="shared" si="9"/>
        <v>100</v>
      </c>
      <c r="L6" s="1715">
        <f t="shared" si="9"/>
        <v>100</v>
      </c>
      <c r="M6" s="1715">
        <f t="shared" si="9"/>
        <v>100</v>
      </c>
      <c r="N6" s="1715">
        <f t="shared" si="9"/>
        <v>100</v>
      </c>
      <c r="O6" s="1715">
        <f t="shared" si="9"/>
        <v>100</v>
      </c>
      <c r="P6" s="1715">
        <f t="shared" si="9"/>
        <v>100</v>
      </c>
      <c r="Q6" s="1715">
        <f t="shared" si="9"/>
        <v>100</v>
      </c>
      <c r="R6" s="1715">
        <f t="shared" si="9"/>
        <v>100</v>
      </c>
      <c r="S6" s="1715">
        <f t="shared" si="9"/>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10">D8-$T7</f>
        <v>100</v>
      </c>
      <c r="F8" s="1715">
        <f t="shared" si="10"/>
        <v>100</v>
      </c>
      <c r="G8" s="1715">
        <f t="shared" si="10"/>
        <v>100</v>
      </c>
      <c r="H8" s="1715">
        <f t="shared" si="10"/>
        <v>100</v>
      </c>
      <c r="I8" s="1715">
        <f t="shared" si="10"/>
        <v>100</v>
      </c>
      <c r="J8" s="1715">
        <f t="shared" si="10"/>
        <v>100</v>
      </c>
      <c r="K8" s="1715">
        <f t="shared" si="10"/>
        <v>100</v>
      </c>
      <c r="L8" s="1715">
        <f t="shared" si="10"/>
        <v>100</v>
      </c>
      <c r="M8" s="1715">
        <f t="shared" si="10"/>
        <v>100</v>
      </c>
      <c r="N8" s="1715">
        <f t="shared" si="10"/>
        <v>100</v>
      </c>
      <c r="O8" s="1715">
        <f t="shared" si="10"/>
        <v>100</v>
      </c>
      <c r="P8" s="1715">
        <f t="shared" si="10"/>
        <v>100</v>
      </c>
      <c r="Q8" s="1715">
        <f t="shared" si="10"/>
        <v>100</v>
      </c>
      <c r="R8" s="1715">
        <f t="shared" si="10"/>
        <v>100</v>
      </c>
      <c r="S8" s="1715">
        <f t="shared" si="10"/>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11">D10-$T9</f>
        <v>100</v>
      </c>
      <c r="F10" s="1725">
        <f t="shared" si="11"/>
        <v>100</v>
      </c>
      <c r="G10" s="1725">
        <f t="shared" si="11"/>
        <v>100</v>
      </c>
      <c r="H10" s="1725">
        <f t="shared" si="11"/>
        <v>100</v>
      </c>
      <c r="I10" s="1725">
        <f t="shared" si="11"/>
        <v>100</v>
      </c>
      <c r="J10" s="1725">
        <f t="shared" si="11"/>
        <v>100</v>
      </c>
      <c r="K10" s="1725">
        <f t="shared" si="11"/>
        <v>100</v>
      </c>
      <c r="L10" s="1725">
        <f t="shared" si="11"/>
        <v>100</v>
      </c>
      <c r="M10" s="1725">
        <f t="shared" si="11"/>
        <v>100</v>
      </c>
      <c r="N10" s="1725">
        <f t="shared" si="11"/>
        <v>100</v>
      </c>
      <c r="O10" s="1725">
        <f t="shared" si="11"/>
        <v>100</v>
      </c>
      <c r="P10" s="1725">
        <f t="shared" si="11"/>
        <v>100</v>
      </c>
      <c r="Q10" s="1725">
        <f t="shared" si="11"/>
        <v>100</v>
      </c>
      <c r="R10" s="1725">
        <f t="shared" si="11"/>
        <v>100</v>
      </c>
      <c r="S10" s="1725">
        <f t="shared" si="11"/>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2">D12-$T11</f>
        <v>100</v>
      </c>
      <c r="F12" s="1119">
        <f t="shared" si="12"/>
        <v>100</v>
      </c>
      <c r="G12" s="1119">
        <f t="shared" si="12"/>
        <v>100</v>
      </c>
      <c r="H12" s="1119">
        <f t="shared" si="12"/>
        <v>100</v>
      </c>
      <c r="I12" s="1119">
        <f t="shared" si="12"/>
        <v>100</v>
      </c>
      <c r="J12" s="1119">
        <f t="shared" si="12"/>
        <v>100</v>
      </c>
      <c r="K12" s="1119">
        <f t="shared" si="12"/>
        <v>100</v>
      </c>
      <c r="L12" s="1119">
        <f t="shared" si="12"/>
        <v>100</v>
      </c>
      <c r="M12" s="1119">
        <f t="shared" si="12"/>
        <v>100</v>
      </c>
      <c r="N12" s="1119">
        <f t="shared" si="12"/>
        <v>100</v>
      </c>
      <c r="O12" s="1119">
        <f t="shared" si="12"/>
        <v>100</v>
      </c>
      <c r="P12" s="1119">
        <f t="shared" si="12"/>
        <v>100</v>
      </c>
      <c r="Q12" s="1119">
        <f t="shared" si="12"/>
        <v>100</v>
      </c>
      <c r="R12" s="1119">
        <f>Q12-$T11</f>
        <v>100</v>
      </c>
      <c r="S12" s="1119">
        <f t="shared" si="12"/>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v>100</v>
      </c>
      <c r="D18" s="1244">
        <v>65</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2" thickBot="1">
      <c r="A20" s="715" t="s">
        <v>3018</v>
      </c>
      <c r="B20" s="338" t="e">
        <f ca="1">IF(D20="——",S22,S22-F20)</f>
        <v>#REF!</v>
      </c>
      <c r="C20" s="168"/>
      <c r="D20" s="2913" t="s">
        <v>3019</v>
      </c>
      <c r="E20" s="1793"/>
      <c r="F20" s="1204" t="e">
        <f ca="1">SUMIF(INDIRECT("'"&amp;H20&amp;"'"&amp;"!A:A"),"承租人权益价值",INDIRECT("'"&amp;H20&amp;"'"&amp;"!c:c"))</f>
        <v>#REF!</v>
      </c>
      <c r="G20" s="1204" t="s">
        <v>3020</v>
      </c>
      <c r="H20" s="2914"/>
      <c r="I20" s="168"/>
      <c r="J20" s="168"/>
      <c r="K20" s="168"/>
      <c r="L20" s="168"/>
      <c r="M20" s="168"/>
      <c r="N20" s="168"/>
      <c r="O20" s="168"/>
      <c r="P20" s="168"/>
      <c r="Q20" s="168"/>
      <c r="R20" s="788"/>
      <c r="S20" s="138"/>
    </row>
    <row r="21" spans="1:45" ht="15.6">
      <c r="A21" s="715" t="s">
        <v>3021</v>
      </c>
      <c r="B21" s="338">
        <f>R22</f>
        <v>45376</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14854.04</v>
      </c>
      <c r="C22" s="3138" t="s">
        <v>33</v>
      </c>
      <c r="D22" s="3139"/>
      <c r="E22" s="3139"/>
      <c r="F22" s="3139"/>
      <c r="G22" s="3139"/>
      <c r="H22" s="3139"/>
      <c r="I22" s="3139"/>
      <c r="J22" s="3139"/>
      <c r="K22" s="3139"/>
      <c r="L22" s="3139"/>
      <c r="M22" s="3139"/>
      <c r="N22" s="3139"/>
      <c r="O22" s="3139"/>
      <c r="P22" s="3139"/>
      <c r="Q22" s="3278"/>
      <c r="R22" s="716">
        <f>ROUND(S22*10000/B22,0)</f>
        <v>45376</v>
      </c>
      <c r="S22" s="24">
        <f>SUM(S24:S10000)</f>
        <v>67401</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434" t="s">
        <v>3251</v>
      </c>
      <c r="B24" s="718">
        <f>'数据-汇总表'!F21/2</f>
        <v>7427.02</v>
      </c>
      <c r="C24" s="719">
        <v>1</v>
      </c>
      <c r="D24" s="720"/>
      <c r="E24" s="719">
        <v>1</v>
      </c>
      <c r="F24" s="720"/>
      <c r="G24" s="719">
        <v>1</v>
      </c>
      <c r="H24" s="720"/>
      <c r="I24" s="719">
        <v>1</v>
      </c>
      <c r="J24" s="720"/>
      <c r="K24" s="719">
        <v>1</v>
      </c>
      <c r="L24" s="720"/>
      <c r="M24" s="719">
        <v>1</v>
      </c>
      <c r="N24" s="720"/>
      <c r="O24" s="719">
        <v>1</v>
      </c>
      <c r="P24" s="720">
        <v>1</v>
      </c>
      <c r="Q24" s="719">
        <v>1</v>
      </c>
      <c r="R24" s="721">
        <v>55000</v>
      </c>
      <c r="S24" s="719">
        <f t="shared" ref="S24:S54" si="13">ROUND(R24*B24/10000,0)</f>
        <v>40849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3252</v>
      </c>
      <c r="B25" s="59">
        <f>B24</f>
        <v>7427.02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0.65</v>
      </c>
      <c r="R25" s="716">
        <f>IF(B25="",0,ROUND($R$24*C25*E25*G25*I25*K25*M25*O25*Q25,0))</f>
        <v>35750</v>
      </c>
      <c r="S25" s="361">
        <f t="shared" si="13"/>
        <v>26552</v>
      </c>
    </row>
    <row r="26" spans="1:45">
      <c r="A26" s="159"/>
      <c r="B26" s="59"/>
      <c r="C26" s="24">
        <f t="shared" ref="C26:C89" si="14">IF(B26="",1,(LOOKUP(B26,$3:$3,$4:$4)-LOOKUP($B$24,$3:$3,$4:$4)+100)/100)</f>
        <v>1</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c r="Q26" s="24">
        <f t="shared" ref="Q26:Q89" si="21">(SUMIF($17:$17,P26,$18:$18)-SUMIF($17:$17,$P$24,$18:$18)+100)/100</f>
        <v>0</v>
      </c>
      <c r="R26" s="716">
        <f t="shared" ref="R26:R89" si="22">IF(B26="",0,ROUND($R$24*C26*E26*G26*I26*K26*M26*O26*Q26,0))</f>
        <v>0</v>
      </c>
      <c r="S26" s="361">
        <f t="shared" si="13"/>
        <v>0</v>
      </c>
    </row>
    <row r="27" spans="1:45">
      <c r="A27" s="159"/>
      <c r="B27" s="59"/>
      <c r="C27" s="24">
        <f t="shared" si="14"/>
        <v>1</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c r="Q27" s="24">
        <f t="shared" si="21"/>
        <v>0</v>
      </c>
      <c r="R27" s="716">
        <f t="shared" si="22"/>
        <v>0</v>
      </c>
      <c r="S27" s="361">
        <f t="shared" si="13"/>
        <v>0</v>
      </c>
    </row>
    <row r="28" spans="1:45">
      <c r="A28" s="159"/>
      <c r="B28" s="59"/>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c r="Q28" s="24">
        <f t="shared" si="21"/>
        <v>0</v>
      </c>
      <c r="R28" s="716">
        <f t="shared" si="22"/>
        <v>0</v>
      </c>
      <c r="S28" s="361">
        <f t="shared" si="13"/>
        <v>0</v>
      </c>
    </row>
    <row r="29" spans="1:45">
      <c r="A29" s="159"/>
      <c r="B29" s="59"/>
      <c r="C29" s="24">
        <f t="shared" si="14"/>
        <v>1</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c r="Q29" s="24">
        <f t="shared" si="21"/>
        <v>0</v>
      </c>
      <c r="R29" s="716">
        <f t="shared" si="22"/>
        <v>0</v>
      </c>
      <c r="S29" s="361">
        <f t="shared" si="13"/>
        <v>0</v>
      </c>
    </row>
    <row r="30" spans="1:45">
      <c r="A30" s="159"/>
      <c r="B30" s="59"/>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c r="Q30" s="24">
        <f t="shared" si="21"/>
        <v>0</v>
      </c>
      <c r="R30" s="716">
        <f t="shared" si="22"/>
        <v>0</v>
      </c>
      <c r="S30" s="361">
        <f t="shared" si="13"/>
        <v>0</v>
      </c>
    </row>
    <row r="31" spans="1:45">
      <c r="A31" s="159"/>
      <c r="B31" s="59"/>
      <c r="C31" s="24">
        <f t="shared" si="14"/>
        <v>1</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c r="Q31" s="24">
        <f t="shared" si="21"/>
        <v>0</v>
      </c>
      <c r="R31" s="716">
        <f t="shared" si="22"/>
        <v>0</v>
      </c>
      <c r="S31" s="361">
        <f t="shared" si="13"/>
        <v>0</v>
      </c>
    </row>
    <row r="32" spans="1:45">
      <c r="A32" s="159"/>
      <c r="B32" s="59"/>
      <c r="C32" s="24">
        <f t="shared" si="14"/>
        <v>1</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0</v>
      </c>
      <c r="R32" s="716">
        <f t="shared" si="22"/>
        <v>0</v>
      </c>
      <c r="S32" s="361">
        <f t="shared" si="13"/>
        <v>0</v>
      </c>
    </row>
    <row r="33" spans="1:19">
      <c r="A33" s="159"/>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0</v>
      </c>
      <c r="R33" s="716">
        <f t="shared" si="22"/>
        <v>0</v>
      </c>
      <c r="S33" s="361">
        <f t="shared" si="13"/>
        <v>0</v>
      </c>
    </row>
    <row r="34" spans="1:19">
      <c r="A34" s="159"/>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0</v>
      </c>
      <c r="R34" s="716">
        <f t="shared" si="22"/>
        <v>0</v>
      </c>
      <c r="S34" s="361">
        <f t="shared" si="13"/>
        <v>0</v>
      </c>
    </row>
    <row r="35" spans="1:19">
      <c r="A35" s="159"/>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0</v>
      </c>
      <c r="R35" s="716">
        <f t="shared" si="22"/>
        <v>0</v>
      </c>
      <c r="S35" s="361">
        <f t="shared" si="13"/>
        <v>0</v>
      </c>
    </row>
    <row r="36" spans="1:19">
      <c r="A36" s="159"/>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0</v>
      </c>
      <c r="R36" s="716">
        <f t="shared" si="22"/>
        <v>0</v>
      </c>
      <c r="S36" s="361">
        <f t="shared" si="13"/>
        <v>0</v>
      </c>
    </row>
    <row r="37" spans="1:19">
      <c r="A37" s="159"/>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0</v>
      </c>
      <c r="R37" s="716">
        <f t="shared" si="22"/>
        <v>0</v>
      </c>
      <c r="S37" s="361">
        <f t="shared" si="13"/>
        <v>0</v>
      </c>
    </row>
    <row r="38" spans="1:19">
      <c r="A38" s="159"/>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0</v>
      </c>
      <c r="R38" s="716">
        <f t="shared" si="22"/>
        <v>0</v>
      </c>
      <c r="S38" s="361">
        <f t="shared" si="13"/>
        <v>0</v>
      </c>
    </row>
    <row r="39" spans="1:19">
      <c r="A39" s="159"/>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0</v>
      </c>
      <c r="R39" s="716">
        <f t="shared" si="22"/>
        <v>0</v>
      </c>
      <c r="S39" s="361">
        <f t="shared" si="13"/>
        <v>0</v>
      </c>
    </row>
    <row r="40" spans="1:19">
      <c r="A40" s="159"/>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0</v>
      </c>
      <c r="R40" s="716">
        <f t="shared" si="22"/>
        <v>0</v>
      </c>
      <c r="S40" s="361">
        <f t="shared" si="13"/>
        <v>0</v>
      </c>
    </row>
    <row r="41" spans="1:19">
      <c r="A41" s="159"/>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0</v>
      </c>
      <c r="R41" s="716">
        <f t="shared" si="22"/>
        <v>0</v>
      </c>
      <c r="S41" s="361">
        <f t="shared" si="13"/>
        <v>0</v>
      </c>
    </row>
    <row r="42" spans="1:19">
      <c r="A42" s="159"/>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0</v>
      </c>
      <c r="R42" s="716">
        <f t="shared" si="22"/>
        <v>0</v>
      </c>
      <c r="S42" s="361">
        <f t="shared" si="13"/>
        <v>0</v>
      </c>
    </row>
    <row r="43" spans="1:19">
      <c r="A43" s="159"/>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0</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0</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0</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0</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0</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0</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0</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0</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0</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0</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0</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0</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0</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0</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0</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0</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0</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0</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0</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0</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0</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0</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0</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0</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0</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0</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0</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0</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0</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0</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0</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0</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0</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0</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0</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0</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0</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0</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0</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0</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0</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0</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0</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0</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0</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0</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0</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0</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0</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0</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0</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0</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0</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0</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0</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0</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0</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0</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0</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0</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0</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0</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0</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0</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0</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0</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0</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0</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0</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0</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0</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0</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0</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0</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0</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0</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0</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0</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0</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0</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0</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0</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0</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0</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0</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0</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0</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0</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0</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0</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0</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0</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0</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0</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0</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0</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0</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0</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0</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0</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0</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0</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0</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0</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0</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0</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0</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0</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0</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0</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0</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0</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0</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0</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0</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0</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0</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0</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0</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0</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0</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0</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0</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0</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0</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0</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0</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0</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0</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0</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0</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0</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0</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0</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0</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0</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0</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0</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0</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0</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0</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0</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0</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0</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0</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0</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0</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0</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0</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0</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0</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0</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0</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0</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0</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0</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0</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0</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0</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0</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0</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0</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0</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0</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0</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0</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0</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0</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0</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0</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0</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0</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0</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0</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0</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0</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0</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0</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0</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0</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0</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0</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0</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0</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0</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0</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0</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0</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0</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0</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0</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0</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0</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0</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0</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0</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0</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0</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0</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0</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0</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0</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0</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0</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0</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0</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0</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0</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0</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0</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0</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0</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0</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0</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0</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0</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0</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0</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0</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0</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0</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0</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0</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0</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0</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0</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0</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0</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0</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0</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0</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0</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0</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0</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0</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0</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0</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0</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0</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0</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0</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0</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0</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0</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0</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0</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0</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0</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0</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0</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0</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0</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0</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0</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0</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0</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0</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0</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0</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0</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0</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0</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0</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0</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0</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0</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0</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0</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0</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0</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0</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0</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0</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0</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0</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0</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0</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0</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0</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0</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0</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0</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0</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0</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0</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0</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0</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0</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0</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0</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0</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0</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0</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0</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0</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0</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0</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0</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0</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0</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0</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0</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0</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0</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0</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0</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0</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0</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0</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0</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0</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0</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0</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0</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0</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0</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0</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0</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0</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0</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0</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0</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0</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0</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0</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0</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0</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0</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0</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0</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0</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0</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0</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0</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0</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0</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0</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0</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0</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0</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0</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0</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0</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0</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0</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0</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0</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0</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0</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0</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0</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0</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0</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0</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0</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0</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0</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0</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0</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0</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0</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0</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0</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0</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0</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0</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0</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0</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0</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0</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0</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0</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0</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0</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0</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0</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0</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0</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0</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0</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0</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0</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0</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0</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0</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0</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0</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0</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0</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0</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0</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0</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0</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0</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0</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0</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0</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0</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0</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0</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0</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0</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0</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0</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0</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0</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0</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0</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0</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0</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0</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0</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0</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0</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0</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0</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0</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0</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0</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0</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0</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0</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0</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0</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0</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0</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0</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0</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0</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0</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0</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0</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0</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0</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0</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0</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0</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0</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0</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0</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0</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0</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0</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0</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0</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0</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0</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0</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0</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0</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0</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0</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0</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0</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0</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0</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0</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0</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0</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0</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0</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0</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0</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0</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0</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0</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0</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0</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0</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0</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0</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0</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0</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0</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0</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0</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0</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0</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0</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0</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0</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0</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83992</v>
      </c>
      <c r="C2" s="2" t="s">
        <v>133</v>
      </c>
      <c r="D2" s="243"/>
      <c r="E2" s="243"/>
      <c r="F2" s="243"/>
      <c r="G2" s="243"/>
    </row>
    <row r="3" spans="1:7" s="244" customFormat="1" ht="18" customHeight="1" thickBot="1">
      <c r="A3" s="247" t="s">
        <v>85</v>
      </c>
      <c r="B3" s="248">
        <f ca="1">ROUND(B2*10000/'数据-汇总表'!E3,0)</f>
        <v>8874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1893</v>
      </c>
      <c r="D10" s="1032">
        <f>'数据-汇总表'!E6</f>
        <v>94649.49000000002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1893</v>
      </c>
      <c r="D19" s="1036">
        <f>'数据-汇总表'!E3</f>
        <v>94649.49000000002</v>
      </c>
      <c r="E19" s="255">
        <f>'数据-取费表'!B31</f>
        <v>200</v>
      </c>
      <c r="F19" s="275"/>
      <c r="G19" s="1" t="s">
        <v>1071</v>
      </c>
    </row>
    <row r="20" spans="1:7" s="258" customFormat="1" ht="13.5" customHeight="1">
      <c r="A20" s="948" t="s">
        <v>1054</v>
      </c>
      <c r="B20" s="254" t="s">
        <v>104</v>
      </c>
      <c r="C20" s="276">
        <f>ROUND((C5+C19)*F20,0)</f>
        <v>450</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3394</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283</v>
      </c>
      <c r="D24" s="282"/>
      <c r="E24" s="282"/>
      <c r="F24" s="283"/>
      <c r="G24" s="284" t="s">
        <v>109</v>
      </c>
    </row>
    <row r="25" spans="1:7" s="258" customFormat="1" ht="24">
      <c r="A25" s="951" t="s">
        <v>793</v>
      </c>
      <c r="B25" s="259" t="s">
        <v>1055</v>
      </c>
      <c r="C25" s="1355">
        <f ca="1">ROUND(IF('数据-取费表'!B22&lt;=1,C20*F22*'数据-取费表'!B23/2,C20*(POWER((1+F22),'数据-取费表'!B23/2)-1)),0)</f>
        <v>32</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6.4">
      <c r="A27" s="948" t="s">
        <v>787</v>
      </c>
      <c r="B27" s="288" t="s">
        <v>112</v>
      </c>
      <c r="C27" s="289">
        <f>C28</f>
        <v>4361</v>
      </c>
      <c r="D27" s="279">
        <f>C29</f>
        <v>3.8E-3</v>
      </c>
      <c r="E27" s="280" t="s">
        <v>126</v>
      </c>
      <c r="F27" s="290">
        <f>'数据-取费表'!Q16</f>
        <v>0.19</v>
      </c>
      <c r="G27" s="291" t="s">
        <v>1066</v>
      </c>
    </row>
    <row r="28" spans="1:7" s="258" customFormat="1" ht="13.5" customHeight="1">
      <c r="A28" s="951" t="s">
        <v>794</v>
      </c>
      <c r="B28" s="292" t="s">
        <v>1059</v>
      </c>
      <c r="C28" s="293">
        <f>ROUND((C5+C19+C20)*F27*'数据-取费表'!B21/'数据-取费表'!B20,0)</f>
        <v>4361</v>
      </c>
      <c r="D28" s="279"/>
      <c r="E28" s="280"/>
      <c r="F28" s="290"/>
      <c r="G28" s="291"/>
    </row>
    <row r="29" spans="1:7" s="258" customFormat="1" ht="13.5" customHeight="1">
      <c r="A29" s="951" t="s">
        <v>792</v>
      </c>
      <c r="B29" s="292" t="s">
        <v>1060</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33325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51810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47767</v>
      </c>
      <c r="D34" s="261"/>
      <c r="E34" s="264"/>
      <c r="F34" s="301">
        <f>IF('数据-取费表'!B24=0,1,'数据-取费表'!N16)</f>
        <v>1</v>
      </c>
      <c r="G34" s="263" t="s">
        <v>116</v>
      </c>
    </row>
    <row r="35" spans="1:7" ht="13.5" customHeight="1">
      <c r="A35" s="951" t="s">
        <v>796</v>
      </c>
      <c r="B35" s="259" t="s">
        <v>60</v>
      </c>
      <c r="C35" s="264">
        <f>ROUND(C34*F35,0)</f>
        <v>1433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1893</v>
      </c>
      <c r="D37" s="261">
        <f>'数据-汇总表'!E3</f>
        <v>94649.49000000002</v>
      </c>
      <c r="E37" s="293">
        <f>'数据-取费表'!B35</f>
        <v>200</v>
      </c>
      <c r="F37" s="303"/>
      <c r="G37" s="305" t="s">
        <v>119</v>
      </c>
    </row>
    <row r="38" spans="1:7" ht="13.5" customHeight="1">
      <c r="A38" s="951" t="s">
        <v>799</v>
      </c>
      <c r="B38" s="259" t="s">
        <v>63</v>
      </c>
      <c r="C38" s="264">
        <f>ROUND(C34*F38,0)</f>
        <v>717</v>
      </c>
      <c r="D38" s="264"/>
      <c r="E38" s="264"/>
      <c r="F38" s="303">
        <f>'数据-取费表'!B36</f>
        <v>1.4999999999999999E-2</v>
      </c>
      <c r="G38" s="263" t="s">
        <v>117</v>
      </c>
    </row>
    <row r="39" spans="1:7" s="258" customFormat="1" ht="13.5" customHeight="1">
      <c r="A39" s="948" t="s">
        <v>783</v>
      </c>
      <c r="B39" s="254" t="s">
        <v>104</v>
      </c>
      <c r="C39" s="276">
        <f>ROUND(C33*F20,0)</f>
        <v>1036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3810</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3735</v>
      </c>
      <c r="D42" s="282"/>
      <c r="E42" s="282"/>
      <c r="F42" s="283"/>
      <c r="G42" s="3143" t="s">
        <v>121</v>
      </c>
    </row>
    <row r="43" spans="1:7" ht="13.5" customHeight="1">
      <c r="A43" s="951" t="s">
        <v>792</v>
      </c>
      <c r="B43" s="259" t="s">
        <v>1061</v>
      </c>
      <c r="C43" s="282">
        <f ca="1">ROUND(IF('数据-取费表'!B22&lt;=1,C39*F22*'数据-取费表'!B21/2,C39*(POWER((1+F22),'数据-取费表'!B21/2)-1)),0)</f>
        <v>75</v>
      </c>
      <c r="D43" s="282"/>
      <c r="E43" s="282"/>
      <c r="F43" s="283"/>
      <c r="G43" s="3144"/>
    </row>
    <row r="44" spans="1:7" ht="13.5" customHeight="1">
      <c r="A44" s="951" t="s">
        <v>793</v>
      </c>
      <c r="B44" s="259" t="s">
        <v>1063</v>
      </c>
      <c r="C44" s="282">
        <f ca="1">ROUND(IF('数据-取费表'!B22&lt;=1,C40*F22*'数据-取费表'!B21/2,C40*(POWER((1+F22),'数据-取费表'!B21/2)-1)),4)</f>
        <v>1.4E-3</v>
      </c>
      <c r="D44" s="282"/>
      <c r="E44" s="282"/>
      <c r="F44" s="283"/>
      <c r="G44" s="3145"/>
    </row>
    <row r="45" spans="1:7" s="258" customFormat="1" ht="13.5" customHeight="1">
      <c r="A45" s="948" t="s">
        <v>786</v>
      </c>
      <c r="B45" s="288" t="s">
        <v>112</v>
      </c>
      <c r="C45" s="289">
        <f>C46</f>
        <v>10041</v>
      </c>
      <c r="D45" s="279">
        <f>C47</f>
        <v>3.8E-3</v>
      </c>
      <c r="E45" s="280" t="s">
        <v>129</v>
      </c>
      <c r="F45" s="290"/>
      <c r="G45" s="291" t="s">
        <v>1069</v>
      </c>
    </row>
    <row r="46" spans="1:7" s="258" customFormat="1" ht="13.5" customHeight="1">
      <c r="A46" s="951" t="s">
        <v>794</v>
      </c>
      <c r="B46" s="292" t="s">
        <v>1062</v>
      </c>
      <c r="C46" s="293">
        <f>ROUND((C33+C39)*F27,0)</f>
        <v>10041</v>
      </c>
      <c r="D46" s="307"/>
      <c r="E46" s="280"/>
      <c r="F46" s="290"/>
      <c r="G46" s="291"/>
    </row>
    <row r="47" spans="1:7" s="258" customFormat="1" ht="13.5" customHeight="1">
      <c r="A47" s="951" t="s">
        <v>792</v>
      </c>
      <c r="B47" s="292" t="s">
        <v>1064</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72381</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50667</v>
      </c>
      <c r="D51" s="276"/>
      <c r="E51" s="276"/>
      <c r="F51" s="308"/>
      <c r="G51" s="278" t="s">
        <v>64</v>
      </c>
    </row>
    <row r="52" spans="1:7" s="252" customFormat="1" ht="16.8" thickBot="1">
      <c r="A52" s="309" t="s">
        <v>65</v>
      </c>
      <c r="B52" s="310"/>
      <c r="C52" s="311">
        <f ca="1">C31+C51</f>
        <v>83992</v>
      </c>
      <c r="D52" s="310"/>
      <c r="E52" s="310"/>
      <c r="F52" s="310"/>
      <c r="G52" s="312"/>
    </row>
    <row r="55" spans="1:7" ht="15">
      <c r="B55" s="314" t="s">
        <v>66</v>
      </c>
      <c r="C55" s="315"/>
    </row>
    <row r="56" spans="1:7">
      <c r="B56" s="317" t="s">
        <v>67</v>
      </c>
      <c r="C56" s="318">
        <f ca="1">ROUND(C51/C52,3)</f>
        <v>0.60299999999999998</v>
      </c>
    </row>
    <row r="57" spans="1:7">
      <c r="B57" s="317" t="s">
        <v>68</v>
      </c>
      <c r="C57" s="319">
        <f ca="1">1-C56</f>
        <v>0.39700000000000002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2" t="s">
        <v>868</v>
      </c>
      <c r="B1" s="3282"/>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43675</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1636</v>
      </c>
      <c r="B2" s="2978" t="s">
        <v>1637</v>
      </c>
      <c r="C2" s="2978" t="s">
        <v>1638</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6">
      <c r="A3" s="2972"/>
      <c r="B3" s="2972"/>
      <c r="C3" s="2972"/>
      <c r="D3" s="1044" t="s">
        <v>1633</v>
      </c>
      <c r="E3" s="1044" t="s">
        <v>1639</v>
      </c>
      <c r="F3" s="1044" t="s">
        <v>1633</v>
      </c>
      <c r="G3" s="1044" t="s">
        <v>1634</v>
      </c>
      <c r="H3" s="1044" t="s">
        <v>1633</v>
      </c>
      <c r="I3" s="1044" t="s">
        <v>1634</v>
      </c>
    </row>
    <row r="4" spans="1:9" ht="45">
      <c r="A4" s="1972" t="str">
        <f>项目基本情况!S2</f>
        <v>北京市东城区东直门南大街14号出让国有建设用地使用权及在建建筑物房地产</v>
      </c>
      <c r="B4" s="1044">
        <f>项目基本情况!C17</f>
        <v>94649.49000000002</v>
      </c>
      <c r="C4" s="1044">
        <f>项目基本情况!C18</f>
        <v>18463.54</v>
      </c>
      <c r="D4" s="1044" t="e">
        <f ca="1">结果表!D118</f>
        <v>#REF!</v>
      </c>
      <c r="E4" s="1044" t="e">
        <f ca="1">结果表!E118</f>
        <v>#REF!</v>
      </c>
      <c r="F4" s="1044" t="e">
        <f ca="1">结果表!F118</f>
        <v>#REF!</v>
      </c>
      <c r="G4" s="1044" t="e">
        <f ca="1">结果表!G118</f>
        <v>#REF!</v>
      </c>
      <c r="H4" s="1044" t="e">
        <f ca="1">结果表!H118</f>
        <v>#REF!</v>
      </c>
      <c r="I4" s="1044" t="e">
        <f ca="1">结果表!I118</f>
        <v>#REF!</v>
      </c>
    </row>
    <row r="5" spans="1:9" ht="30" customHeight="1">
      <c r="A5" s="2972" t="s">
        <v>1635</v>
      </c>
      <c r="B5" s="2972"/>
      <c r="C5" s="2972"/>
      <c r="D5" s="2973" t="e">
        <f ca="1">结果表!D119</f>
        <v>#REF!</v>
      </c>
      <c r="E5" s="2973"/>
      <c r="F5" s="2973" t="e">
        <f ca="1">结果表!F119</f>
        <v>#REF!</v>
      </c>
      <c r="G5" s="2973"/>
      <c r="H5" s="2973" t="e">
        <f ca="1">结果表!H119</f>
        <v>#REF!</v>
      </c>
      <c r="I5" s="2973"/>
    </row>
    <row r="6" spans="1:9" ht="15.6">
      <c r="A6" s="2971" t="str">
        <f>结果表!A120</f>
        <v>估价师知悉的法定优先受偿款</v>
      </c>
      <c r="B6" s="2971"/>
      <c r="C6" s="2971"/>
      <c r="D6" s="2971">
        <f>结果表!D120</f>
        <v>0</v>
      </c>
      <c r="E6" s="2971"/>
      <c r="F6" s="2971"/>
      <c r="G6" s="2971"/>
      <c r="H6" s="2971"/>
      <c r="I6" s="2971"/>
    </row>
    <row r="7" spans="1:9" ht="15">
      <c r="A7" s="2972" t="s">
        <v>1635</v>
      </c>
      <c r="B7" s="2972"/>
      <c r="C7" s="2972"/>
      <c r="D7" s="2974" t="str">
        <f>结果表!D121</f>
        <v>零元整</v>
      </c>
      <c r="E7" s="2975"/>
      <c r="F7" s="2975"/>
      <c r="G7" s="2975"/>
      <c r="H7" s="2975"/>
      <c r="I7" s="2976"/>
    </row>
    <row r="8" spans="1:9" ht="15.6">
      <c r="A8" s="2971" t="str">
        <f>结果表!A122</f>
        <v>房地产抵押价值</v>
      </c>
      <c r="B8" s="2971"/>
      <c r="C8" s="2971"/>
      <c r="D8" s="2971" t="e">
        <f ca="1">结果表!D122</f>
        <v>#REF!</v>
      </c>
      <c r="E8" s="2971"/>
      <c r="F8" s="2971"/>
      <c r="G8" s="2971"/>
      <c r="H8" s="2971"/>
      <c r="I8" s="2971"/>
    </row>
    <row r="9" spans="1:9" ht="15">
      <c r="A9" s="2972" t="s">
        <v>1635</v>
      </c>
      <c r="B9" s="2972"/>
      <c r="C9" s="2972"/>
      <c r="D9" s="2973" t="e">
        <f ca="1">结果表!D123</f>
        <v>#REF!</v>
      </c>
      <c r="E9" s="2973"/>
      <c r="F9" s="2973"/>
      <c r="G9" s="2973"/>
      <c r="H9" s="2973"/>
      <c r="I9" s="2973"/>
    </row>
    <row r="10" spans="1:9" ht="15.6">
      <c r="A10" s="2971" t="str">
        <f>结果表!A124</f>
        <v/>
      </c>
      <c r="B10" s="2971"/>
      <c r="C10" s="2971"/>
      <c r="D10" s="2971" t="str">
        <f>结果表!D124</f>
        <v>——</v>
      </c>
      <c r="E10" s="2971"/>
      <c r="F10" s="2971"/>
      <c r="G10" s="2971"/>
      <c r="H10" s="2971"/>
      <c r="I10" s="2971"/>
    </row>
    <row r="11" spans="1:9" ht="15">
      <c r="A11" s="2972" t="s">
        <v>1635</v>
      </c>
      <c r="B11" s="2972"/>
      <c r="C11" s="2972"/>
      <c r="D11" s="2973" t="e">
        <f>结果表!D125</f>
        <v>#VALUE!</v>
      </c>
      <c r="E11" s="2973"/>
      <c r="F11" s="2973"/>
      <c r="G11" s="2973"/>
      <c r="H11" s="2973"/>
      <c r="I11" s="2973"/>
    </row>
    <row r="12" spans="1:9" ht="15.6">
      <c r="A12" s="2971" t="str">
        <f>结果表!A126</f>
        <v/>
      </c>
      <c r="B12" s="2971"/>
      <c r="C12" s="2971"/>
      <c r="D12" s="2971" t="str">
        <f>结果表!D126</f>
        <v>——</v>
      </c>
      <c r="E12" s="2971"/>
      <c r="F12" s="2971"/>
      <c r="G12" s="2971"/>
      <c r="H12" s="2971"/>
      <c r="I12" s="2971"/>
    </row>
    <row r="13" spans="1:9" ht="15.6" thickBot="1">
      <c r="A13" s="2968" t="s">
        <v>1635</v>
      </c>
      <c r="B13" s="2968"/>
      <c r="C13" s="2968"/>
      <c r="D13" s="2969" t="e">
        <f>结果表!D127</f>
        <v>#VALUE!</v>
      </c>
      <c r="E13" s="2969"/>
      <c r="F13" s="2969"/>
      <c r="G13" s="2969"/>
      <c r="H13" s="2969"/>
      <c r="I13" s="2969"/>
    </row>
    <row r="14" spans="1:9" ht="14.4" thickTop="1">
      <c r="A14" s="2970" t="s">
        <v>1640</v>
      </c>
      <c r="B14" s="2970"/>
      <c r="C14" s="2970"/>
      <c r="D14" s="2970"/>
      <c r="E14" s="2970"/>
      <c r="F14" s="2970"/>
      <c r="G14" s="2970"/>
      <c r="H14" s="2970"/>
      <c r="I14" s="2970"/>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5" t="s">
        <v>1657</v>
      </c>
      <c r="B1" s="2985"/>
      <c r="C1" s="2985"/>
      <c r="D1" s="2985"/>
    </row>
    <row r="2" spans="1:4" ht="17.399999999999999">
      <c r="A2" s="2986" t="s">
        <v>1641</v>
      </c>
      <c r="B2" s="2986"/>
      <c r="C2" s="2986"/>
      <c r="D2" s="2986"/>
    </row>
    <row r="3" spans="1:4" ht="17.399999999999999">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7.399999999999999">
      <c r="A6" s="2986" t="s">
        <v>1647</v>
      </c>
      <c r="B6" s="2986"/>
      <c r="C6" s="2986"/>
      <c r="D6" s="2986"/>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2987" t="s">
        <v>1650</v>
      </c>
      <c r="B11" s="2979"/>
      <c r="C11" s="2979"/>
      <c r="D11" s="2979"/>
    </row>
    <row r="12" spans="1:4" ht="15.6">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1" t="s">
        <v>1651</v>
      </c>
      <c r="B16" s="2981"/>
      <c r="C16" s="2981"/>
      <c r="D16" s="2981"/>
    </row>
    <row r="17" spans="1:4" ht="144" customHeight="1">
      <c r="A17" s="2981" t="s">
        <v>1652</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2"/>
      <c r="C21" s="2982"/>
      <c r="D21" s="2982"/>
    </row>
    <row r="22" spans="1:4" ht="18.75" customHeight="1">
      <c r="A22" s="2983" t="s">
        <v>1653</v>
      </c>
      <c r="B22" s="2983"/>
      <c r="C22" s="2983"/>
      <c r="D22" s="2983"/>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2993" t="s">
        <v>1664</v>
      </c>
      <c r="B15" s="2988" t="s">
        <v>136</v>
      </c>
      <c r="C15" s="2989"/>
    </row>
    <row r="16" spans="1:7" ht="14.4">
      <c r="A16" s="2994"/>
      <c r="B16" s="2988" t="s">
        <v>69</v>
      </c>
      <c r="C16" s="2989"/>
    </row>
    <row r="17" spans="1:3" ht="14.4">
      <c r="A17" s="2994"/>
      <c r="B17" s="2991" t="s">
        <v>1665</v>
      </c>
      <c r="C17" s="1999" t="s">
        <v>1664</v>
      </c>
    </row>
    <row r="18" spans="1:3" ht="14.4">
      <c r="A18" s="2994"/>
      <c r="B18" s="2991"/>
      <c r="C18" s="1999" t="s">
        <v>1666</v>
      </c>
    </row>
    <row r="19" spans="1:3" ht="14.4">
      <c r="A19" s="2994"/>
      <c r="B19" s="2991"/>
      <c r="C19" s="1999" t="s">
        <v>1667</v>
      </c>
    </row>
    <row r="20" spans="1:3" ht="14.4">
      <c r="A20" s="2995"/>
      <c r="B20" s="2990" t="s">
        <v>1668</v>
      </c>
      <c r="C20" s="2989"/>
    </row>
    <row r="21" spans="1:3" ht="14.4">
      <c r="A21" s="2000" t="s">
        <v>1669</v>
      </c>
      <c r="B21" s="2001"/>
      <c r="C21" s="2002"/>
    </row>
    <row r="22" spans="1:3" ht="14.4">
      <c r="A22" s="2992" t="s">
        <v>1670</v>
      </c>
      <c r="B22" s="2990" t="s">
        <v>1671</v>
      </c>
      <c r="C22" s="2989"/>
    </row>
    <row r="23" spans="1:3" ht="14.4">
      <c r="A23" s="2992"/>
      <c r="B23" s="2990" t="s">
        <v>1672</v>
      </c>
      <c r="C23" s="2989"/>
    </row>
    <row r="24" spans="1:3" ht="14.4">
      <c r="A24" s="2992"/>
      <c r="B24" s="2990" t="s">
        <v>1673</v>
      </c>
      <c r="C24" s="2989"/>
    </row>
    <row r="25" spans="1:3" ht="14.4">
      <c r="A25" s="2992"/>
      <c r="B25" s="2991" t="s">
        <v>1674</v>
      </c>
      <c r="C25" s="1999" t="s">
        <v>1675</v>
      </c>
    </row>
    <row r="26" spans="1:3" ht="14.4">
      <c r="A26" s="2992"/>
      <c r="B26" s="2991"/>
      <c r="C26" s="1999" t="s">
        <v>1676</v>
      </c>
    </row>
    <row r="27" spans="1:3" ht="14.4">
      <c r="A27" s="2992"/>
      <c r="B27" s="2991"/>
      <c r="C27" s="1999" t="s">
        <v>1677</v>
      </c>
    </row>
    <row r="28" spans="1:3" ht="14.4">
      <c r="A28" s="2992"/>
      <c r="B28" s="2991"/>
      <c r="C28" s="1999" t="s">
        <v>1678</v>
      </c>
    </row>
    <row r="29" spans="1:3" ht="14.4">
      <c r="A29" s="2992"/>
      <c r="B29" s="2991"/>
      <c r="C29" s="1999" t="s">
        <v>1679</v>
      </c>
    </row>
    <row r="30" spans="1:3" ht="14.4">
      <c r="A30" s="2992"/>
      <c r="B30" s="2991"/>
      <c r="C30" s="1999" t="s">
        <v>1680</v>
      </c>
    </row>
    <row r="31" spans="1:3" ht="14.4">
      <c r="A31" s="2992"/>
      <c r="B31" s="2991"/>
      <c r="C31" s="1999" t="s">
        <v>1681</v>
      </c>
    </row>
    <row r="32" spans="1:3" ht="14.4">
      <c r="A32" s="2992"/>
      <c r="B32" s="2991"/>
      <c r="C32" s="1999" t="s">
        <v>1682</v>
      </c>
    </row>
    <row r="33" spans="1:3" ht="14.4">
      <c r="A33" s="2992"/>
      <c r="B33" s="2991"/>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43675</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f ca="1">IF(C10&lt;B2,"已过期",1120060040)</f>
        <v>1120060040</v>
      </c>
      <c r="C10" s="2347">
        <v>44554</v>
      </c>
      <c r="D10" s="2350" t="s">
        <v>838</v>
      </c>
      <c r="E10" s="1022">
        <f ca="1">IF(F10&lt;B2,"已过期",2004110096)</f>
        <v>2004110096</v>
      </c>
      <c r="F10" s="1030">
        <v>47118</v>
      </c>
    </row>
    <row r="11" spans="1:6" ht="24" customHeight="1">
      <c r="A11" s="1702" t="s">
        <v>839</v>
      </c>
      <c r="B11" s="1022">
        <f ca="1">IF(C11&lt;B2,"已过期",1120100036)</f>
        <v>1120100036</v>
      </c>
      <c r="C11" s="2347">
        <v>44675</v>
      </c>
      <c r="D11" s="2350"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3045</v>
      </c>
      <c r="B14" s="1022">
        <f ca="1">IF(C14&lt;B2,"已过期",1120040230)</f>
        <v>1120040230</v>
      </c>
      <c r="C14" s="2347">
        <v>43835</v>
      </c>
      <c r="D14" s="2350" t="s">
        <v>3045</v>
      </c>
      <c r="E14" s="1022">
        <f ca="1">IF(F14&lt;B2,"已过期",98030020)</f>
        <v>98030020</v>
      </c>
      <c r="F14" s="1030">
        <v>47118</v>
      </c>
    </row>
    <row r="15" spans="1:6" ht="24" customHeight="1">
      <c r="A15" s="1703" t="s">
        <v>3046</v>
      </c>
      <c r="B15" s="1022">
        <f ca="1">IF(C15&lt;B2,"已过期",1120070085)</f>
        <v>1120070085</v>
      </c>
      <c r="C15" s="2347">
        <v>43814</v>
      </c>
      <c r="D15" s="2351" t="s">
        <v>3046</v>
      </c>
      <c r="E15" s="1022">
        <f ca="1">IF(F15&lt;B2,"已过期",2004110128)</f>
        <v>2004110128</v>
      </c>
      <c r="F15" s="1023">
        <v>47118</v>
      </c>
    </row>
    <row r="16" spans="1:6" ht="24" customHeight="1">
      <c r="A16" s="1702" t="s">
        <v>3047</v>
      </c>
      <c r="B16" s="1022">
        <f ca="1">IF(C16&lt;B2,"已过期",1120140022)</f>
        <v>1120140022</v>
      </c>
      <c r="C16" s="2930">
        <v>44029</v>
      </c>
      <c r="D16" s="2350" t="s">
        <v>3047</v>
      </c>
      <c r="E16" s="1022">
        <f ca="1">IF(F16&lt;B2,"已过期",2008110059)</f>
        <v>2008110059</v>
      </c>
      <c r="F16" s="1030">
        <v>47177</v>
      </c>
    </row>
    <row r="17" spans="1:7" ht="24" customHeight="1">
      <c r="A17" s="1702"/>
      <c r="B17" s="1022"/>
      <c r="C17" s="2347"/>
      <c r="D17" s="2350" t="s">
        <v>3048</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30">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2996" t="s">
        <v>843</v>
      </c>
      <c r="B25" s="2996"/>
      <c r="C25" s="2996"/>
      <c r="D25" s="2996"/>
      <c r="E25" s="2996"/>
      <c r="F25" s="2996"/>
      <c r="G25" s="2996"/>
    </row>
    <row r="26" spans="1:7" s="1025" customFormat="1" ht="24" customHeight="1">
      <c r="A26" s="2997" t="s">
        <v>844</v>
      </c>
      <c r="B26" s="2997"/>
      <c r="C26" s="2998"/>
      <c r="D26" s="2999" t="s">
        <v>845</v>
      </c>
      <c r="E26" s="2997"/>
      <c r="F26" s="2997"/>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vt:lpstr>
      <vt:lpstr>数据-基础表</vt:lpstr>
      <vt:lpstr>抵押物清单（分楼）</vt:lpstr>
      <vt:lpstr>数据-汇总表</vt:lpstr>
      <vt:lpstr>数据-取费表</vt:lpstr>
      <vt:lpstr>估价对象房地状况</vt:lpstr>
      <vt:lpstr>系统读取表</vt:lpstr>
      <vt:lpstr>结果表</vt:lpstr>
      <vt:lpstr>成本法-酒店</vt:lpstr>
      <vt:lpstr>成本法-剧院</vt:lpstr>
      <vt:lpstr>成本法 (元)</vt:lpstr>
      <vt:lpstr>假设开发法</vt:lpstr>
      <vt:lpstr>收益法</vt:lpstr>
      <vt:lpstr>收益法 (元)</vt:lpstr>
      <vt:lpstr>收益法（汇总）</vt:lpstr>
      <vt:lpstr>酒店收入计算</vt:lpstr>
      <vt:lpstr>比较法-住宅</vt:lpstr>
      <vt:lpstr>比较法-商业1层</vt:lpstr>
      <vt:lpstr>比较法-办公</vt:lpstr>
      <vt:lpstr>案例</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2019-07-29T08:18:27Z</dcterms:modified>
</cp:coreProperties>
</file>